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20" windowWidth="20730"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 sheetId="78"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39">[1]定义!$M$1:$M$6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地下">'[1]2014基准地价'!$B$33:$B$39</definedName>
    <definedName name="二级">区片价!$I$1:$I$20</definedName>
    <definedName name="二级分类" localSheetId="39">'[1]2014修正'!$C$17:$C$39</definedName>
    <definedName name="二级分类">修正!$C$17:$C$39</definedName>
    <definedName name="法定最高年限" localSheetId="39">[1]定义!$G$1:$G$4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估价目的">[1]定义!#REF!</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季度2014">[1]地价!$A$3:$A$30</definedName>
    <definedName name="价值类型2" localSheetId="39">[1]定义!#REF!</definedName>
    <definedName name="价值类型2">定义!$B$54:$B$56</definedName>
    <definedName name="交通便捷度" localSheetId="39">[1]定义!$O$1:$O$6</definedName>
    <definedName name="交通便捷度">定义!$O$1:$O$6</definedName>
    <definedName name="结构">[1]定义!$X:$X</definedName>
    <definedName name="仅抵押价值">[1]定义!#REF!</definedName>
    <definedName name="九级">区片价!$P$1:$P$46</definedName>
    <definedName name="居住社区成熟度" localSheetId="39">[1]定义!$K$1:$K$6</definedName>
    <definedName name="居住社区成熟度">定义!$K$1:$K$6</definedName>
    <definedName name="类别">定义!$J$1:$J$3</definedName>
    <definedName name="临街状况" localSheetId="39">[1]定义!$T$1:$T$5</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 localSheetId="39">'[1]2014修正'!$A$6:$A$14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39">'[1]2014修正'!$C$59:$C$119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 localSheetId="39">#REF!</definedName>
    <definedName name="套工道路等级">'土地比较法-工业'!$B$97:$M$97</definedName>
    <definedName name="套工地质条件" localSheetId="39">#REF!</definedName>
    <definedName name="套工地质条件">'土地比较法-工业'!$B$114:$M$114</definedName>
    <definedName name="套工交易情况">'土地比较法-住宅、综合'!$A$73:$M$73</definedName>
    <definedName name="套工土地级别" localSheetId="39">#REF!</definedName>
    <definedName name="套工土地级别">'土地比较法-工业'!$B$99:$M$99</definedName>
    <definedName name="套工用途" localSheetId="39">#REF!</definedName>
    <definedName name="套工用途">'土地比较法-工业'!$B$70:$M$70</definedName>
    <definedName name="套工宗地开发程度">'土地比较法-工业'!$B$112:$M$112</definedName>
    <definedName name="套工宗地内开发程度">#REF!</definedName>
    <definedName name="套工宗地形状" localSheetId="39">#REF!</definedName>
    <definedName name="套工宗地形状">'土地比较法-工业'!$B$110:$M$110</definedName>
    <definedName name="套综道路等级" localSheetId="39">[1]比较法!$B$94:$M$94</definedName>
    <definedName name="套综道路等级">'土地比较法-住宅、综合'!$B$106:$M$106</definedName>
    <definedName name="套综工程地质条件" localSheetId="39">[1]比较法!$B$113:$M$113</definedName>
    <definedName name="套综工程地质条件">'土地比较法-住宅、综合'!$B$125:$M$125</definedName>
    <definedName name="套综交易情况" localSheetId="39">[1]比较法!$A$61:$M$61</definedName>
    <definedName name="套综交易情况">'土地比较法-住宅、综合'!$A$73:$M$73</definedName>
    <definedName name="套综临街宽度及深度" localSheetId="39">[1]比较法!$B$109:$M$109</definedName>
    <definedName name="套综临街宽度及深度">'土地比较法-住宅、综合'!$B$121:$M$121</definedName>
    <definedName name="套综土地级别" localSheetId="39">[1]比较法!$B$96:$M$96</definedName>
    <definedName name="套综土地级别">'土地比较法-住宅、综合'!$B$108:$M$108</definedName>
    <definedName name="套综用途" localSheetId="39">[1]比较法!$B$63:$M$63</definedName>
    <definedName name="套综用途">'土地比较法-住宅、综合'!$B$75:$M$75</definedName>
    <definedName name="套综宗地内开发程度" localSheetId="39">[1]比较法!$B$111:$M$111</definedName>
    <definedName name="套综宗地内开发程度">'土地比较法-住宅、综合'!$B$123:$M$123</definedName>
    <definedName name="套综宗地形状" localSheetId="39">[1]比较法!$B$107:$M$107</definedName>
    <definedName name="套综宗地形状">'土地比较法-住宅、综合'!$B$119:$M$119</definedName>
    <definedName name="土地估价师">估价师及机构信息!$D$3:$D$24</definedName>
    <definedName name="土地级别" localSheetId="39">[1]定义!$C$1:$C$13</definedName>
    <definedName name="土地级别">定义!$C$1:$C$14</definedName>
    <definedName name="土地利用方向">定义!$P$1:$P$6</definedName>
    <definedName name="土地年限区间">定义!$I$1:$I$8</definedName>
    <definedName name="位置">定义!$E$2:$E$4</definedName>
    <definedName name="五等判定" localSheetId="39">[1]定义!$W$1:$W$6</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3" i="3"/>
  <c r="C35" i="78"/>
  <c r="C1" i="73"/>
  <c r="J1"/>
  <c r="D4"/>
  <c r="E20" i="43"/>
  <c r="M28"/>
  <c r="G20"/>
  <c r="J20"/>
  <c r="E15" i="4"/>
  <c r="F6" i="1"/>
  <c r="I20" i="43"/>
  <c r="C20"/>
  <c r="I2"/>
  <c r="M3"/>
  <c r="G2"/>
  <c r="M2"/>
  <c r="C6"/>
  <c r="C7"/>
  <c r="C16"/>
  <c r="C5"/>
  <c r="C18"/>
  <c r="B2" i="1"/>
  <c r="G19" i="43"/>
  <c r="N5" i="71"/>
  <c r="N6"/>
  <c r="N7"/>
  <c r="N8"/>
  <c r="N9"/>
  <c r="N10"/>
  <c r="N11"/>
  <c r="N12"/>
  <c r="N13"/>
  <c r="N14"/>
  <c r="N15"/>
  <c r="N16"/>
  <c r="N17"/>
  <c r="N18"/>
  <c r="N19"/>
  <c r="N20"/>
  <c r="N21"/>
  <c r="N22"/>
  <c r="N23"/>
  <c r="N24"/>
  <c r="N25"/>
  <c r="N26"/>
  <c r="N27"/>
  <c r="N28"/>
  <c r="X3"/>
  <c r="O5"/>
  <c r="O6"/>
  <c r="O7"/>
  <c r="O8"/>
  <c r="O9"/>
  <c r="O10"/>
  <c r="O11"/>
  <c r="O12"/>
  <c r="O13"/>
  <c r="O14"/>
  <c r="O15"/>
  <c r="O16"/>
  <c r="O17"/>
  <c r="O18"/>
  <c r="O19"/>
  <c r="O20"/>
  <c r="O21"/>
  <c r="O22"/>
  <c r="O23"/>
  <c r="O24"/>
  <c r="O25"/>
  <c r="O26"/>
  <c r="O27"/>
  <c r="O28"/>
  <c r="Y3"/>
  <c r="Z3"/>
  <c r="P5"/>
  <c r="P6"/>
  <c r="P7"/>
  <c r="P8"/>
  <c r="P9"/>
  <c r="P10"/>
  <c r="P11"/>
  <c r="P12"/>
  <c r="P13"/>
  <c r="P14"/>
  <c r="P15"/>
  <c r="P16"/>
  <c r="P17"/>
  <c r="P18"/>
  <c r="P19"/>
  <c r="P20"/>
  <c r="P21"/>
  <c r="P22"/>
  <c r="P23"/>
  <c r="P24"/>
  <c r="P25"/>
  <c r="P26"/>
  <c r="P27"/>
  <c r="P28"/>
  <c r="AA3"/>
  <c r="Q5"/>
  <c r="Q6"/>
  <c r="Q7"/>
  <c r="Q8"/>
  <c r="Q9"/>
  <c r="Q10"/>
  <c r="Q11"/>
  <c r="Q12"/>
  <c r="Q13"/>
  <c r="Q14"/>
  <c r="Q15"/>
  <c r="Q16"/>
  <c r="Q17"/>
  <c r="Q18"/>
  <c r="Q19"/>
  <c r="Q20"/>
  <c r="Q21"/>
  <c r="Q22"/>
  <c r="Q23"/>
  <c r="Q24"/>
  <c r="Q25"/>
  <c r="Q26"/>
  <c r="Q27"/>
  <c r="Q28"/>
  <c r="AB3"/>
  <c r="X5"/>
  <c r="Y5"/>
  <c r="Z5"/>
  <c r="AA5"/>
  <c r="AB5"/>
  <c r="X6"/>
  <c r="Y6"/>
  <c r="Z6"/>
  <c r="AA6"/>
  <c r="AB6"/>
  <c r="X7"/>
  <c r="Y7"/>
  <c r="Z7"/>
  <c r="AA7"/>
  <c r="AB7"/>
  <c r="X8"/>
  <c r="Y8"/>
  <c r="Z8"/>
  <c r="AA8"/>
  <c r="AB8"/>
  <c r="X9"/>
  <c r="Y9"/>
  <c r="Z9"/>
  <c r="AA9"/>
  <c r="AB9"/>
  <c r="X10"/>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X24"/>
  <c r="Y24"/>
  <c r="Z24"/>
  <c r="AA24"/>
  <c r="AB24"/>
  <c r="X25"/>
  <c r="Y25"/>
  <c r="Z25"/>
  <c r="AA25"/>
  <c r="AB25"/>
  <c r="X26"/>
  <c r="Y26"/>
  <c r="Z26"/>
  <c r="AA26"/>
  <c r="AB26"/>
  <c r="X27"/>
  <c r="Y27"/>
  <c r="Z27"/>
  <c r="AA27"/>
  <c r="AB27"/>
  <c r="X28"/>
  <c r="Y28"/>
  <c r="Z28"/>
  <c r="AA28"/>
  <c r="AB28"/>
  <c r="C19" i="43"/>
  <c r="I5" i="3"/>
  <c r="AD5"/>
  <c r="AH5"/>
  <c r="AL5"/>
  <c r="J5"/>
  <c r="K5"/>
  <c r="L5"/>
  <c r="M5"/>
  <c r="N5"/>
  <c r="O5"/>
  <c r="P5"/>
  <c r="Q5"/>
  <c r="R5"/>
  <c r="S5"/>
  <c r="T5"/>
  <c r="U5"/>
  <c r="V5"/>
  <c r="W5"/>
  <c r="X5"/>
  <c r="Y5"/>
  <c r="Z5"/>
  <c r="AA5"/>
  <c r="AB5"/>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4"/>
  <c r="AC295"/>
  <c r="AC296"/>
  <c r="AC297"/>
  <c r="AC298"/>
  <c r="AC299"/>
  <c r="AC300"/>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4"/>
  <c r="AC345"/>
  <c r="AC346"/>
  <c r="AC347"/>
  <c r="AC348"/>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3"/>
  <c r="AC484"/>
  <c r="AC485"/>
  <c r="AC486"/>
  <c r="AC487"/>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48"/>
  <c r="AC549"/>
  <c r="AC550"/>
  <c r="AC551"/>
  <c r="AC552"/>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
  <c r="AE5"/>
  <c r="AF5"/>
  <c r="AG5"/>
  <c r="AI5"/>
  <c r="AJ5"/>
  <c r="AK5"/>
  <c r="AM5"/>
  <c r="AN5"/>
  <c r="AO5"/>
  <c r="AP5"/>
  <c r="AQ5"/>
  <c r="AR5"/>
  <c r="AS5"/>
  <c r="I4" i="6"/>
  <c r="G3" i="43"/>
  <c r="E22"/>
  <c r="G22"/>
  <c r="F22"/>
  <c r="H22"/>
  <c r="D22"/>
  <c r="C21"/>
  <c r="D48"/>
  <c r="D49"/>
  <c r="D50"/>
  <c r="D51"/>
  <c r="D52"/>
  <c r="D53"/>
  <c r="D54"/>
  <c r="D55"/>
  <c r="D56"/>
  <c r="E48"/>
  <c r="B46"/>
  <c r="C24"/>
  <c r="C29"/>
  <c r="H13" i="3"/>
  <c r="G13"/>
  <c r="H14"/>
  <c r="G14"/>
  <c r="H15"/>
  <c r="G15"/>
  <c r="H16"/>
  <c r="G16"/>
  <c r="H17"/>
  <c r="G17"/>
  <c r="H18"/>
  <c r="G18"/>
  <c r="H19"/>
  <c r="G19"/>
  <c r="H20"/>
  <c r="G20"/>
  <c r="H21"/>
  <c r="G21"/>
  <c r="H22"/>
  <c r="G22"/>
  <c r="H23"/>
  <c r="G23"/>
  <c r="H24"/>
  <c r="G24"/>
  <c r="H25"/>
  <c r="G25"/>
  <c r="H26"/>
  <c r="G26"/>
  <c r="H27"/>
  <c r="G27"/>
  <c r="H28"/>
  <c r="G28"/>
  <c r="H29"/>
  <c r="G29"/>
  <c r="H30"/>
  <c r="G30"/>
  <c r="H31"/>
  <c r="G31"/>
  <c r="H32"/>
  <c r="G32"/>
  <c r="H33"/>
  <c r="G33"/>
  <c r="H34"/>
  <c r="G34"/>
  <c r="H35"/>
  <c r="G35"/>
  <c r="H36"/>
  <c r="G36"/>
  <c r="H37"/>
  <c r="G37"/>
  <c r="H38"/>
  <c r="G38"/>
  <c r="H39"/>
  <c r="G39"/>
  <c r="H40"/>
  <c r="G40"/>
  <c r="H41"/>
  <c r="G41"/>
  <c r="H42"/>
  <c r="G42"/>
  <c r="H43"/>
  <c r="G43"/>
  <c r="H44"/>
  <c r="G44"/>
  <c r="H45"/>
  <c r="G45"/>
  <c r="H46"/>
  <c r="G46"/>
  <c r="H47"/>
  <c r="G47"/>
  <c r="H48"/>
  <c r="G48"/>
  <c r="H49"/>
  <c r="G49"/>
  <c r="H50"/>
  <c r="G50"/>
  <c r="H51"/>
  <c r="G51"/>
  <c r="H52"/>
  <c r="G52"/>
  <c r="H53"/>
  <c r="G53"/>
  <c r="H54"/>
  <c r="G54"/>
  <c r="H55"/>
  <c r="G55"/>
  <c r="H56"/>
  <c r="G56"/>
  <c r="H57"/>
  <c r="G57"/>
  <c r="H58"/>
  <c r="G58"/>
  <c r="H59"/>
  <c r="G59"/>
  <c r="H60"/>
  <c r="G60"/>
  <c r="H61"/>
  <c r="G61"/>
  <c r="H62"/>
  <c r="G62"/>
  <c r="H63"/>
  <c r="G63"/>
  <c r="H64"/>
  <c r="G64"/>
  <c r="H65"/>
  <c r="G65"/>
  <c r="H66"/>
  <c r="G66"/>
  <c r="H67"/>
  <c r="G67"/>
  <c r="H68"/>
  <c r="G68"/>
  <c r="H69"/>
  <c r="G69"/>
  <c r="H70"/>
  <c r="G70"/>
  <c r="H71"/>
  <c r="G71"/>
  <c r="H72"/>
  <c r="G72"/>
  <c r="H73"/>
  <c r="G73"/>
  <c r="H74"/>
  <c r="G74"/>
  <c r="H75"/>
  <c r="G75"/>
  <c r="H76"/>
  <c r="G76"/>
  <c r="H77"/>
  <c r="G77"/>
  <c r="H78"/>
  <c r="G78"/>
  <c r="H79"/>
  <c r="G79"/>
  <c r="H80"/>
  <c r="G80"/>
  <c r="H81"/>
  <c r="G81"/>
  <c r="H82"/>
  <c r="G82"/>
  <c r="H83"/>
  <c r="G83"/>
  <c r="H84"/>
  <c r="G84"/>
  <c r="H85"/>
  <c r="G85"/>
  <c r="H86"/>
  <c r="G86"/>
  <c r="H87"/>
  <c r="G87"/>
  <c r="H88"/>
  <c r="G88"/>
  <c r="H89"/>
  <c r="G89"/>
  <c r="H90"/>
  <c r="G90"/>
  <c r="H91"/>
  <c r="G91"/>
  <c r="H92"/>
  <c r="G92"/>
  <c r="H93"/>
  <c r="G93"/>
  <c r="H94"/>
  <c r="G94"/>
  <c r="H95"/>
  <c r="G95"/>
  <c r="H96"/>
  <c r="G96"/>
  <c r="H97"/>
  <c r="G97"/>
  <c r="H98"/>
  <c r="G98"/>
  <c r="H99"/>
  <c r="G99"/>
  <c r="H100"/>
  <c r="G100"/>
  <c r="H101"/>
  <c r="G101"/>
  <c r="H102"/>
  <c r="G102"/>
  <c r="H103"/>
  <c r="G103"/>
  <c r="H104"/>
  <c r="G104"/>
  <c r="H105"/>
  <c r="G105"/>
  <c r="H106"/>
  <c r="G106"/>
  <c r="H107"/>
  <c r="G107"/>
  <c r="H108"/>
  <c r="G108"/>
  <c r="H109"/>
  <c r="G109"/>
  <c r="H110"/>
  <c r="G110"/>
  <c r="H111"/>
  <c r="G111"/>
  <c r="H112"/>
  <c r="G112"/>
  <c r="H113"/>
  <c r="G113"/>
  <c r="H114"/>
  <c r="G114"/>
  <c r="H115"/>
  <c r="G115"/>
  <c r="H116"/>
  <c r="G116"/>
  <c r="H117"/>
  <c r="G117"/>
  <c r="H118"/>
  <c r="G118"/>
  <c r="H119"/>
  <c r="G119"/>
  <c r="H120"/>
  <c r="G120"/>
  <c r="H121"/>
  <c r="G121"/>
  <c r="H122"/>
  <c r="G122"/>
  <c r="H123"/>
  <c r="G123"/>
  <c r="H124"/>
  <c r="G124"/>
  <c r="H125"/>
  <c r="G125"/>
  <c r="H126"/>
  <c r="G126"/>
  <c r="H127"/>
  <c r="G127"/>
  <c r="H128"/>
  <c r="G128"/>
  <c r="H129"/>
  <c r="G129"/>
  <c r="H130"/>
  <c r="G130"/>
  <c r="H131"/>
  <c r="G131"/>
  <c r="H132"/>
  <c r="G132"/>
  <c r="H133"/>
  <c r="G133"/>
  <c r="H134"/>
  <c r="G134"/>
  <c r="H135"/>
  <c r="G135"/>
  <c r="H136"/>
  <c r="G136"/>
  <c r="H137"/>
  <c r="G137"/>
  <c r="H138"/>
  <c r="G138"/>
  <c r="H139"/>
  <c r="G139"/>
  <c r="H140"/>
  <c r="G140"/>
  <c r="H141"/>
  <c r="G141"/>
  <c r="H142"/>
  <c r="G142"/>
  <c r="H143"/>
  <c r="G143"/>
  <c r="H144"/>
  <c r="G144"/>
  <c r="H145"/>
  <c r="G145"/>
  <c r="H146"/>
  <c r="G146"/>
  <c r="H147"/>
  <c r="G147"/>
  <c r="H148"/>
  <c r="G148"/>
  <c r="H149"/>
  <c r="G149"/>
  <c r="H150"/>
  <c r="G150"/>
  <c r="H151"/>
  <c r="G151"/>
  <c r="H152"/>
  <c r="G152"/>
  <c r="H153"/>
  <c r="G153"/>
  <c r="H154"/>
  <c r="G154"/>
  <c r="H155"/>
  <c r="G155"/>
  <c r="H156"/>
  <c r="G156"/>
  <c r="H157"/>
  <c r="G157"/>
  <c r="H158"/>
  <c r="G158"/>
  <c r="H159"/>
  <c r="G159"/>
  <c r="H160"/>
  <c r="G160"/>
  <c r="H161"/>
  <c r="G161"/>
  <c r="H162"/>
  <c r="G162"/>
  <c r="H163"/>
  <c r="G163"/>
  <c r="H164"/>
  <c r="G164"/>
  <c r="H165"/>
  <c r="G165"/>
  <c r="H166"/>
  <c r="G166"/>
  <c r="H167"/>
  <c r="G167"/>
  <c r="H168"/>
  <c r="G168"/>
  <c r="H169"/>
  <c r="G169"/>
  <c r="H170"/>
  <c r="G170"/>
  <c r="H171"/>
  <c r="G171"/>
  <c r="H172"/>
  <c r="G172"/>
  <c r="H173"/>
  <c r="G173"/>
  <c r="H174"/>
  <c r="G174"/>
  <c r="H175"/>
  <c r="G175"/>
  <c r="H176"/>
  <c r="G176"/>
  <c r="H177"/>
  <c r="G177"/>
  <c r="H178"/>
  <c r="G178"/>
  <c r="H179"/>
  <c r="G179"/>
  <c r="H180"/>
  <c r="G180"/>
  <c r="H181"/>
  <c r="G181"/>
  <c r="H182"/>
  <c r="G182"/>
  <c r="H183"/>
  <c r="G183"/>
  <c r="H184"/>
  <c r="G184"/>
  <c r="H185"/>
  <c r="G185"/>
  <c r="H186"/>
  <c r="G186"/>
  <c r="H187"/>
  <c r="G187"/>
  <c r="H188"/>
  <c r="G188"/>
  <c r="H189"/>
  <c r="G189"/>
  <c r="H190"/>
  <c r="G190"/>
  <c r="H191"/>
  <c r="G191"/>
  <c r="H192"/>
  <c r="G192"/>
  <c r="H193"/>
  <c r="G193"/>
  <c r="H194"/>
  <c r="G194"/>
  <c r="H195"/>
  <c r="G195"/>
  <c r="H196"/>
  <c r="G196"/>
  <c r="H197"/>
  <c r="G197"/>
  <c r="H198"/>
  <c r="G198"/>
  <c r="H199"/>
  <c r="G199"/>
  <c r="H200"/>
  <c r="G200"/>
  <c r="H201"/>
  <c r="G201"/>
  <c r="H202"/>
  <c r="G202"/>
  <c r="H203"/>
  <c r="G203"/>
  <c r="H204"/>
  <c r="G204"/>
  <c r="H205"/>
  <c r="G205"/>
  <c r="H206"/>
  <c r="G206"/>
  <c r="H207"/>
  <c r="G207"/>
  <c r="H208"/>
  <c r="G208"/>
  <c r="H209"/>
  <c r="G209"/>
  <c r="H210"/>
  <c r="G210"/>
  <c r="H211"/>
  <c r="G211"/>
  <c r="H212"/>
  <c r="G212"/>
  <c r="H213"/>
  <c r="G213"/>
  <c r="H214"/>
  <c r="G214"/>
  <c r="H215"/>
  <c r="G215"/>
  <c r="H216"/>
  <c r="G216"/>
  <c r="H217"/>
  <c r="G217"/>
  <c r="H218"/>
  <c r="G218"/>
  <c r="H219"/>
  <c r="G219"/>
  <c r="H220"/>
  <c r="G220"/>
  <c r="H221"/>
  <c r="G221"/>
  <c r="H222"/>
  <c r="G222"/>
  <c r="H223"/>
  <c r="G223"/>
  <c r="H224"/>
  <c r="G224"/>
  <c r="H225"/>
  <c r="G225"/>
  <c r="H226"/>
  <c r="G226"/>
  <c r="H227"/>
  <c r="G227"/>
  <c r="H228"/>
  <c r="G228"/>
  <c r="H229"/>
  <c r="G229"/>
  <c r="H230"/>
  <c r="G230"/>
  <c r="H231"/>
  <c r="G231"/>
  <c r="H232"/>
  <c r="G232"/>
  <c r="H233"/>
  <c r="G233"/>
  <c r="H234"/>
  <c r="G234"/>
  <c r="H235"/>
  <c r="G235"/>
  <c r="H236"/>
  <c r="G236"/>
  <c r="H237"/>
  <c r="G237"/>
  <c r="H238"/>
  <c r="G238"/>
  <c r="H239"/>
  <c r="G239"/>
  <c r="H240"/>
  <c r="G240"/>
  <c r="H241"/>
  <c r="G241"/>
  <c r="H242"/>
  <c r="G242"/>
  <c r="H243"/>
  <c r="G243"/>
  <c r="H244"/>
  <c r="G244"/>
  <c r="H245"/>
  <c r="G245"/>
  <c r="H246"/>
  <c r="G246"/>
  <c r="H247"/>
  <c r="G247"/>
  <c r="H248"/>
  <c r="G248"/>
  <c r="H249"/>
  <c r="G249"/>
  <c r="H250"/>
  <c r="G250"/>
  <c r="H251"/>
  <c r="G251"/>
  <c r="H252"/>
  <c r="G252"/>
  <c r="H253"/>
  <c r="G253"/>
  <c r="H254"/>
  <c r="G254"/>
  <c r="H255"/>
  <c r="G255"/>
  <c r="H256"/>
  <c r="G256"/>
  <c r="H257"/>
  <c r="G257"/>
  <c r="H258"/>
  <c r="G258"/>
  <c r="H259"/>
  <c r="G259"/>
  <c r="H260"/>
  <c r="G260"/>
  <c r="H261"/>
  <c r="G261"/>
  <c r="H262"/>
  <c r="G262"/>
  <c r="H263"/>
  <c r="G263"/>
  <c r="H264"/>
  <c r="G264"/>
  <c r="H265"/>
  <c r="G265"/>
  <c r="H266"/>
  <c r="G266"/>
  <c r="H267"/>
  <c r="G267"/>
  <c r="H268"/>
  <c r="G268"/>
  <c r="H269"/>
  <c r="G269"/>
  <c r="H270"/>
  <c r="G270"/>
  <c r="H271"/>
  <c r="G271"/>
  <c r="H272"/>
  <c r="G272"/>
  <c r="H273"/>
  <c r="G273"/>
  <c r="H274"/>
  <c r="G274"/>
  <c r="H275"/>
  <c r="G275"/>
  <c r="H276"/>
  <c r="G276"/>
  <c r="H277"/>
  <c r="G277"/>
  <c r="H278"/>
  <c r="G278"/>
  <c r="H279"/>
  <c r="G279"/>
  <c r="H280"/>
  <c r="G280"/>
  <c r="H281"/>
  <c r="G281"/>
  <c r="H282"/>
  <c r="G282"/>
  <c r="H283"/>
  <c r="G283"/>
  <c r="H284"/>
  <c r="G284"/>
  <c r="H285"/>
  <c r="G285"/>
  <c r="H286"/>
  <c r="G286"/>
  <c r="H287"/>
  <c r="G287"/>
  <c r="H288"/>
  <c r="G288"/>
  <c r="H289"/>
  <c r="G289"/>
  <c r="H290"/>
  <c r="G290"/>
  <c r="H291"/>
  <c r="G291"/>
  <c r="H292"/>
  <c r="G292"/>
  <c r="H293"/>
  <c r="G293"/>
  <c r="H294"/>
  <c r="G294"/>
  <c r="H295"/>
  <c r="G295"/>
  <c r="H296"/>
  <c r="G296"/>
  <c r="H297"/>
  <c r="G297"/>
  <c r="H298"/>
  <c r="G298"/>
  <c r="H299"/>
  <c r="G299"/>
  <c r="H300"/>
  <c r="G300"/>
  <c r="H301"/>
  <c r="G301"/>
  <c r="H302"/>
  <c r="G302"/>
  <c r="H303"/>
  <c r="G303"/>
  <c r="H304"/>
  <c r="G304"/>
  <c r="H305"/>
  <c r="G305"/>
  <c r="H306"/>
  <c r="G306"/>
  <c r="H307"/>
  <c r="G307"/>
  <c r="H308"/>
  <c r="G308"/>
  <c r="H309"/>
  <c r="G309"/>
  <c r="H310"/>
  <c r="G310"/>
  <c r="H311"/>
  <c r="G311"/>
  <c r="H312"/>
  <c r="G312"/>
  <c r="H313"/>
  <c r="G313"/>
  <c r="H314"/>
  <c r="G314"/>
  <c r="H315"/>
  <c r="G315"/>
  <c r="H316"/>
  <c r="G316"/>
  <c r="H317"/>
  <c r="G317"/>
  <c r="H318"/>
  <c r="G318"/>
  <c r="H319"/>
  <c r="G319"/>
  <c r="H320"/>
  <c r="G320"/>
  <c r="H321"/>
  <c r="G321"/>
  <c r="H322"/>
  <c r="G322"/>
  <c r="H323"/>
  <c r="G323"/>
  <c r="H324"/>
  <c r="G324"/>
  <c r="H325"/>
  <c r="G325"/>
  <c r="H326"/>
  <c r="G326"/>
  <c r="H327"/>
  <c r="G327"/>
  <c r="H328"/>
  <c r="G328"/>
  <c r="H329"/>
  <c r="G329"/>
  <c r="H330"/>
  <c r="G330"/>
  <c r="H331"/>
  <c r="G331"/>
  <c r="H332"/>
  <c r="G332"/>
  <c r="H333"/>
  <c r="G333"/>
  <c r="H334"/>
  <c r="G334"/>
  <c r="H335"/>
  <c r="G335"/>
  <c r="H336"/>
  <c r="G336"/>
  <c r="H337"/>
  <c r="G337"/>
  <c r="H338"/>
  <c r="G338"/>
  <c r="H339"/>
  <c r="G339"/>
  <c r="H340"/>
  <c r="G340"/>
  <c r="H341"/>
  <c r="G341"/>
  <c r="H342"/>
  <c r="G342"/>
  <c r="H343"/>
  <c r="G343"/>
  <c r="H344"/>
  <c r="G344"/>
  <c r="H345"/>
  <c r="G345"/>
  <c r="H346"/>
  <c r="G346"/>
  <c r="H347"/>
  <c r="G347"/>
  <c r="H348"/>
  <c r="G348"/>
  <c r="H349"/>
  <c r="G349"/>
  <c r="H350"/>
  <c r="G350"/>
  <c r="H351"/>
  <c r="G351"/>
  <c r="H352"/>
  <c r="G352"/>
  <c r="H353"/>
  <c r="G353"/>
  <c r="H354"/>
  <c r="G354"/>
  <c r="H355"/>
  <c r="G355"/>
  <c r="H356"/>
  <c r="G356"/>
  <c r="H357"/>
  <c r="G357"/>
  <c r="H358"/>
  <c r="G358"/>
  <c r="H359"/>
  <c r="G359"/>
  <c r="H360"/>
  <c r="G360"/>
  <c r="H361"/>
  <c r="G361"/>
  <c r="H362"/>
  <c r="G362"/>
  <c r="H363"/>
  <c r="G363"/>
  <c r="H364"/>
  <c r="G364"/>
  <c r="H365"/>
  <c r="G365"/>
  <c r="H366"/>
  <c r="G366"/>
  <c r="H367"/>
  <c r="G367"/>
  <c r="H368"/>
  <c r="G368"/>
  <c r="H369"/>
  <c r="G369"/>
  <c r="H370"/>
  <c r="G370"/>
  <c r="H371"/>
  <c r="G371"/>
  <c r="H372"/>
  <c r="G372"/>
  <c r="H373"/>
  <c r="G373"/>
  <c r="H374"/>
  <c r="G374"/>
  <c r="H375"/>
  <c r="G375"/>
  <c r="H376"/>
  <c r="G376"/>
  <c r="H377"/>
  <c r="G377"/>
  <c r="H378"/>
  <c r="G378"/>
  <c r="H379"/>
  <c r="G379"/>
  <c r="H380"/>
  <c r="G380"/>
  <c r="H381"/>
  <c r="G381"/>
  <c r="H382"/>
  <c r="G382"/>
  <c r="H383"/>
  <c r="G383"/>
  <c r="H384"/>
  <c r="G384"/>
  <c r="H385"/>
  <c r="G385"/>
  <c r="H386"/>
  <c r="G386"/>
  <c r="H387"/>
  <c r="G387"/>
  <c r="H388"/>
  <c r="G388"/>
  <c r="H389"/>
  <c r="G389"/>
  <c r="H390"/>
  <c r="G390"/>
  <c r="H391"/>
  <c r="G391"/>
  <c r="H392"/>
  <c r="G392"/>
  <c r="H393"/>
  <c r="G393"/>
  <c r="H394"/>
  <c r="G394"/>
  <c r="H395"/>
  <c r="G395"/>
  <c r="H396"/>
  <c r="G396"/>
  <c r="H397"/>
  <c r="G397"/>
  <c r="H398"/>
  <c r="G398"/>
  <c r="H399"/>
  <c r="G399"/>
  <c r="H400"/>
  <c r="G400"/>
  <c r="H401"/>
  <c r="G401"/>
  <c r="H402"/>
  <c r="G402"/>
  <c r="H403"/>
  <c r="G403"/>
  <c r="H404"/>
  <c r="G404"/>
  <c r="H405"/>
  <c r="G405"/>
  <c r="H406"/>
  <c r="G406"/>
  <c r="H407"/>
  <c r="G407"/>
  <c r="H408"/>
  <c r="G408"/>
  <c r="H409"/>
  <c r="G409"/>
  <c r="H410"/>
  <c r="G410"/>
  <c r="H411"/>
  <c r="G411"/>
  <c r="H412"/>
  <c r="G412"/>
  <c r="H413"/>
  <c r="G413"/>
  <c r="H414"/>
  <c r="G414"/>
  <c r="H415"/>
  <c r="G415"/>
  <c r="H416"/>
  <c r="G416"/>
  <c r="H417"/>
  <c r="G417"/>
  <c r="H418"/>
  <c r="G418"/>
  <c r="H419"/>
  <c r="G419"/>
  <c r="H420"/>
  <c r="G420"/>
  <c r="H421"/>
  <c r="G421"/>
  <c r="H422"/>
  <c r="G422"/>
  <c r="H423"/>
  <c r="G423"/>
  <c r="H424"/>
  <c r="G424"/>
  <c r="H425"/>
  <c r="G425"/>
  <c r="H426"/>
  <c r="G426"/>
  <c r="H427"/>
  <c r="G427"/>
  <c r="H428"/>
  <c r="G428"/>
  <c r="H429"/>
  <c r="G429"/>
  <c r="H430"/>
  <c r="G430"/>
  <c r="H431"/>
  <c r="G431"/>
  <c r="H432"/>
  <c r="G432"/>
  <c r="H433"/>
  <c r="G433"/>
  <c r="H434"/>
  <c r="G434"/>
  <c r="H435"/>
  <c r="G435"/>
  <c r="H436"/>
  <c r="G436"/>
  <c r="H437"/>
  <c r="G437"/>
  <c r="H438"/>
  <c r="G438"/>
  <c r="H439"/>
  <c r="G439"/>
  <c r="H440"/>
  <c r="G440"/>
  <c r="H441"/>
  <c r="G441"/>
  <c r="H442"/>
  <c r="G442"/>
  <c r="H443"/>
  <c r="G443"/>
  <c r="H444"/>
  <c r="G444"/>
  <c r="H445"/>
  <c r="G445"/>
  <c r="H446"/>
  <c r="G446"/>
  <c r="H447"/>
  <c r="G447"/>
  <c r="H448"/>
  <c r="G448"/>
  <c r="H449"/>
  <c r="G449"/>
  <c r="H450"/>
  <c r="G450"/>
  <c r="H451"/>
  <c r="G451"/>
  <c r="H452"/>
  <c r="G452"/>
  <c r="H453"/>
  <c r="G453"/>
  <c r="H454"/>
  <c r="G454"/>
  <c r="H455"/>
  <c r="G455"/>
  <c r="H456"/>
  <c r="G456"/>
  <c r="H457"/>
  <c r="G457"/>
  <c r="H458"/>
  <c r="G458"/>
  <c r="H459"/>
  <c r="G459"/>
  <c r="H460"/>
  <c r="G460"/>
  <c r="H461"/>
  <c r="G461"/>
  <c r="H462"/>
  <c r="G462"/>
  <c r="H463"/>
  <c r="G463"/>
  <c r="H464"/>
  <c r="G464"/>
  <c r="H465"/>
  <c r="G465"/>
  <c r="H466"/>
  <c r="G466"/>
  <c r="H467"/>
  <c r="G467"/>
  <c r="H468"/>
  <c r="G468"/>
  <c r="H469"/>
  <c r="G469"/>
  <c r="H470"/>
  <c r="G470"/>
  <c r="H471"/>
  <c r="G471"/>
  <c r="H472"/>
  <c r="G472"/>
  <c r="H473"/>
  <c r="G473"/>
  <c r="H474"/>
  <c r="G474"/>
  <c r="H475"/>
  <c r="G475"/>
  <c r="H476"/>
  <c r="G476"/>
  <c r="H477"/>
  <c r="G477"/>
  <c r="H478"/>
  <c r="G478"/>
  <c r="H479"/>
  <c r="G479"/>
  <c r="H480"/>
  <c r="G480"/>
  <c r="H481"/>
  <c r="G481"/>
  <c r="H482"/>
  <c r="G482"/>
  <c r="H483"/>
  <c r="G483"/>
  <c r="H484"/>
  <c r="G484"/>
  <c r="H485"/>
  <c r="G485"/>
  <c r="H486"/>
  <c r="G486"/>
  <c r="H487"/>
  <c r="G487"/>
  <c r="H488"/>
  <c r="G488"/>
  <c r="H489"/>
  <c r="G489"/>
  <c r="H490"/>
  <c r="G490"/>
  <c r="H491"/>
  <c r="G491"/>
  <c r="H492"/>
  <c r="G492"/>
  <c r="H493"/>
  <c r="G493"/>
  <c r="H494"/>
  <c r="G494"/>
  <c r="H495"/>
  <c r="G495"/>
  <c r="H496"/>
  <c r="G496"/>
  <c r="H497"/>
  <c r="G497"/>
  <c r="H498"/>
  <c r="G498"/>
  <c r="H499"/>
  <c r="G499"/>
  <c r="H500"/>
  <c r="G500"/>
  <c r="H501"/>
  <c r="G501"/>
  <c r="H502"/>
  <c r="G502"/>
  <c r="H503"/>
  <c r="G503"/>
  <c r="H504"/>
  <c r="G504"/>
  <c r="H505"/>
  <c r="G505"/>
  <c r="H506"/>
  <c r="G506"/>
  <c r="H507"/>
  <c r="G507"/>
  <c r="H508"/>
  <c r="G508"/>
  <c r="H509"/>
  <c r="G509"/>
  <c r="H510"/>
  <c r="G510"/>
  <c r="H511"/>
  <c r="G511"/>
  <c r="H512"/>
  <c r="G512"/>
  <c r="H513"/>
  <c r="G513"/>
  <c r="H514"/>
  <c r="G514"/>
  <c r="H515"/>
  <c r="G515"/>
  <c r="H516"/>
  <c r="G516"/>
  <c r="H517"/>
  <c r="G517"/>
  <c r="H518"/>
  <c r="G518"/>
  <c r="H519"/>
  <c r="G519"/>
  <c r="H520"/>
  <c r="G520"/>
  <c r="H521"/>
  <c r="G521"/>
  <c r="H522"/>
  <c r="G522"/>
  <c r="H523"/>
  <c r="G523"/>
  <c r="H524"/>
  <c r="G524"/>
  <c r="H525"/>
  <c r="G525"/>
  <c r="H526"/>
  <c r="G526"/>
  <c r="H527"/>
  <c r="G527"/>
  <c r="H528"/>
  <c r="G528"/>
  <c r="H529"/>
  <c r="G529"/>
  <c r="H530"/>
  <c r="G530"/>
  <c r="H531"/>
  <c r="G531"/>
  <c r="H532"/>
  <c r="G532"/>
  <c r="H533"/>
  <c r="G533"/>
  <c r="H534"/>
  <c r="G534"/>
  <c r="H535"/>
  <c r="G535"/>
  <c r="H536"/>
  <c r="G536"/>
  <c r="H537"/>
  <c r="G537"/>
  <c r="H538"/>
  <c r="G538"/>
  <c r="H539"/>
  <c r="G539"/>
  <c r="H540"/>
  <c r="G540"/>
  <c r="H541"/>
  <c r="G541"/>
  <c r="H542"/>
  <c r="G542"/>
  <c r="H543"/>
  <c r="G543"/>
  <c r="H544"/>
  <c r="G544"/>
  <c r="H545"/>
  <c r="G545"/>
  <c r="H546"/>
  <c r="G546"/>
  <c r="H547"/>
  <c r="G547"/>
  <c r="H548"/>
  <c r="G548"/>
  <c r="H549"/>
  <c r="G549"/>
  <c r="H550"/>
  <c r="G550"/>
  <c r="H551"/>
  <c r="G551"/>
  <c r="H552"/>
  <c r="G552"/>
  <c r="H553"/>
  <c r="G553"/>
  <c r="H554"/>
  <c r="G554"/>
  <c r="H555"/>
  <c r="G555"/>
  <c r="H556"/>
  <c r="G556"/>
  <c r="H557"/>
  <c r="G557"/>
  <c r="H558"/>
  <c r="G558"/>
  <c r="H559"/>
  <c r="G559"/>
  <c r="H560"/>
  <c r="G560"/>
  <c r="H561"/>
  <c r="G561"/>
  <c r="H562"/>
  <c r="G562"/>
  <c r="H563"/>
  <c r="G563"/>
  <c r="H564"/>
  <c r="G564"/>
  <c r="H565"/>
  <c r="G565"/>
  <c r="H566"/>
  <c r="G566"/>
  <c r="H567"/>
  <c r="G567"/>
  <c r="H568"/>
  <c r="G568"/>
  <c r="H569"/>
  <c r="G569"/>
  <c r="H570"/>
  <c r="G570"/>
  <c r="H571"/>
  <c r="G571"/>
  <c r="H572"/>
  <c r="G572"/>
  <c r="H573"/>
  <c r="G573"/>
  <c r="H574"/>
  <c r="G574"/>
  <c r="H575"/>
  <c r="G575"/>
  <c r="H576"/>
  <c r="G576"/>
  <c r="H577"/>
  <c r="G577"/>
  <c r="H578"/>
  <c r="G578"/>
  <c r="H579"/>
  <c r="G579"/>
  <c r="H580"/>
  <c r="G580"/>
  <c r="H581"/>
  <c r="G581"/>
  <c r="H582"/>
  <c r="G582"/>
  <c r="H583"/>
  <c r="G583"/>
  <c r="H584"/>
  <c r="G584"/>
  <c r="H585"/>
  <c r="G585"/>
  <c r="H586"/>
  <c r="G586"/>
  <c r="H587"/>
  <c r="G587"/>
  <c r="G5"/>
  <c r="AT5"/>
  <c r="B3"/>
  <c r="C6" i="69"/>
  <c r="F19" i="6"/>
  <c r="AH5" i="71"/>
  <c r="AG5"/>
  <c r="AE5"/>
  <c r="AF5"/>
  <c r="AD5"/>
  <c r="F13"/>
  <c r="F12"/>
  <c r="F11"/>
  <c r="F10"/>
  <c r="F9"/>
  <c r="F8"/>
  <c r="F7"/>
  <c r="F6"/>
  <c r="F5"/>
  <c r="E13"/>
  <c r="E12"/>
  <c r="E11"/>
  <c r="E10"/>
  <c r="E9"/>
  <c r="E8"/>
  <c r="E7"/>
  <c r="E6"/>
  <c r="E5"/>
  <c r="C13"/>
  <c r="C12"/>
  <c r="C11"/>
  <c r="C10"/>
  <c r="C9"/>
  <c r="C8"/>
  <c r="C7"/>
  <c r="C6"/>
  <c r="C5"/>
  <c r="D5"/>
  <c r="B13"/>
  <c r="B12"/>
  <c r="B11"/>
  <c r="B10"/>
  <c r="B9"/>
  <c r="B8"/>
  <c r="B7"/>
  <c r="B6"/>
  <c r="B5"/>
  <c r="AH6"/>
  <c r="AG6"/>
  <c r="AE6"/>
  <c r="AF6"/>
  <c r="AD6"/>
  <c r="D6"/>
  <c r="AH7"/>
  <c r="AG7"/>
  <c r="AE7"/>
  <c r="AF7"/>
  <c r="AD7"/>
  <c r="F24" i="12"/>
  <c r="F7" i="69"/>
  <c r="F7" i="68"/>
  <c r="M15" i="45"/>
  <c r="L15"/>
  <c r="K15"/>
  <c r="J15"/>
  <c r="I15"/>
  <c r="H15"/>
  <c r="G15"/>
  <c r="F15"/>
  <c r="E15"/>
  <c r="D15"/>
  <c r="C15"/>
  <c r="B15"/>
  <c r="AH8" i="71"/>
  <c r="AG8"/>
  <c r="AE8"/>
  <c r="AF8"/>
  <c r="AD8"/>
  <c r="AD9"/>
  <c r="AH9"/>
  <c r="AG9"/>
  <c r="AE9"/>
  <c r="AF9"/>
  <c r="L3"/>
  <c r="AH3"/>
  <c r="K3"/>
  <c r="AG3"/>
  <c r="J3"/>
  <c r="AE3"/>
  <c r="I3"/>
  <c r="AH10"/>
  <c r="AG10"/>
  <c r="AE10"/>
  <c r="AF10"/>
  <c r="AD10"/>
  <c r="AH11"/>
  <c r="AG11"/>
  <c r="AE11"/>
  <c r="AF11"/>
  <c r="AD11"/>
  <c r="C27"/>
  <c r="C28"/>
  <c r="C29"/>
  <c r="M19" i="43"/>
  <c r="D14" i="71"/>
  <c r="AH12"/>
  <c r="AG12"/>
  <c r="AE12"/>
  <c r="AF12"/>
  <c r="AD12"/>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AY6"/>
  <c r="D3" i="6"/>
  <c r="E19"/>
  <c r="E3"/>
  <c r="D19"/>
  <c r="M19" i="9"/>
  <c r="C118"/>
  <c r="C14" i="74"/>
  <c r="M18" i="9"/>
  <c r="B118"/>
  <c r="B14" i="74"/>
  <c r="AD13" i="71"/>
  <c r="AG13"/>
  <c r="AH13"/>
  <c r="AE13"/>
  <c r="AF13"/>
  <c r="V13"/>
  <c r="A2" i="53"/>
  <c r="K59" i="67"/>
  <c r="P61"/>
  <c r="K59" i="15"/>
  <c r="P74"/>
  <c r="P61"/>
  <c r="P74" i="67"/>
  <c r="D116" i="39"/>
  <c r="E116"/>
  <c r="F116"/>
  <c r="G116"/>
  <c r="H116"/>
  <c r="I116"/>
  <c r="J116"/>
  <c r="K116"/>
  <c r="L116"/>
  <c r="M116"/>
  <c r="C116"/>
  <c r="A21" i="62"/>
  <c r="A20"/>
  <c r="A22" i="51"/>
  <c r="A21"/>
  <c r="A20"/>
  <c r="A15" i="62"/>
  <c r="A14"/>
  <c r="A13"/>
  <c r="B59" i="72"/>
  <c r="A19" i="62"/>
  <c r="A12"/>
  <c r="B58" i="72"/>
  <c r="A120" i="9"/>
  <c r="H2" i="52"/>
  <c r="A1"/>
  <c r="A3" i="53"/>
  <c r="A15" i="51"/>
  <c r="B12" i="72"/>
  <c r="C76" i="9"/>
  <c r="I107" i="40"/>
  <c r="K6" i="4"/>
  <c r="B22" i="31"/>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L1" i="73"/>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F27"/>
  <c r="F28"/>
  <c r="F29"/>
  <c r="V29"/>
  <c r="D26"/>
  <c r="F23"/>
  <c r="F24"/>
  <c r="F25"/>
  <c r="V25"/>
  <c r="D22"/>
  <c r="F19"/>
  <c r="F20"/>
  <c r="F21"/>
  <c r="V21"/>
  <c r="D18"/>
  <c r="B19"/>
  <c r="B20"/>
  <c r="B21"/>
  <c r="S21"/>
  <c r="E19"/>
  <c r="E20"/>
  <c r="E21"/>
  <c r="U21"/>
  <c r="B23"/>
  <c r="B24"/>
  <c r="B25"/>
  <c r="S25"/>
  <c r="B27"/>
  <c r="B28"/>
  <c r="B29"/>
  <c r="S29"/>
  <c r="E27"/>
  <c r="E28"/>
  <c r="E29"/>
  <c r="U29"/>
  <c r="N57"/>
  <c r="E23"/>
  <c r="E24"/>
  <c r="E25"/>
  <c r="U25"/>
  <c r="C19"/>
  <c r="C23"/>
  <c r="C24"/>
  <c r="F40"/>
  <c r="F41"/>
  <c r="V41"/>
  <c r="C17"/>
  <c r="B17"/>
  <c r="B16"/>
  <c r="B15"/>
  <c r="C20"/>
  <c r="D19"/>
  <c r="D23"/>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E17"/>
  <c r="E16"/>
  <c r="E15"/>
  <c r="D17"/>
  <c r="U17"/>
  <c r="C55"/>
  <c r="O56"/>
  <c r="D56"/>
  <c r="C53"/>
  <c r="D52"/>
  <c r="D72"/>
  <c r="C71"/>
  <c r="D71"/>
  <c r="D64"/>
  <c r="C63"/>
  <c r="D63"/>
  <c r="N54"/>
  <c r="N55"/>
  <c r="D76"/>
  <c r="C75"/>
  <c r="D75"/>
  <c r="D68"/>
  <c r="C67"/>
  <c r="D67"/>
  <c r="D60"/>
  <c r="C59"/>
  <c r="D59"/>
  <c r="C49"/>
  <c r="D48"/>
  <c r="C45"/>
  <c r="D44"/>
  <c r="P56"/>
  <c r="E55"/>
  <c r="C41"/>
  <c r="D40"/>
  <c r="C33"/>
  <c r="D32"/>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C7"/>
  <c r="AC21" i="37"/>
  <c r="W21"/>
  <c r="AC21" i="34"/>
  <c r="W21"/>
  <c r="AC21" i="33"/>
  <c r="W21"/>
  <c r="AB21" i="21"/>
  <c r="U21"/>
  <c r="G83"/>
  <c r="J21"/>
  <c r="C40" i="69"/>
  <c r="F38" i="68"/>
  <c r="E37"/>
  <c r="F36"/>
  <c r="F35"/>
  <c r="F21"/>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H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M55"/>
  <c r="N55"/>
  <c r="K55"/>
  <c r="J55"/>
  <c r="M54"/>
  <c r="N54"/>
  <c r="K54"/>
  <c r="J54"/>
  <c r="M53"/>
  <c r="N53"/>
  <c r="K53"/>
  <c r="J53"/>
  <c r="M52"/>
  <c r="N52"/>
  <c r="K52"/>
  <c r="J52"/>
  <c r="M51"/>
  <c r="N51"/>
  <c r="K51"/>
  <c r="J51"/>
  <c r="M50"/>
  <c r="N50"/>
  <c r="K50"/>
  <c r="J50"/>
  <c r="M49"/>
  <c r="N49"/>
  <c r="K49"/>
  <c r="J49"/>
  <c r="M48"/>
  <c r="N48"/>
  <c r="K48"/>
  <c r="J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A7"/>
  <c r="A8"/>
  <c r="B8"/>
  <c r="E8"/>
  <c r="A9"/>
  <c r="A10"/>
  <c r="A11"/>
  <c r="A12"/>
  <c r="A13"/>
  <c r="A6"/>
  <c r="F3" i="35"/>
  <c r="B11" i="1"/>
  <c r="E11"/>
  <c r="B7"/>
  <c r="E7"/>
  <c r="K10"/>
  <c r="B13"/>
  <c r="E13"/>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I15" i="4"/>
  <c r="H15"/>
  <c r="G15"/>
  <c r="D15"/>
  <c r="F7" i="1"/>
  <c r="G7"/>
  <c r="L21" i="4"/>
  <c r="F19"/>
  <c r="F2" i="52"/>
  <c r="B50" i="72"/>
  <c r="D2" i="52"/>
  <c r="B46" i="72"/>
  <c r="B8" i="53"/>
  <c r="B23" i="72"/>
  <c r="L4" i="9"/>
  <c r="B17" i="72"/>
  <c r="B15"/>
  <c r="A3" i="51"/>
  <c r="C8" i="11"/>
  <c r="B2" i="49"/>
  <c r="B7"/>
  <c r="B40" i="48"/>
  <c r="B3" i="72"/>
  <c r="N1" i="43"/>
  <c r="F35" i="4"/>
  <c r="J55" i="39"/>
  <c r="H34" i="43"/>
  <c r="H35"/>
  <c r="H36"/>
  <c r="H37"/>
  <c r="H38"/>
  <c r="H39"/>
  <c r="H33"/>
  <c r="F15"/>
  <c r="E15"/>
  <c r="D15"/>
  <c r="C15"/>
  <c r="C10"/>
  <c r="C11"/>
  <c r="C9"/>
  <c r="A7"/>
  <c r="F33" i="15"/>
  <c r="F61"/>
  <c r="M19"/>
  <c r="M10" i="1"/>
  <c r="O10"/>
  <c r="B22"/>
  <c r="B23"/>
  <c r="B24"/>
  <c r="B43"/>
  <c r="D78" i="9"/>
  <c r="E20" i="6"/>
  <c r="E21"/>
  <c r="K8" i="1"/>
  <c r="M8"/>
  <c r="F23" i="15"/>
  <c r="D24"/>
  <c r="O8" i="1"/>
  <c r="P8"/>
  <c r="M13"/>
  <c r="O13"/>
  <c r="P13"/>
  <c r="E22" i="6"/>
  <c r="E23"/>
  <c r="E24"/>
  <c r="E25"/>
  <c r="E26"/>
  <c r="BC10" i="3"/>
  <c r="BD10"/>
  <c r="BB10"/>
  <c r="F35" i="11"/>
  <c r="F36"/>
  <c r="F38"/>
  <c r="E37"/>
  <c r="F20"/>
  <c r="F21"/>
  <c r="C21"/>
  <c r="F7"/>
  <c r="C7"/>
  <c r="C5"/>
  <c r="F12" i="12"/>
  <c r="F13"/>
  <c r="F15"/>
  <c r="E14"/>
  <c r="BC11" i="3"/>
  <c r="BD11"/>
  <c r="BB11"/>
  <c r="E19" i="12"/>
  <c r="E20"/>
  <c r="E17"/>
  <c r="F22"/>
  <c r="F23"/>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BE10" i="3"/>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F17" i="21"/>
  <c r="AA17"/>
  <c r="H17"/>
  <c r="AB17"/>
  <c r="F15"/>
  <c r="S15"/>
  <c r="AB11"/>
  <c r="J41" i="39"/>
  <c r="W41"/>
  <c r="AC45"/>
  <c r="W44"/>
  <c r="W36"/>
  <c r="W35"/>
  <c r="U36"/>
  <c r="S35"/>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BO5" i="3"/>
  <c r="BM5"/>
  <c r="F29" i="6"/>
  <c r="BJ5" i="3"/>
  <c r="BH5"/>
  <c r="BF5"/>
  <c r="BD5"/>
  <c r="BQ5"/>
  <c r="BS5"/>
  <c r="BP5"/>
  <c r="BN5"/>
  <c r="BK5"/>
  <c r="BI5"/>
  <c r="BG5"/>
  <c r="BE5"/>
  <c r="BC5"/>
  <c r="BT5"/>
  <c r="BB5"/>
  <c r="BR5"/>
  <c r="G28" i="6"/>
  <c r="E8"/>
  <c r="F27"/>
  <c r="U36" i="40"/>
  <c r="F36" i="43"/>
  <c r="F81"/>
  <c r="H83"/>
  <c r="N3"/>
  <c r="N2"/>
  <c r="F48"/>
  <c r="H52"/>
  <c r="F70"/>
  <c r="H73"/>
  <c r="M11"/>
  <c r="D17"/>
  <c r="F39"/>
  <c r="I17"/>
  <c r="F35"/>
  <c r="J17"/>
  <c r="U17" i="39"/>
  <c r="S14" i="35"/>
  <c r="U43" i="21"/>
  <c r="U35"/>
  <c r="AC35"/>
  <c r="U10"/>
  <c r="G8" i="1"/>
  <c r="G9"/>
  <c r="G10"/>
  <c r="F48" i="9"/>
  <c r="O52"/>
  <c r="AC11" i="39"/>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C40" i="11"/>
  <c r="H75" i="43"/>
  <c r="H50"/>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K6" i="1"/>
  <c r="E13" i="6"/>
  <c r="E58" i="40"/>
  <c r="G29" i="6"/>
  <c r="E29"/>
  <c r="AC26" i="33"/>
  <c r="W26"/>
  <c r="W27" i="34"/>
  <c r="AC27"/>
  <c r="AB34" i="36"/>
  <c r="U34"/>
  <c r="AB33"/>
  <c r="U33"/>
  <c r="AC12" i="39"/>
  <c r="W12"/>
  <c r="AC39" i="40"/>
  <c r="W39"/>
  <c r="B113" i="43"/>
  <c r="B115"/>
  <c r="C115"/>
  <c r="K101"/>
  <c r="K103"/>
  <c r="F101"/>
  <c r="F104"/>
  <c r="N101"/>
  <c r="N102"/>
  <c r="G101"/>
  <c r="G105"/>
  <c r="C101"/>
  <c r="C104"/>
  <c r="J101"/>
  <c r="J104"/>
  <c r="N104" i="46"/>
  <c r="W12" i="33"/>
  <c r="AC12"/>
  <c r="AA32" i="36"/>
  <c r="S32"/>
  <c r="AA39" i="34"/>
  <c r="F28" i="6"/>
  <c r="U30" i="33"/>
  <c r="AC13" i="34"/>
  <c r="AA47"/>
  <c r="W28" i="37"/>
  <c r="S19" i="39"/>
  <c r="F12" i="33"/>
  <c r="H12" i="39"/>
  <c r="AB12"/>
  <c r="F39" i="40"/>
  <c r="S12" i="1"/>
  <c r="R12"/>
  <c r="B12"/>
  <c r="E12"/>
  <c r="S10"/>
  <c r="AQ10"/>
  <c r="R10"/>
  <c r="B10"/>
  <c r="E10"/>
  <c r="D1" i="66"/>
  <c r="E10"/>
  <c r="K12" i="1"/>
  <c r="M12"/>
  <c r="O12"/>
  <c r="P12"/>
  <c r="S13"/>
  <c r="AR13"/>
  <c r="R13"/>
  <c r="S11"/>
  <c r="AQ11"/>
  <c r="R11"/>
  <c r="S9"/>
  <c r="AR9"/>
  <c r="R9"/>
  <c r="J51" i="67"/>
  <c r="C42" i="1"/>
  <c r="C4" i="12"/>
  <c r="B41" i="1"/>
  <c r="F31" i="12"/>
  <c r="C31"/>
  <c r="H100" i="43"/>
  <c r="C30" i="66"/>
  <c r="E26"/>
  <c r="AC34" i="33"/>
  <c r="AA34"/>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1" i="43"/>
  <c r="N8"/>
  <c r="D120" i="9"/>
  <c r="C18"/>
  <c r="D18"/>
  <c r="F34" i="67"/>
  <c r="F62"/>
  <c r="M20"/>
  <c r="F34" i="15"/>
  <c r="F62"/>
  <c r="E10" i="6"/>
  <c r="BA5" i="3"/>
  <c r="E27" i="6"/>
  <c r="E11"/>
  <c r="E61" i="39"/>
  <c r="E65"/>
  <c r="G30" i="6"/>
  <c r="G31"/>
  <c r="J56" i="9"/>
  <c r="J57"/>
  <c r="A24" i="51"/>
  <c r="B18" i="72"/>
  <c r="U29" i="34"/>
  <c r="C106" i="43"/>
  <c r="E14" i="6"/>
  <c r="E64" i="39"/>
  <c r="E5" i="6"/>
  <c r="D9" i="11"/>
  <c r="C9"/>
  <c r="J105" i="43"/>
  <c r="I115"/>
  <c r="J115"/>
  <c r="K115"/>
  <c r="L115"/>
  <c r="M115"/>
  <c r="G102"/>
  <c r="P10" i="1"/>
  <c r="L101" i="43"/>
  <c r="L109"/>
  <c r="H101"/>
  <c r="D101"/>
  <c r="D109"/>
  <c r="M101"/>
  <c r="M109"/>
  <c r="I101"/>
  <c r="I109"/>
  <c r="E101"/>
  <c r="E32" i="6"/>
  <c r="L19"/>
  <c r="G1" i="68"/>
  <c r="K1" i="12"/>
  <c r="F30" i="6"/>
  <c r="F31"/>
  <c r="E28"/>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E1" i="73"/>
  <c r="G41" i="69"/>
  <c r="G22"/>
  <c r="G41" i="68"/>
  <c r="G22"/>
  <c r="G27" i="12"/>
  <c r="G26"/>
  <c r="G41" i="11"/>
  <c r="G22"/>
  <c r="G25" i="12"/>
  <c r="C109" i="43"/>
  <c r="J109"/>
  <c r="C100"/>
  <c r="K109"/>
  <c r="E11"/>
  <c r="E10"/>
  <c r="E9"/>
  <c r="E8"/>
  <c r="E81"/>
  <c r="B79"/>
  <c r="F109"/>
  <c r="AJ11"/>
  <c r="AJ13"/>
  <c r="AH11"/>
  <c r="AH13"/>
  <c r="AF11"/>
  <c r="AF13"/>
  <c r="AD11"/>
  <c r="AD13"/>
  <c r="AB11"/>
  <c r="AB13"/>
  <c r="Z11"/>
  <c r="Z13"/>
  <c r="Z7"/>
  <c r="S5"/>
  <c r="AI11"/>
  <c r="AI13"/>
  <c r="AG11"/>
  <c r="AG13"/>
  <c r="AE11"/>
  <c r="AE13"/>
  <c r="AC11"/>
  <c r="AC13"/>
  <c r="AA11"/>
  <c r="AA13"/>
  <c r="Y11"/>
  <c r="Y13"/>
  <c r="E70"/>
  <c r="B68"/>
  <c r="G109"/>
  <c r="N109"/>
  <c r="F100"/>
  <c r="H17"/>
  <c r="D9" i="53"/>
  <c r="B25" i="72"/>
  <c r="B24"/>
  <c r="G6" i="1"/>
  <c r="H85" i="43"/>
  <c r="H81"/>
  <c r="H84"/>
  <c r="H88"/>
  <c r="H53"/>
  <c r="H78"/>
  <c r="H71"/>
  <c r="C17"/>
  <c r="F33"/>
  <c r="K17"/>
  <c r="F34"/>
  <c r="N6"/>
  <c r="F38"/>
  <c r="F37"/>
  <c r="M9"/>
  <c r="N5"/>
  <c r="M12"/>
  <c r="B19" i="53"/>
  <c r="B37" i="72"/>
  <c r="C7" i="39"/>
  <c r="C68"/>
  <c r="C7" i="35"/>
  <c r="C7" i="33"/>
  <c r="C58"/>
  <c r="D58"/>
  <c r="E58"/>
  <c r="F58"/>
  <c r="G58"/>
  <c r="H58"/>
  <c r="I58"/>
  <c r="J58"/>
  <c r="K58"/>
  <c r="L58"/>
  <c r="M58"/>
  <c r="N58"/>
  <c r="O58"/>
  <c r="C7" i="21"/>
  <c r="C58"/>
  <c r="C7" i="40"/>
  <c r="C63"/>
  <c r="M47" i="9"/>
  <c r="O19" i="43"/>
  <c r="T35" i="4"/>
  <c r="A19" i="51"/>
  <c r="B14" i="72"/>
  <c r="C46" i="36"/>
  <c r="D46"/>
  <c r="C59" i="34"/>
  <c r="D59"/>
  <c r="E59"/>
  <c r="F59"/>
  <c r="C52" i="37"/>
  <c r="D52"/>
  <c r="E52"/>
  <c r="F52"/>
  <c r="A4" i="51"/>
  <c r="B6" i="72"/>
  <c r="C48" i="35"/>
  <c r="D48"/>
  <c r="E48"/>
  <c r="H66" i="43"/>
  <c r="H65"/>
  <c r="H64"/>
  <c r="H63"/>
  <c r="H55"/>
  <c r="H56"/>
  <c r="H72"/>
  <c r="L20" i="6"/>
  <c r="E62" i="39"/>
  <c r="E56"/>
  <c r="E51" i="40"/>
  <c r="B6" i="1"/>
  <c r="E6"/>
  <c r="S8"/>
  <c r="K11"/>
  <c r="M11"/>
  <c r="O11"/>
  <c r="P11"/>
  <c r="AP6"/>
  <c r="B9"/>
  <c r="E9"/>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M6"/>
  <c r="O6"/>
  <c r="P6"/>
  <c r="F30" i="68"/>
  <c r="F30" i="11"/>
  <c r="C48"/>
  <c r="F28" i="67"/>
  <c r="F52" i="9"/>
  <c r="M18" i="67"/>
  <c r="F32"/>
  <c r="F60"/>
  <c r="F30" i="69"/>
  <c r="C48"/>
  <c r="F32" i="15"/>
  <c r="F60"/>
  <c r="M18"/>
  <c r="F28"/>
  <c r="E63" i="39"/>
  <c r="T11" i="1"/>
  <c r="D9" i="69"/>
  <c r="C9"/>
  <c r="D19" i="12"/>
  <c r="C19"/>
  <c r="AQ9" i="1"/>
  <c r="AR11"/>
  <c r="E59" i="4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K20" i="6"/>
  <c r="S7" i="1"/>
  <c r="E7" i="70"/>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C23"/>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K21" i="6"/>
  <c r="M21"/>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K19" i="6"/>
  <c r="S6" i="1"/>
  <c r="AQ6"/>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M19" i="6"/>
  <c r="S21"/>
  <c r="L27"/>
  <c r="S26"/>
  <c r="S22"/>
  <c r="M20"/>
  <c r="I20"/>
  <c r="AP7" i="1"/>
  <c r="M7"/>
  <c r="O7"/>
  <c r="Q16"/>
  <c r="F27" i="69"/>
  <c r="C47"/>
  <c r="D45"/>
  <c r="H16" i="1"/>
  <c r="K16"/>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T6" i="1"/>
  <c r="H6" i="3"/>
  <c r="AC6"/>
  <c r="E6" i="6"/>
  <c r="D19" i="11"/>
  <c r="C19"/>
  <c r="C17" i="4"/>
  <c r="B4" i="52"/>
  <c r="B43" i="72"/>
  <c r="D37" i="11"/>
  <c r="I19" i="6"/>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M16" i="1"/>
  <c r="N16"/>
  <c r="F27" i="11"/>
  <c r="AC11" i="37"/>
  <c r="W11"/>
  <c r="W11" i="34"/>
  <c r="AC11"/>
  <c r="H20" i="6"/>
  <c r="B2" i="74"/>
  <c r="E6" i="3"/>
  <c r="D10" i="68"/>
  <c r="C10"/>
  <c r="D10" i="11"/>
  <c r="C10"/>
  <c r="D20" i="12"/>
  <c r="C20"/>
  <c r="D25" i="6"/>
  <c r="D26"/>
  <c r="D15"/>
  <c r="C18" i="4"/>
  <c r="D22" i="6"/>
  <c r="D8"/>
  <c r="D21"/>
  <c r="D23"/>
  <c r="D24"/>
  <c r="D14"/>
  <c r="D20"/>
  <c r="R20"/>
  <c r="R7" i="1"/>
  <c r="D5" i="6"/>
  <c r="D6"/>
  <c r="D12"/>
  <c r="D9"/>
  <c r="D11"/>
  <c r="D10"/>
  <c r="D13"/>
  <c r="H19"/>
  <c r="L19" i="9"/>
  <c r="D28" i="6"/>
  <c r="D29"/>
  <c r="E61" i="40"/>
  <c r="H25" i="6"/>
  <c r="R25"/>
  <c r="H22"/>
  <c r="H23"/>
  <c r="H21"/>
  <c r="H26"/>
  <c r="H24"/>
  <c r="P16" i="1"/>
  <c r="C11" i="12"/>
  <c r="C15"/>
  <c r="F34" i="11"/>
  <c r="C37"/>
  <c r="F11" i="12"/>
  <c r="C23"/>
  <c r="F34" i="68"/>
  <c r="S19" i="6"/>
  <c r="S27"/>
  <c r="I27"/>
  <c r="F50" i="11"/>
  <c r="F50" i="69"/>
  <c r="F50" i="68"/>
  <c r="C47" i="11"/>
  <c r="D45"/>
  <c r="C29"/>
  <c r="D27"/>
  <c r="L16" i="1"/>
  <c r="C34" i="11"/>
  <c r="C38"/>
  <c r="R26" i="6"/>
  <c r="R23"/>
  <c r="R24"/>
  <c r="R21"/>
  <c r="R8" i="1"/>
  <c r="R22" i="6"/>
  <c r="D30"/>
  <c r="D16"/>
  <c r="A7" i="51"/>
  <c r="B7" i="72"/>
  <c r="C4" i="52"/>
  <c r="B45" i="72"/>
  <c r="A10" i="51"/>
  <c r="B9" i="72"/>
  <c r="D27" i="6"/>
  <c r="H27"/>
  <c r="R19"/>
  <c r="C35" i="11"/>
  <c r="D31" i="6"/>
  <c r="I6"/>
  <c r="R27"/>
  <c r="R6" i="1"/>
  <c r="I5" i="6"/>
  <c r="E2" i="70"/>
  <c r="C34" i="69"/>
  <c r="D10"/>
  <c r="C10"/>
  <c r="S16" i="1"/>
  <c r="AE7"/>
  <c r="T16"/>
  <c r="AE8"/>
  <c r="L48" i="67"/>
  <c r="J53"/>
  <c r="F1"/>
  <c r="AE6" i="1"/>
  <c r="AG6"/>
  <c r="H109" i="9"/>
  <c r="M49"/>
  <c r="L68"/>
  <c r="M68"/>
  <c r="L65"/>
  <c r="M65"/>
  <c r="L66"/>
  <c r="M66"/>
  <c r="L64"/>
  <c r="M64"/>
  <c r="L63"/>
  <c r="M63"/>
  <c r="L67"/>
  <c r="M67"/>
  <c r="H110"/>
  <c r="D18" i="53"/>
  <c r="B35" i="72"/>
  <c r="D124" i="9"/>
  <c r="D16" i="53"/>
  <c r="B34" i="72"/>
  <c r="M69" i="9"/>
  <c r="D10" i="52"/>
  <c r="H14" i="74"/>
  <c r="D17" i="53"/>
  <c r="B36" i="72"/>
  <c r="D125" i="9"/>
  <c r="D11" i="52"/>
  <c r="N69" i="9"/>
  <c r="B7" i="74"/>
  <c r="D7"/>
  <c r="C7"/>
  <c r="J7" i="33"/>
  <c r="W7"/>
  <c r="F7"/>
  <c r="S7"/>
  <c r="H7"/>
  <c r="AB7"/>
  <c r="T48"/>
  <c r="G48"/>
  <c r="H112" i="9"/>
  <c r="D21" i="53"/>
  <c r="B39" i="72"/>
  <c r="H111" i="9"/>
  <c r="D126"/>
  <c r="D19" i="53"/>
  <c r="D59" i="9"/>
  <c r="M55"/>
  <c r="B38" i="72"/>
  <c r="D20" i="53"/>
  <c r="B40" i="72"/>
  <c r="I14" i="74"/>
  <c r="B8"/>
  <c r="D127" i="9"/>
  <c r="D13" i="52"/>
  <c r="D12"/>
  <c r="D8" i="74"/>
  <c r="C8"/>
  <c r="AD3" i="71"/>
  <c r="B4" i="62"/>
  <c r="B71" i="72"/>
  <c r="C65" i="40"/>
  <c r="D63"/>
  <c r="G16" i="1"/>
  <c r="AA7" i="33"/>
  <c r="R48"/>
  <c r="C36" i="11"/>
  <c r="C33"/>
  <c r="C39"/>
  <c r="C46"/>
  <c r="C45"/>
  <c r="C36" i="68"/>
  <c r="C13" i="12"/>
  <c r="C30" i="69"/>
  <c r="C77" i="9"/>
  <c r="C74"/>
  <c r="C28" i="67"/>
  <c r="C30" i="68"/>
  <c r="H77" i="43"/>
  <c r="H76"/>
  <c r="H51"/>
  <c r="H67"/>
  <c r="H59"/>
  <c r="H60"/>
  <c r="H61"/>
  <c r="M4"/>
  <c r="M5"/>
  <c r="N12"/>
  <c r="N11"/>
  <c r="M10"/>
  <c r="M7"/>
  <c r="H70"/>
  <c r="H54"/>
  <c r="N9"/>
  <c r="M8"/>
  <c r="N10"/>
  <c r="H48"/>
  <c r="H74"/>
  <c r="M6"/>
  <c r="N7"/>
  <c r="N4"/>
  <c r="H49"/>
  <c r="N17"/>
  <c r="L17"/>
  <c r="O17"/>
  <c r="M17"/>
  <c r="E17"/>
  <c r="E48" i="33"/>
  <c r="R49"/>
  <c r="G52"/>
  <c r="H52"/>
  <c r="AC7"/>
  <c r="V48"/>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S9"/>
  <c r="C94" i="9"/>
  <c r="C92"/>
  <c r="C20" i="11"/>
  <c r="C28"/>
  <c r="C27"/>
  <c r="E7" i="49"/>
  <c r="E10"/>
  <c r="E14"/>
  <c r="AF3" i="71"/>
  <c r="P24" i="43"/>
  <c r="B66" i="40"/>
  <c r="P21" i="43"/>
  <c r="P22"/>
  <c r="C14" i="12"/>
  <c r="B13" i="49"/>
  <c r="B9"/>
  <c r="D19" i="68"/>
  <c r="C19"/>
  <c r="E6" i="49"/>
  <c r="B8"/>
  <c r="E4"/>
  <c r="B14"/>
  <c r="B22"/>
  <c r="C47" i="68"/>
  <c r="D45"/>
  <c r="C34"/>
  <c r="C35"/>
  <c r="D65" i="40"/>
  <c r="E63"/>
  <c r="G17" i="43"/>
  <c r="D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9" i="33"/>
  <c r="C48"/>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T14"/>
  <c r="V14"/>
  <c r="U9" i="71"/>
  <c r="G65" i="40"/>
  <c r="H63"/>
  <c r="H68" i="39"/>
  <c r="G70"/>
  <c r="R50" i="34"/>
  <c r="E49"/>
  <c r="U7"/>
  <c r="AB7"/>
  <c r="T49"/>
  <c r="G49"/>
  <c r="E52" i="21"/>
  <c r="F52"/>
  <c r="E53"/>
  <c r="F53"/>
  <c r="I53" i="34"/>
  <c r="J53"/>
  <c r="I54"/>
  <c r="J54"/>
  <c r="C48" i="21"/>
  <c r="C49"/>
  <c r="C39" i="43"/>
  <c r="E39"/>
  <c r="T3"/>
  <c r="V3"/>
  <c r="T6"/>
  <c r="V6"/>
  <c r="C38"/>
  <c r="G38"/>
  <c r="I38"/>
  <c r="T5"/>
  <c r="V5"/>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15"/>
  <c r="D2" i="34"/>
  <c r="F26" i="67"/>
  <c r="D2" i="33"/>
  <c r="M9" i="67"/>
  <c r="F40" i="15"/>
  <c r="B10" i="76"/>
  <c r="M27" i="67"/>
  <c r="F16" i="15"/>
  <c r="B8" i="76"/>
  <c r="M29" i="67"/>
  <c r="AO7" i="1"/>
  <c r="F20" i="31"/>
  <c r="M21" i="15"/>
  <c r="F5" i="73"/>
  <c r="D2" i="21"/>
  <c r="F6" i="67"/>
  <c r="F8"/>
  <c r="F7"/>
  <c r="F9"/>
  <c r="C6"/>
  <c r="F4" i="73"/>
  <c r="I1"/>
  <c r="B39" i="1"/>
  <c r="F11" i="67"/>
  <c r="C10"/>
  <c r="C5"/>
  <c r="C32"/>
  <c r="F43"/>
  <c r="C14"/>
  <c r="C15"/>
  <c r="F16"/>
  <c r="C16"/>
  <c r="C17"/>
  <c r="C18"/>
  <c r="C19"/>
  <c r="C20"/>
  <c r="D5" i="73"/>
  <c r="K1"/>
  <c r="G1"/>
  <c r="B40" i="1"/>
  <c r="F24" i="67"/>
  <c r="C23"/>
  <c r="C26"/>
  <c r="C24"/>
  <c r="C27"/>
  <c r="C29"/>
  <c r="C33"/>
  <c r="F35"/>
  <c r="C34"/>
  <c r="C31"/>
  <c r="F36"/>
  <c r="C36"/>
  <c r="F13"/>
  <c r="C13"/>
  <c r="F37"/>
  <c r="C37"/>
  <c r="F38"/>
  <c r="C38"/>
  <c r="C30"/>
  <c r="C39"/>
  <c r="F42"/>
  <c r="F40"/>
  <c r="F41"/>
  <c r="C40"/>
  <c r="M6"/>
  <c r="M8"/>
  <c r="M7"/>
  <c r="J6"/>
  <c r="M11"/>
  <c r="J10"/>
  <c r="J5"/>
  <c r="J26"/>
  <c r="J29"/>
  <c r="C76"/>
  <c r="L51"/>
  <c r="L57"/>
  <c r="L47"/>
  <c r="L58"/>
  <c r="L59"/>
  <c r="L60"/>
  <c r="J57"/>
  <c r="J55"/>
  <c r="J58"/>
  <c r="J59"/>
  <c r="J60"/>
  <c r="L46"/>
  <c r="D2"/>
  <c r="B2"/>
  <c r="AO6" i="1"/>
  <c r="E11" i="76"/>
  <c r="F7" i="73"/>
  <c r="F43" i="15"/>
  <c r="F35"/>
  <c r="AO12" i="1"/>
  <c r="D34" i="9"/>
  <c r="B3" i="67"/>
  <c r="D20" i="9"/>
  <c r="F8" i="15"/>
  <c r="E9" i="76"/>
  <c r="M21" i="67"/>
  <c r="E2" i="68"/>
  <c r="F36" i="15"/>
  <c r="J15"/>
  <c r="C76"/>
  <c r="D2" i="36"/>
  <c r="M24" i="67"/>
  <c r="AO13" i="1"/>
  <c r="F7" i="15"/>
  <c r="B13" i="76"/>
  <c r="B9"/>
  <c r="M8" i="15"/>
  <c r="M28" i="67"/>
  <c r="B7" i="76"/>
  <c r="F13" i="15"/>
  <c r="F38"/>
  <c r="M23"/>
  <c r="D19" i="9"/>
  <c r="J15" i="67"/>
  <c r="AO8" i="1"/>
  <c r="F3" i="73"/>
  <c r="C8" i="69"/>
  <c r="C5"/>
  <c r="C19"/>
  <c r="C20"/>
  <c r="F22"/>
  <c r="C23"/>
  <c r="C24"/>
  <c r="C25"/>
  <c r="C22"/>
  <c r="C28"/>
  <c r="C27"/>
  <c r="C26"/>
  <c r="D22"/>
  <c r="C29"/>
  <c r="D27"/>
  <c r="C31"/>
  <c r="C35"/>
  <c r="D19"/>
  <c r="D37"/>
  <c r="C37"/>
  <c r="C38"/>
  <c r="C33"/>
  <c r="C39"/>
  <c r="C42"/>
  <c r="C43"/>
  <c r="C41"/>
  <c r="C46"/>
  <c r="C45"/>
  <c r="C44"/>
  <c r="D41"/>
  <c r="C49"/>
  <c r="C51"/>
  <c r="C52"/>
  <c r="B2"/>
  <c r="C19" i="9"/>
  <c r="M26" i="15"/>
  <c r="M29"/>
  <c r="M22" i="67"/>
  <c r="F6" i="73"/>
  <c r="D2" i="37"/>
  <c r="B3" i="69"/>
  <c r="C20" i="9"/>
  <c r="L47" i="15"/>
  <c r="M6"/>
  <c r="AO9" i="1"/>
  <c r="B11" i="76"/>
  <c r="C14" i="15"/>
  <c r="F37"/>
  <c r="AO11" i="1"/>
  <c r="F41" i="15"/>
  <c r="D7" i="73"/>
  <c r="D6"/>
  <c r="F9" i="15"/>
  <c r="E7" i="76"/>
  <c r="M24" i="15"/>
  <c r="E10" i="76"/>
  <c r="AO10" i="1"/>
  <c r="M23" i="67"/>
  <c r="E2" i="69"/>
  <c r="E12" i="76"/>
  <c r="M22" i="15"/>
  <c r="F42"/>
  <c r="E8" i="76"/>
  <c r="E13"/>
  <c r="D2" i="35"/>
  <c r="M9" i="15"/>
  <c r="M28"/>
  <c r="F26"/>
  <c r="E6" i="76"/>
  <c r="B6"/>
  <c r="B12"/>
  <c r="M26" i="67"/>
  <c r="M27" i="15"/>
  <c r="F6"/>
  <c r="D35" i="9"/>
  <c r="D3" i="73"/>
  <c r="F31" i="67"/>
  <c r="F31" i="15"/>
  <c r="E9" i="49"/>
  <c r="E13"/>
  <c r="B11"/>
  <c r="E21"/>
  <c r="E8"/>
  <c r="B10"/>
  <c r="E11"/>
  <c r="E22"/>
  <c r="B4"/>
  <c r="B6"/>
  <c r="R16" i="1"/>
  <c r="D37" i="68"/>
  <c r="C37"/>
  <c r="C38"/>
  <c r="C12" i="12"/>
  <c r="C6" i="15"/>
  <c r="F69" i="67"/>
  <c r="F71"/>
  <c r="B2" i="76"/>
  <c r="E2"/>
  <c r="C27" i="15"/>
  <c r="B2" i="35"/>
  <c r="B3"/>
  <c r="F66" i="67"/>
  <c r="B10" i="70"/>
  <c r="F51" i="67"/>
  <c r="F69" i="15"/>
  <c r="B11" i="70"/>
  <c r="F65" i="15"/>
  <c r="C15"/>
  <c r="C18"/>
  <c r="F65" i="67"/>
  <c r="B9" i="70"/>
  <c r="N59" i="15"/>
  <c r="M59"/>
  <c r="L59"/>
  <c r="L58"/>
  <c r="C103" i="9"/>
  <c r="G20"/>
  <c r="B2" i="37"/>
  <c r="B3"/>
  <c r="M59" i="67"/>
  <c r="N59"/>
  <c r="D22" i="9"/>
  <c r="G19"/>
  <c r="C21"/>
  <c r="C102"/>
  <c r="B8" i="70"/>
  <c r="D21" i="9"/>
  <c r="D102"/>
  <c r="F66" i="15"/>
  <c r="F50"/>
  <c r="M7"/>
  <c r="Q71" i="67"/>
  <c r="B13" i="70"/>
  <c r="B2" i="36"/>
  <c r="B3"/>
  <c r="F50" i="67"/>
  <c r="Q71" i="15"/>
  <c r="F64"/>
  <c r="F63" i="67"/>
  <c r="C62"/>
  <c r="J20"/>
  <c r="F70"/>
  <c r="F68"/>
  <c r="F51" i="15"/>
  <c r="C49"/>
  <c r="D103" i="9"/>
  <c r="B12" i="70"/>
  <c r="F64" i="67"/>
  <c r="C34" i="15"/>
  <c r="F63"/>
  <c r="C62"/>
  <c r="F71"/>
  <c r="B6" i="70"/>
  <c r="B2" i="21"/>
  <c r="B3"/>
  <c r="J20" i="15"/>
  <c r="B20" i="31"/>
  <c r="B7" i="70"/>
  <c r="F68" i="15"/>
  <c r="B2" i="33"/>
  <c r="B3"/>
  <c r="B2" i="34"/>
  <c r="B3"/>
  <c r="J53" i="15"/>
  <c r="L56"/>
  <c r="J57"/>
  <c r="J55"/>
  <c r="J58"/>
  <c r="Q50"/>
  <c r="I54"/>
  <c r="Q50" i="67"/>
  <c r="L56"/>
  <c r="I54"/>
  <c r="C20" i="68"/>
  <c r="C28"/>
  <c r="C27"/>
  <c r="C16" i="12"/>
  <c r="C18"/>
  <c r="F59" i="15"/>
  <c r="F59" i="67"/>
  <c r="M17" i="15"/>
  <c r="M17" i="67"/>
  <c r="C17" i="15"/>
  <c r="C16"/>
  <c r="C33" i="68"/>
  <c r="C39"/>
  <c r="C46"/>
  <c r="C45"/>
  <c r="C19" i="15"/>
  <c r="G21" i="9"/>
  <c r="C32"/>
  <c r="Q61" i="67"/>
  <c r="Q74"/>
  <c r="Q60"/>
  <c r="Q73"/>
  <c r="Q74" i="15"/>
  <c r="Q61"/>
  <c r="C49" i="67"/>
  <c r="M11" i="15"/>
  <c r="F11"/>
  <c r="O28" i="43"/>
  <c r="P28"/>
  <c r="N28"/>
  <c r="B3" i="76"/>
  <c r="C32" i="15"/>
  <c r="C21" i="12"/>
  <c r="Q52" i="67"/>
  <c r="Q52" i="15"/>
  <c r="F1"/>
  <c r="B2" i="70"/>
  <c r="B3"/>
  <c r="J18" i="67"/>
  <c r="Q60" i="15"/>
  <c r="Q73"/>
  <c r="J6"/>
  <c r="J10"/>
  <c r="J18"/>
  <c r="J5"/>
  <c r="J24" i="67"/>
  <c r="C22" i="12"/>
  <c r="C30"/>
  <c r="C28"/>
  <c r="C53" i="15"/>
  <c r="C48"/>
  <c r="C10"/>
  <c r="C5"/>
  <c r="C53" i="67"/>
  <c r="C48"/>
  <c r="C35" i="9"/>
  <c r="F118"/>
  <c r="H118"/>
  <c r="F22" i="68"/>
  <c r="F25" i="12"/>
  <c r="C26"/>
  <c r="D25"/>
  <c r="F24" i="15"/>
  <c r="C24"/>
  <c r="F22" i="11"/>
  <c r="C20" i="15"/>
  <c r="C34" i="9"/>
  <c r="D118"/>
  <c r="D4" i="52"/>
  <c r="B47" i="72"/>
  <c r="C66" i="67"/>
  <c r="C60"/>
  <c r="C23" i="15"/>
  <c r="C26"/>
  <c r="C29"/>
  <c r="C23" i="68"/>
  <c r="C44"/>
  <c r="D41"/>
  <c r="C26"/>
  <c r="D22"/>
  <c r="C24"/>
  <c r="C42"/>
  <c r="C25"/>
  <c r="C43"/>
  <c r="D14" i="74"/>
  <c r="H119" i="9"/>
  <c r="H5" i="52"/>
  <c r="H4"/>
  <c r="I118" i="9"/>
  <c r="H101"/>
  <c r="C104"/>
  <c r="C60" i="15"/>
  <c r="C66"/>
  <c r="C44" i="11"/>
  <c r="D41"/>
  <c r="C26"/>
  <c r="D22"/>
  <c r="C23"/>
  <c r="C43"/>
  <c r="C42"/>
  <c r="C25"/>
  <c r="C24"/>
  <c r="D119" i="9"/>
  <c r="D5" i="52"/>
  <c r="B49" i="72"/>
  <c r="G118" i="9"/>
  <c r="G4" i="52"/>
  <c r="B52" i="72"/>
  <c r="F4" i="52"/>
  <c r="B51" i="72"/>
  <c r="F119" i="9"/>
  <c r="F5" i="52"/>
  <c r="B53" i="72"/>
  <c r="C38" i="15"/>
  <c r="C27" i="12"/>
  <c r="C25"/>
  <c r="C32"/>
  <c r="B2"/>
  <c r="B3"/>
  <c r="J26" i="15"/>
  <c r="J29"/>
  <c r="J24"/>
  <c r="C41" i="11"/>
  <c r="C49"/>
  <c r="C51"/>
  <c r="Q49" i="15"/>
  <c r="J14"/>
  <c r="C36"/>
  <c r="C33"/>
  <c r="C31"/>
  <c r="C57"/>
  <c r="J19"/>
  <c r="J17"/>
  <c r="C13"/>
  <c r="J59"/>
  <c r="J60"/>
  <c r="H107" i="9"/>
  <c r="D5" i="53"/>
  <c r="M48" i="9"/>
  <c r="D45"/>
  <c r="E14" i="74"/>
  <c r="F14"/>
  <c r="B5"/>
  <c r="J19" i="67"/>
  <c r="J17"/>
  <c r="C57"/>
  <c r="Q49"/>
  <c r="J14"/>
  <c r="C22" i="11"/>
  <c r="C31"/>
  <c r="C52"/>
  <c r="B2"/>
  <c r="B3"/>
  <c r="C105" i="9"/>
  <c r="H102"/>
  <c r="D7" i="53"/>
  <c r="B21" i="72"/>
  <c r="E118" i="9"/>
  <c r="E4" i="52"/>
  <c r="B48" i="72"/>
  <c r="I4" i="52"/>
  <c r="C41" i="68"/>
  <c r="C49"/>
  <c r="C51"/>
  <c r="C22"/>
  <c r="C31"/>
  <c r="C52"/>
  <c r="B2"/>
  <c r="B3"/>
  <c r="D55" i="9"/>
  <c r="M53"/>
  <c r="C64"/>
  <c r="C63"/>
  <c r="C67"/>
  <c r="C68"/>
  <c r="D54"/>
  <c r="C78"/>
  <c r="C73"/>
  <c r="C85"/>
  <c r="C72"/>
  <c r="C79"/>
  <c r="C93"/>
  <c r="C86"/>
  <c r="D52"/>
  <c r="D53"/>
  <c r="B20" i="72"/>
  <c r="D6" i="53"/>
  <c r="B22" i="72"/>
  <c r="Q48" i="15"/>
  <c r="L46"/>
  <c r="J22"/>
  <c r="J13"/>
  <c r="J23"/>
  <c r="Q48" i="67"/>
  <c r="C64"/>
  <c r="C61"/>
  <c r="C59"/>
  <c r="C56" i="11"/>
  <c r="C57"/>
  <c r="J13" i="67"/>
  <c r="J23"/>
  <c r="J22"/>
  <c r="C75"/>
  <c r="C56"/>
  <c r="C65"/>
  <c r="Q70"/>
  <c r="D5" i="74"/>
  <c r="C5"/>
  <c r="D13" i="53"/>
  <c r="H108" i="9"/>
  <c r="D15" i="53"/>
  <c r="B31" i="72"/>
  <c r="D122" i="9"/>
  <c r="C57" i="69"/>
  <c r="C56"/>
  <c r="Q70" i="15"/>
  <c r="C75"/>
  <c r="C56"/>
  <c r="C65"/>
  <c r="C37"/>
  <c r="C30"/>
  <c r="C39"/>
  <c r="C64"/>
  <c r="C61"/>
  <c r="C59"/>
  <c r="C58"/>
  <c r="C67"/>
  <c r="C68"/>
  <c r="C57" i="68"/>
  <c r="C56"/>
  <c r="J16" i="67"/>
  <c r="J25"/>
  <c r="J16" i="15"/>
  <c r="J25"/>
  <c r="Q69"/>
  <c r="Q68"/>
  <c r="C40"/>
  <c r="Q69" i="67"/>
  <c r="Q68"/>
  <c r="C71" i="15"/>
  <c r="G14" i="74"/>
  <c r="B6"/>
  <c r="D123" i="9"/>
  <c r="D9" i="52"/>
  <c r="D8"/>
  <c r="D14" i="53"/>
  <c r="B32" i="72"/>
  <c r="B30"/>
  <c r="C80" i="67"/>
  <c r="C79"/>
  <c r="C80" i="9"/>
  <c r="C81"/>
  <c r="E80"/>
  <c r="E81"/>
  <c r="C80" i="15"/>
  <c r="C79"/>
  <c r="C58" i="67"/>
  <c r="C67"/>
  <c r="C68"/>
  <c r="C95" i="9"/>
  <c r="L51" i="15"/>
  <c r="Q67" i="67"/>
  <c r="Q67" i="15"/>
  <c r="L57"/>
  <c r="L60"/>
  <c r="C96" i="9"/>
  <c r="E96"/>
  <c r="E97"/>
  <c r="C97"/>
  <c r="D58"/>
  <c r="D56"/>
  <c r="M54"/>
  <c r="N57"/>
  <c r="B2" i="15"/>
  <c r="B3"/>
  <c r="Q65"/>
  <c r="Q47"/>
  <c r="Q53"/>
  <c r="Q56"/>
  <c r="C43"/>
  <c r="C83"/>
  <c r="C82"/>
  <c r="C45" i="67"/>
  <c r="C46"/>
  <c r="C71"/>
  <c r="D6" i="74"/>
  <c r="C6"/>
  <c r="C46" i="15"/>
  <c r="Q56" i="67"/>
  <c r="C43"/>
  <c r="Q47"/>
  <c r="Q53"/>
  <c r="Q65"/>
  <c r="C83"/>
  <c r="C82"/>
  <c r="N58" i="9"/>
  <c r="P57"/>
  <c r="N59"/>
  <c r="Q66" i="15"/>
  <c r="Q75"/>
  <c r="Q57"/>
  <c r="Q62"/>
  <c r="Q66" i="67"/>
  <c r="Q57"/>
  <c r="Q62"/>
  <c r="Q75"/>
  <c r="N61" i="9"/>
  <c r="N60"/>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<sst xmlns="http://schemas.openxmlformats.org/spreadsheetml/2006/main" count="7388" uniqueCount="3129">
  <si>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</si>
  <si>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</si>
  <si>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</si>
  <si>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</si>
  <si>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</si>
  <si>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</si>
  <si>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</si>
  <si>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</si>
  <si>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</si>
  <si>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</si>
  <si>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</si>
  <si>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</si>
  <si>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</si>
  <si>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</si>
  <si>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</si>
  <si>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</si>
  <si>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</si>
  <si>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</si>
  <si>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</si>
  <si>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</si>
  <si>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</si>
  <si>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</si>
  <si>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</si>
  <si>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</si>
  <si>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</si>
  <si>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</si>
  <si>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</si>
  <si>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</si>
  <si>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</si>
  <si>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</si>
  <si>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</si>
  <si>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</si>
  <si>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</si>
  <si>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</si>
  <si>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</si>
  <si>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</si>
  <si>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</si>
  <si>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</si>
  <si>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</si>
  <si>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</si>
  <si>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</si>
  <si>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</si>
  <si>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</si>
  <si>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</si>
  <si>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</si>
  <si>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</si>
  <si>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</si>
  <si>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</si>
  <si>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</si>
  <si>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</si>
  <si>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</si>
  <si>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</si>
  <si>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</si>
  <si>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</si>
  <si>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</si>
  <si>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</si>
  <si>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</si>
  <si>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</si>
  <si>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</si>
  <si>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</si>
  <si>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</si>
  <si>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</si>
  <si>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</si>
  <si>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</si>
  <si>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</si>
  <si>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</si>
  <si>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</si>
  <si>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</si>
  <si>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</si>
  <si>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</si>
  <si>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</si>
  <si>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</si>
  <si>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</si>
  <si>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</si>
  <si>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</si>
  <si>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</si>
  <si>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</si>
  <si>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</si>
  <si>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</si>
  <si>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</si>
  <si>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</si>
  <si>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</si>
  <si>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</si>
  <si>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</si>
  <si>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</si>
  <si>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</si>
  <si>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</si>
  <si>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</si>
  <si>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</si>
  <si>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</si>
  <si>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</si>
  <si>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</si>
  <si>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</si>
  <si>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</si>
  <si>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</si>
  <si>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</si>
  <si>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</si>
  <si>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</si>
  <si>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</si>
  <si>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</si>
  <si>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</si>
  <si>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</si>
  <si>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</si>
  <si>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</si>
  <si>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</si>
  <si>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</si>
  <si>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</si>
  <si>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</si>
  <si>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</si>
  <si>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</si>
  <si>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</si>
  <si>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</si>
  <si>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</si>
  <si>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</si>
  <si>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</si>
  <si>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</si>
  <si>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</si>
  <si>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</si>
  <si>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</si>
  <si>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</si>
  <si>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</si>
  <si>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</si>
  <si>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</si>
  <si>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</si>
  <si>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</si>
  <si>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</si>
  <si>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</si>
  <si>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</si>
  <si>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</si>
  <si>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</si>
  <si>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</si>
  <si>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</si>
  <si>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</si>
  <si>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</si>
  <si>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</si>
  <si>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</si>
  <si>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</si>
  <si>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</si>
  <si>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</si>
  <si>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</si>
  <si>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</si>
  <si>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</si>
  <si>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</si>
  <si>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</si>
  <si>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</si>
  <si>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</si>
  <si>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</si>
  <si>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</si>
  <si>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</si>
  <si>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</si>
  <si>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</si>
  <si>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</si>
  <si>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</si>
  <si>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</si>
  <si>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</si>
  <si>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</si>
  <si>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</si>
  <si>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</si>
  <si>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</si>
  <si>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</si>
  <si>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</si>
  <si>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</si>
  <si>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</si>
  <si>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</si>
  <si>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</si>
  <si>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</si>
  <si>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</si>
  <si>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</si>
  <si>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</si>
  <si>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</si>
  <si>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</si>
  <si>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</si>
  <si>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</si>
  <si>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</si>
  <si>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</si>
  <si>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</si>
  <si>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</si>
  <si>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</si>
  <si>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</si>
  <si>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</si>
  <si>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</si>
  <si>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</si>
  <si>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</si>
  <si>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</si>
  <si>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</si>
  <si>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</si>
  <si>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</si>
  <si>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</si>
  <si>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</si>
  <si>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</si>
  <si>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</si>
  <si>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</si>
  <si>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</si>
  <si>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</si>
  <si>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</si>
  <si>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</si>
  <si>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</si>
  <si>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</si>
  <si>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</si>
  <si>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</si>
  <si>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</si>
  <si>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</si>
  <si>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</si>
  <si>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</si>
  <si>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</si>
  <si>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</si>
  <si>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</si>
  <si>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</si>
  <si>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</si>
  <si>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</si>
  <si>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</si>
  <si>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</si>
  <si>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</si>
  <si>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</si>
  <si>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</si>
  <si>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</si>
  <si>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</si>
  <si>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</si>
  <si>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</si>
  <si>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</si>
  <si>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</si>
  <si>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</si>
  <si>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</si>
  <si>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</si>
  <si>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</si>
  <si>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</si>
  <si>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</si>
  <si>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</si>
  <si>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</si>
  <si>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</si>
  <si>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</si>
  <si>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</si>
  <si>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</si>
  <si>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</si>
  <si>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</si>
  <si>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</si>
  <si>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</si>
  <si>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</si>
  <si>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</si>
  <si>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</si>
  <si>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</si>
  <si>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</si>
  <si>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</si>
  <si>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</si>
  <si>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</si>
  <si>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</si>
  <si>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</si>
  <si>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</si>
  <si>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</si>
  <si>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</si>
  <si>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</si>
  <si>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</si>
  <si>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</si>
  <si>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</si>
  <si>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</si>
  <si>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</si>
  <si>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</si>
  <si>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</si>
  <si>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</si>
  <si>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</si>
  <si>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</si>
  <si>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</si>
  <si>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</si>
  <si>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</si>
  <si>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</si>
  <si>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</si>
  <si>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</si>
  <si>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</si>
  <si>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</si>
  <si>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</si>
  <si>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</si>
  <si>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</si>
  <si>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</si>
  <si>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</si>
  <si>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</si>
  <si>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</si>
  <si>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</si>
  <si>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</si>
  <si>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</si>
  <si>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</si>
  <si>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</si>
  <si>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</si>
  <si>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</si>
  <si>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</si>
  <si>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</si>
  <si>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</si>
  <si>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</si>
  <si>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</si>
  <si>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</si>
  <si>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</si>
  <si>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</si>
  <si>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</si>
  <si>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</si>
  <si>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</si>
  <si>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</si>
  <si>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</si>
  <si>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</si>
  <si>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</si>
  <si>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</si>
  <si>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</si>
  <si>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</si>
  <si>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</si>
  <si>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</si>
  <si>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</si>
  <si>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</si>
  <si>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</si>
  <si>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</si>
  <si>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</si>
  <si>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</si>
  <si>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</si>
  <si>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</si>
  <si>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</si>
  <si>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</si>
  <si>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</si>
  <si>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</si>
  <si>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</si>
  <si>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</si>
  <si>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</si>
  <si>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</si>
  <si>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</si>
  <si>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</si>
  <si>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</si>
  <si>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</si>
  <si>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</si>
  <si>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</si>
  <si>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</si>
  <si>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</si>
  <si>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</si>
  <si>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</si>
  <si>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</si>
  <si>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</si>
  <si>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</si>
  <si>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</si>
  <si>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</si>
  <si>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</si>
  <si>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</si>
  <si>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</si>
  <si>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</si>
  <si>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</si>
  <si>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</si>
  <si>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</si>
  <si>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</si>
  <si>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</si>
  <si>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</si>
  <si>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</si>
  <si>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</si>
  <si>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</si>
  <si>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</si>
  <si>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</si>
  <si>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</si>
  <si>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</si>
  <si>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</si>
  <si>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</si>
  <si>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</si>
  <si>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</si>
  <si>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</si>
  <si>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</si>
  <si>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</si>
  <si>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</si>
  <si>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</si>
  <si>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</si>
  <si>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</si>
  <si>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</si>
  <si>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</si>
  <si>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</si>
  <si>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</si>
  <si>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</si>
  <si>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</si>
  <si>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</si>
  <si>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</si>
  <si>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</si>
  <si>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</si>
  <si>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</si>
  <si>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</si>
  <si>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</si>
  <si>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</si>
  <si>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</si>
  <si>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</si>
  <si>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</si>
  <si>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</si>
  <si>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</si>
  <si>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</si>
  <si>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</si>
  <si>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</si>
  <si>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</si>
  <si>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</si>
  <si>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</si>
  <si>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</si>
  <si>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</si>
  <si>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</si>
  <si>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</si>
  <si>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</si>
  <si>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</si>
  <si>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</si>
  <si>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</si>
  <si>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</si>
  <si>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</si>
  <si>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</si>
  <si>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</si>
  <si>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</si>
  <si>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</si>
  <si>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</si>
  <si>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</si>
  <si>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</si>
  <si>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</si>
  <si>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</si>
  <si>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</si>
  <si>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</si>
  <si>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</si>
  <si>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</si>
  <si>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</si>
  <si>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</si>
  <si>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</si>
  <si>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</si>
  <si>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</si>
  <si>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</si>
  <si>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</si>
  <si>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</si>
  <si>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</si>
  <si>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</si>
  <si>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</si>
  <si>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</si>
  <si>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</si>
  <si>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</si>
  <si>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</si>
  <si>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</si>
  <si>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</si>
  <si>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</si>
  <si>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</si>
  <si>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</si>
  <si>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</si>
  <si>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</si>
  <si>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</si>
  <si>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</si>
  <si>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</si>
  <si>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</si>
  <si>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</si>
  <si>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</si>
  <si>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</si>
  <si>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</si>
  <si>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</si>
  <si>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</si>
  <si>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</si>
  <si>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</si>
  <si>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</si>
  <si>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</si>
  <si>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</si>
  <si>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</si>
  <si>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</si>
  <si>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</si>
  <si>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</si>
  <si>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</si>
  <si>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</si>
  <si>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</si>
  <si>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</si>
  <si>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</si>
  <si>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</si>
  <si>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</si>
  <si>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</si>
  <si>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</si>
  <si>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</si>
  <si>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</si>
  <si>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</si>
  <si>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</si>
  <si>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</si>
  <si>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</si>
  <si>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</si>
  <si>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</si>
  <si>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</si>
  <si>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</si>
  <si>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</si>
  <si>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</si>
  <si>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</si>
  <si>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</si>
  <si>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</si>
  <si>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</si>
  <si>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</si>
  <si>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</si>
  <si>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</si>
  <si>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</si>
  <si>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</si>
  <si>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</si>
  <si>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</si>
  <si>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</si>
  <si>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</si>
  <si>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</si>
  <si>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</si>
  <si>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</si>
  <si>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</si>
  <si>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</si>
  <si>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</si>
  <si>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</si>
  <si>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</si>
  <si>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</si>
  <si>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</si>
  <si>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</si>
  <si>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</si>
  <si>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</si>
  <si>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</si>
  <si>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</si>
  <si>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</si>
  <si>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</si>
  <si>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</si>
  <si>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</si>
  <si>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</si>
  <si>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</si>
  <si>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</si>
  <si>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</si>
  <si>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</si>
  <si>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</si>
  <si>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</si>
  <si>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</si>
  <si>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</si>
  <si>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</si>
  <si>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</si>
  <si>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</si>
  <si>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</si>
  <si>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</si>
  <si>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</si>
  <si>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</si>
  <si>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</si>
  <si>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</si>
  <si>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</si>
  <si>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</si>
  <si>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</si>
  <si>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</si>
  <si>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</si>
  <si>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</si>
  <si>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</si>
  <si>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</si>
  <si>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</si>
  <si>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</si>
  <si>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</si>
  <si>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</si>
  <si>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</si>
  <si>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</si>
  <si>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</si>
  <si>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</si>
  <si>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</si>
  <si>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</si>
  <si>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</si>
  <si>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</si>
  <si>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</si>
  <si>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</si>
  <si>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</si>
  <si>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</si>
  <si>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</si>
  <si>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</si>
  <si>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</si>
  <si>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</si>
  <si>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</si>
  <si>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</si>
  <si>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</si>
  <si>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</si>
  <si>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</si>
  <si>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</si>
  <si>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</si>
  <si>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</si>
  <si>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</si>
  <si>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</si>
  <si>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</si>
  <si>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</si>
  <si>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</si>
  <si>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</si>
  <si>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</si>
  <si>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</si>
  <si>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</si>
  <si>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</si>
  <si>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</si>
  <si>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</si>
  <si>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</si>
  <si>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</si>
  <si>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</si>
  <si>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</si>
  <si>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</si>
  <si>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</si>
  <si>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</si>
  <si>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</si>
  <si>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</si>
  <si>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</si>
  <si>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</si>
  <si>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</si>
  <si>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</si>
  <si>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</si>
  <si>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</si>
  <si>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</si>
  <si>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</si>
  <si>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</si>
  <si>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</si>
  <si>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</si>
  <si>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</si>
  <si>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</si>
  <si>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</si>
  <si>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</si>
  <si>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</si>
  <si>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</si>
  <si>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</si>
  <si>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</si>
  <si>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</si>
  <si>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</si>
  <si>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</si>
  <si>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</si>
  <si>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</si>
  <si>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</si>
  <si>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</si>
  <si>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</si>
  <si>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</si>
  <si>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</si>
  <si>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</si>
  <si>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</si>
  <si>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</si>
  <si>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</si>
  <si>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</si>
  <si>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</si>
  <si>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</si>
  <si>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</si>
  <si>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</si>
  <si>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</si>
  <si>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</si>
  <si>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</si>
  <si>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</si>
  <si>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</si>
  <si>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</si>
  <si>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</si>
  <si>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</si>
  <si>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</si>
  <si>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</si>
  <si>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</si>
  <si>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</si>
  <si>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</si>
  <si>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</si>
  <si>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</si>
  <si>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</si>
  <si>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</si>
  <si>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</si>
  <si>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</si>
  <si>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</si>
  <si>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</si>
  <si>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</si>
  <si>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</si>
  <si>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</si>
  <si>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</si>
  <si>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</si>
  <si>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</si>
  <si>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</si>
  <si>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</si>
  <si>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</si>
  <si>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</si>
  <si>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</si>
  <si>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</si>
  <si>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</si>
  <si>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</si>
  <si>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</si>
  <si>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</si>
  <si>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</si>
  <si>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</si>
  <si>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</si>
  <si>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</si>
  <si>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</si>
  <si>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</si>
  <si>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</si>
  <si>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</si>
  <si>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</si>
  <si>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</si>
  <si>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</si>
  <si>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</si>
  <si>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</si>
  <si>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</si>
  <si>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</si>
  <si>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</si>
  <si>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</si>
  <si>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</si>
  <si>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</si>
  <si>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</si>
  <si>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</si>
  <si>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</si>
  <si>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</si>
  <si>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</si>
  <si>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</si>
  <si>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</si>
  <si>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</si>
  <si>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</si>
  <si>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</si>
  <si>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</si>
  <si>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</si>
  <si>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</si>
  <si>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</si>
  <si>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</si>
  <si>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</si>
  <si>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</si>
  <si>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</si>
  <si>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</si>
  <si>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</si>
  <si>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</si>
  <si>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</si>
  <si>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</si>
  <si>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</si>
  <si>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</si>
  <si>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</si>
  <si>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</si>
  <si>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</si>
  <si>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</si>
  <si>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</si>
  <si>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</si>
  <si>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</si>
  <si>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</si>
  <si>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</si>
  <si>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</si>
  <si>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</si>
  <si>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</si>
  <si>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</si>
  <si>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</si>
  <si>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</si>
  <si>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</si>
  <si>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</si>
  <si>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</si>
  <si>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</si>
  <si>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</si>
  <si>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</si>
  <si>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</si>
  <si>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</si>
  <si>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</si>
  <si>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</si>
  <si>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</si>
  <si>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</si>
  <si>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</si>
  <si>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</si>
  <si>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</si>
  <si>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</si>
  <si>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</si>
  <si>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</si>
  <si>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</si>
  <si>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</si>
  <si>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</si>
  <si>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</si>
  <si>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</si>
  <si>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</si>
  <si>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</si>
  <si>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</si>
  <si>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</si>
  <si>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</si>
  <si>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</si>
  <si>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</si>
  <si>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</si>
  <si>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</si>
  <si>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</si>
  <si>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</si>
  <si>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</si>
  <si>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</si>
  <si>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</si>
  <si>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</si>
  <si>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</si>
  <si>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</si>
  <si>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</si>
  <si>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</si>
  <si>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</si>
  <si>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</si>
  <si>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</si>
  <si>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</si>
  <si>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</si>
  <si>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</si>
  <si>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</si>
  <si>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</si>
  <si>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</si>
  <si>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</si>
  <si>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</si>
  <si>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</si>
  <si>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</si>
  <si>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</si>
  <si>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</si>
  <si>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</si>
  <si>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</si>
  <si>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</si>
  <si>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</si>
  <si>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</si>
  <si>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</si>
  <si>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</si>
  <si>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</si>
  <si>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</si>
  <si>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</si>
  <si>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</si>
  <si>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</si>
  <si>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</si>
  <si>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</si>
  <si>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</si>
  <si>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</si>
  <si>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</si>
  <si>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</si>
  <si>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</si>
  <si>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</si>
  <si>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</si>
  <si>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</si>
  <si>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</si>
  <si>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</si>
  <si>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</si>
  <si>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</si>
  <si>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</si>
  <si>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</si>
  <si>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</si>
  <si>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</si>
  <si>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</si>
  <si>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</si>
  <si>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</si>
  <si>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</si>
  <si>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</si>
  <si>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</si>
  <si>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</si>
  <si>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</si>
  <si>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</si>
  <si>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</si>
  <si>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</si>
  <si>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</si>
  <si>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</si>
  <si>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</si>
  <si>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</si>
  <si>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</si>
  <si>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</si>
  <si>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</si>
  <si>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</si>
  <si>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</si>
  <si>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</si>
  <si>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</si>
  <si>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</si>
  <si>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</si>
  <si>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</si>
  <si>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</si>
  <si>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</si>
  <si>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</si>
  <si>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</si>
  <si>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</si>
  <si>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</si>
  <si>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</si>
  <si>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</si>
  <si>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</si>
  <si>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</si>
  <si>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</si>
  <si>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</si>
  <si>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</si>
  <si>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</si>
  <si>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</si>
  <si>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</si>
  <si>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</si>
  <si>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</si>
  <si>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</si>
  <si>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</si>
  <si>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</si>
  <si>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</si>
  <si>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</si>
  <si>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</si>
  <si>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</si>
  <si>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</si>
  <si>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</si>
  <si>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</si>
  <si>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</si>
  <si>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</si>
  <si>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</si>
  <si>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</si>
  <si>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</si>
  <si>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</si>
  <si>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</si>
  <si>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</si>
  <si>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</si>
  <si>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</si>
  <si>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</si>
  <si>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</si>
  <si>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</si>
  <si>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</si>
  <si>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</si>
  <si>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</si>
  <si>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</si>
  <si>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</si>
  <si>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</si>
  <si>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</si>
  <si>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</si>
  <si>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</si>
  <si>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</si>
  <si>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</si>
  <si>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</si>
  <si>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</si>
  <si>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</si>
  <si>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</si>
  <si>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</si>
  <si>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</si>
  <si>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</si>
  <si>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</si>
  <si>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</si>
  <si>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</si>
  <si>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</si>
  <si>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</si>
  <si>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</si>
  <si>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</si>
  <si>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</si>
  <si>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</si>
  <si>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</si>
  <si>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</si>
  <si>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</si>
  <si>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</si>
  <si>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</si>
  <si>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</si>
  <si>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</si>
  <si>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</si>
  <si>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</si>
  <si>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</si>
  <si>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</si>
  <si>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</si>
  <si>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</si>
  <si>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</si>
  <si>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</si>
  <si>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</si>
  <si>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</si>
  <si>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</si>
  <si>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</si>
  <si>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</si>
  <si>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</si>
  <si>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</si>
  <si>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</si>
  <si>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</si>
  <si>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</si>
  <si>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</si>
  <si>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</si>
  <si>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</si>
  <si>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</si>
  <si>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</si>
  <si>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</si>
  <si>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</si>
  <si>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</si>
  <si>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</si>
  <si>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</si>
  <si>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</si>
  <si>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</si>
  <si>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</si>
  <si>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</si>
  <si>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</si>
  <si>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</si>
  <si>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</si>
  <si>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</si>
  <si>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</si>
  <si>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</si>
  <si>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</si>
  <si>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</si>
  <si>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</si>
  <si>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</si>
  <si>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</si>
  <si>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</si>
  <si>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</si>
  <si>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</si>
  <si>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</si>
  <si>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</si>
  <si>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</si>
  <si>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</si>
  <si>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</si>
  <si>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</si>
  <si>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</si>
  <si>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</si>
  <si>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</si>
  <si>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</si>
  <si>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</si>
  <si>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</si>
  <si>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</si>
  <si>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</si>
  <si>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</si>
  <si>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</si>
  <si>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</si>
  <si>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</si>
  <si>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</si>
  <si>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</si>
  <si>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</si>
  <si>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</si>
  <si>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</si>
  <si>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</si>
  <si>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</si>
  <si>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</si>
  <si>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</si>
  <si>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</si>
  <si>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</si>
  <si>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</si>
  <si>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</si>
  <si>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</si>
  <si>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</si>
  <si>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</si>
  <si>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</si>
  <si>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</si>
  <si>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</si>
  <si>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</si>
  <si>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</si>
  <si>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</si>
  <si>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</si>
  <si>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</si>
  <si>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</si>
  <si>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</si>
  <si>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</si>
  <si>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</si>
  <si>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</si>
  <si>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</si>
  <si>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</si>
  <si>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</si>
  <si>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</si>
  <si>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</si>
  <si>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</si>
  <si>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</si>
  <si>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</si>
  <si>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</si>
  <si>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</si>
  <si>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</si>
  <si>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</si>
  <si>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</si>
  <si>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</si>
  <si>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</si>
  <si>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</si>
  <si>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</si>
  <si>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</si>
  <si>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</si>
  <si>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</si>
  <si>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</si>
  <si>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</si>
  <si>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</si>
  <si>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</si>
  <si>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</si>
  <si>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</si>
  <si>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</si>
  <si>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</si>
  <si>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</si>
  <si>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</si>
  <si>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</si>
  <si>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</si>
  <si>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</si>
  <si>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</si>
  <si>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</si>
  <si>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</si>
  <si>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</si>
  <si>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</si>
  <si>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</si>
  <si>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</si>
  <si>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</si>
  <si>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</si>
  <si>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</si>
  <si>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</si>
  <si>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</si>
  <si>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</si>
  <si>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</si>
  <si>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</si>
  <si>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</si>
  <si>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</si>
  <si>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</si>
  <si>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</si>
  <si>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</si>
  <si>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</si>
  <si>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</si>
  <si>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</si>
  <si>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</si>
  <si>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</si>
  <si>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</si>
  <si>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</si>
  <si>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</si>
  <si>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</si>
  <si>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</si>
  <si>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</si>
  <si>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</si>
  <si>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</si>
  <si>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</si>
  <si>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</si>
  <si>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</si>
  <si>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</si>
  <si>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</si>
  <si>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</si>
  <si>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</si>
  <si>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</si>
  <si>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</si>
  <si>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</si>
  <si>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</si>
  <si>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</si>
  <si>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</si>
  <si>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</si>
  <si>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</si>
  <si>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</si>
  <si>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</si>
  <si>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</si>
  <si>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</si>
  <si>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</si>
  <si>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</si>
  <si>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</si>
  <si>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</si>
  <si>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</si>
  <si>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</si>
  <si>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</si>
  <si>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</si>
  <si>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</si>
  <si>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</si>
  <si>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</si>
  <si>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</si>
  <si>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</si>
  <si>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</si>
  <si>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</si>
  <si>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</si>
  <si>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</si>
  <si>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</si>
  <si>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</si>
  <si>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</si>
  <si>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</si>
  <si>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</si>
  <si>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</si>
  <si>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</si>
  <si>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</si>
  <si>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</si>
  <si>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</si>
  <si>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</si>
  <si>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</si>
  <si>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</si>
  <si>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</si>
  <si>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</si>
  <si>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</si>
  <si>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</si>
  <si>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</si>
  <si>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</si>
  <si>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</si>
  <si>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</si>
  <si>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</si>
  <si>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</si>
  <si>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</si>
  <si>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</si>
  <si>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</si>
  <si>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</si>
  <si>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</si>
  <si>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</si>
  <si>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</si>
  <si>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</si>
  <si>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</si>
  <si>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</si>
  <si>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</si>
  <si>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</si>
  <si>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</si>
  <si>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</si>
  <si>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</si>
  <si>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</si>
  <si>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</si>
  <si>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</si>
  <si>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</si>
  <si>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</si>
  <si>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</si>
  <si>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</si>
  <si>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</si>
  <si>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</si>
  <si>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</si>
  <si>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</si>
  <si>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</si>
  <si>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</si>
  <si>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</si>
  <si>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</si>
  <si>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</si>
  <si>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</si>
  <si>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</si>
  <si>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</si>
  <si>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</si>
  <si>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</si>
  <si>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</si>
  <si>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</si>
  <si>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</si>
  <si>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</si>
  <si>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</si>
  <si>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</si>
  <si>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</si>
  <si>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</si>
  <si>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</si>
  <si>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</si>
  <si>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</si>
  <si>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</si>
  <si>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</si>
  <si>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</si>
  <si>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</si>
  <si>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</si>
  <si>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</si>
  <si>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</si>
  <si>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</si>
  <si>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</si>
  <si>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</si>
  <si>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</si>
  <si>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</si>
  <si>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</si>
  <si>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</si>
  <si>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</si>
  <si>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</si>
  <si>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</si>
  <si>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</si>
  <si>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</si>
  <si>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</si>
  <si>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</si>
  <si>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</si>
  <si>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</si>
  <si>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</si>
  <si>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</si>
  <si>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</si>
  <si>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</si>
  <si>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</si>
  <si>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</si>
  <si>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</si>
  <si>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</si>
  <si>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</si>
  <si>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</si>
  <si>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</si>
  <si>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</si>
  <si>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</si>
  <si>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</si>
  <si>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</si>
  <si>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</si>
  <si>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</si>
  <si>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</si>
  <si>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</si>
  <si>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</si>
  <si>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</si>
  <si>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</si>
  <si>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</si>
  <si>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</si>
  <si>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</si>
  <si>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</si>
  <si>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</si>
  <si>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</si>
  <si>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</si>
  <si>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</si>
  <si>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</si>
  <si>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</si>
  <si>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</si>
  <si>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</si>
  <si>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</si>
  <si>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</si>
  <si>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</si>
  <si>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</si>
  <si>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</si>
  <si>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</si>
  <si>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</si>
  <si>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</si>
  <si>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</si>
  <si>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</si>
  <si>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</si>
  <si>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</si>
  <si>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</si>
  <si>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</si>
  <si>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</si>
  <si>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</si>
  <si>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</si>
  <si>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</si>
  <si>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</si>
  <si>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</si>
  <si>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</si>
  <si>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</si>
  <si>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</si>
  <si>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</si>
  <si>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</si>
  <si>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</si>
  <si>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</si>
  <si>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</si>
  <si>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</si>
  <si>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</si>
  <si>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</si>
  <si>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</si>
  <si>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</si>
  <si>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</si>
  <si>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</si>
  <si>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</si>
  <si>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</si>
  <si>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</si>
  <si>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</si>
  <si>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</si>
  <si>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</si>
  <si>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</si>
  <si>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</si>
  <si>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</si>
  <si>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</si>
  <si>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</si>
  <si>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</si>
  <si>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</si>
  <si>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</si>
  <si>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</si>
  <si>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</si>
  <si>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</si>
  <si>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</si>
  <si>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</si>
  <si>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</si>
  <si>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</si>
  <si>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</si>
  <si>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</si>
  <si>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</si>
  <si>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</si>
  <si>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</si>
  <si>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</si>
  <si>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</si>
  <si>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</si>
  <si>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</si>
  <si>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</si>
  <si>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</si>
  <si>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</si>
  <si>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</si>
  <si>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</si>
  <si>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</si>
  <si>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</si>
  <si>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</si>
  <si>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</si>
  <si>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</si>
  <si>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</si>
  <si>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</si>
  <si>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</si>
  <si>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</si>
  <si>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</si>
  <si>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</si>
  <si>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</si>
  <si>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</si>
  <si>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</si>
  <si>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</si>
  <si>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</si>
  <si>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</si>
  <si>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</si>
  <si>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</si>
  <si>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</si>
  <si>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</si>
  <si>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</si>
  <si>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</si>
  <si>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</si>
  <si>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</si>
  <si>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</si>
  <si>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</si>
  <si>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</si>
  <si>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</si>
  <si>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</si>
  <si>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</si>
  <si>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</si>
  <si>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</si>
  <si>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</si>
  <si>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</si>
  <si>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</si>
  <si>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</si>
  <si>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</si>
  <si>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</si>
  <si>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</si>
  <si>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</si>
  <si>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</si>
  <si>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</si>
  <si>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</si>
  <si>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</si>
  <si>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</si>
  <si>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</si>
  <si>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</si>
  <si>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</si>
  <si>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</si>
  <si>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</si>
  <si>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</si>
  <si>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</si>
  <si>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</si>
  <si>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</si>
  <si>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</si>
  <si>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</si>
  <si>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</si>
  <si>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</si>
  <si>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</si>
  <si>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</si>
  <si>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</si>
  <si>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</si>
  <si>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</si>
  <si>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</si>
  <si>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</si>
  <si>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</si>
  <si>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</si>
  <si>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</si>
  <si>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</si>
  <si>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</si>
  <si>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</si>
  <si>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</si>
  <si>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</si>
  <si>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</si>
  <si>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</si>
  <si>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</si>
  <si>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</si>
  <si>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</si>
  <si>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</si>
  <si>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</si>
  <si>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</si>
  <si>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</si>
  <si>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</si>
  <si>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</si>
  <si>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</si>
  <si>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</si>
  <si>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</si>
  <si>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</si>
  <si>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</si>
  <si>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</si>
  <si>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</si>
  <si>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</si>
  <si>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</si>
  <si>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</si>
  <si>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</si>
  <si>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</si>
  <si>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</si>
  <si>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</si>
  <si>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</si>
  <si>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</si>
  <si>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</si>
  <si>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</si>
  <si>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</si>
  <si>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</si>
  <si>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</si>
  <si>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</si>
  <si>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</si>
  <si>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</si>
  <si>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</si>
  <si>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</si>
  <si>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</si>
  <si>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</si>
  <si>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</si>
  <si>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</si>
  <si>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</si>
  <si>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</si>
  <si>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</si>
  <si>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</si>
  <si>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</si>
  <si>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</si>
  <si>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</si>
  <si>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</si>
  <si>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</si>
  <si>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</si>
  <si>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</si>
  <si>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</si>
  <si>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</si>
  <si>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</si>
  <si>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</si>
  <si>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</si>
  <si>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</si>
  <si>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</si>
  <si>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</si>
  <si>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</si>
  <si>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</si>
  <si>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</si>
  <si>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</si>
  <si>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</si>
  <si>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</si>
  <si>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</si>
  <si>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</si>
  <si>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</si>
  <si>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</si>
  <si>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</si>
  <si>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</si>
  <si>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</si>
  <si>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</si>
  <si>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</si>
  <si>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</si>
  <si>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</si>
  <si>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</si>
  <si>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</si>
  <si>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</si>
  <si>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</si>
  <si>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</si>
  <si>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</si>
  <si>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</si>
  <si>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</si>
  <si>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</si>
  <si>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</si>
  <si>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</si>
  <si>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</si>
  <si>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</si>
  <si>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</si>
  <si>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</si>
  <si>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</si>
  <si>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</si>
  <si>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</si>
  <si>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</si>
  <si>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</si>
  <si>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</si>
  <si>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</si>
  <si>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</si>
  <si>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</si>
  <si>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</si>
  <si>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</si>
  <si>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</si>
  <si>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</si>
  <si>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</si>
  <si>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</si>
  <si>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</si>
  <si>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</si>
  <si>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</si>
  <si>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</si>
  <si>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</si>
  <si>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</si>
  <si>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</si>
  <si>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</si>
  <si>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</si>
  <si>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</si>
  <si>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</si>
  <si>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</si>
  <si>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</si>
  <si>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</si>
  <si>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</si>
  <si>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</si>
  <si>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</si>
  <si>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</si>
  <si>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</si>
  <si>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</si>
  <si>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</si>
  <si>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</si>
  <si>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</si>
  <si>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</si>
  <si>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</si>
  <si>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</si>
  <si>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</si>
  <si>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</si>
  <si>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</si>
  <si>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</si>
  <si>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</si>
  <si>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</si>
  <si>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</si>
  <si>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</si>
  <si>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</si>
  <si>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</si>
  <si>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</si>
  <si>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</si>
  <si>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</si>
  <si>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</si>
  <si>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</si>
  <si>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</si>
  <si>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</si>
  <si>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</si>
  <si>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</si>
  <si>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</si>
  <si>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</si>
  <si>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</si>
  <si>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</si>
  <si>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</si>
  <si>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</si>
  <si>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</si>
  <si>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</si>
  <si>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</si>
  <si>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</si>
  <si>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</si>
  <si>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</si>
  <si>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</si>
  <si>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</si>
  <si>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</si>
  <si>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</si>
  <si>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</si>
  <si>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</si>
  <si>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</si>
  <si>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</si>
  <si>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</si>
  <si>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</si>
  <si>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</si>
  <si>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</si>
  <si>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</si>
  <si>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</si>
  <si>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</si>
  <si>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</si>
  <si>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</si>
  <si>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</si>
  <si>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</si>
  <si>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</si>
  <si>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</si>
  <si>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</si>
  <si>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</si>
  <si>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</si>
  <si>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</si>
  <si>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</si>
  <si>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</si>
  <si>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</si>
  <si>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</si>
  <si>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</si>
  <si>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</si>
  <si>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</si>
  <si>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</si>
  <si>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</si>
  <si>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</si>
  <si>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</si>
  <si>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</si>
  <si>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</si>
  <si>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</si>
  <si>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</si>
  <si>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</si>
  <si>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</si>
  <si>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</si>
  <si>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</si>
  <si>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</si>
  <si>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</si>
  <si>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</si>
  <si>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</si>
  <si>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</si>
  <si>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</si>
  <si>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</si>
  <si>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</si>
  <si>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</si>
  <si>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</si>
  <si>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</si>
  <si>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</si>
  <si>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</si>
  <si>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</si>
  <si>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</si>
  <si>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</si>
  <si>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</si>
  <si>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</si>
  <si>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</si>
  <si>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</si>
  <si>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</si>
  <si>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</si>
  <si>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</si>
  <si>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</si>
  <si>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</si>
  <si>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</si>
  <si>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</si>
  <si>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</si>
  <si>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</si>
  <si>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</si>
  <si>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</si>
  <si>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</si>
  <si>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</si>
  <si>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</si>
  <si>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</si>
  <si>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</si>
  <si>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</si>
  <si>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</si>
  <si>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</si>
  <si>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</si>
  <si>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</si>
  <si>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</si>
  <si>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</si>
  <si>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</si>
  <si>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</si>
  <si>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</si>
  <si>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</si>
  <si>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</si>
  <si>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</si>
  <si>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</si>
  <si>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</si>
  <si>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</si>
  <si>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</si>
  <si>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</si>
  <si>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</si>
  <si>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</si>
  <si>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</si>
  <si>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</si>
  <si>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</si>
  <si>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</si>
  <si>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</si>
  <si>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</si>
  <si>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</si>
  <si>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</si>
  <si>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</si>
  <si>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</si>
  <si>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</si>
  <si>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</si>
  <si>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</si>
  <si>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</si>
  <si>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</si>
  <si>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</si>
  <si>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</si>
  <si>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</si>
  <si>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</si>
  <si>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</si>
  <si>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</si>
  <si>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</si>
  <si>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</si>
  <si>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</si>
  <si>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</si>
  <si>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</si>
  <si>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</si>
  <si>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</si>
  <si>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</si>
  <si>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</si>
  <si>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</si>
  <si>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</si>
  <si>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</si>
  <si>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</si>
  <si>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</si>
  <si>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</si>
  <si>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</si>
  <si>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</si>
  <si>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</si>
  <si>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</si>
  <si>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</si>
  <si>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</si>
  <si>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</si>
  <si>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</si>
  <si>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</si>
  <si>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</si>
  <si>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</si>
  <si>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</si>
  <si>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</si>
  <si>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</si>
  <si>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</si>
  <si>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</si>
  <si>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</si>
  <si>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</si>
  <si>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</si>
  <si>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</si>
  <si>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</si>
  <si>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</si>
  <si>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</si>
  <si>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</si>
  <si>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</si>
  <si>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</si>
  <si>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</si>
  <si>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</si>
  <si>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</si>
  <si>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</si>
  <si>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</si>
  <si>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</si>
  <si>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</si>
  <si>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</si>
  <si>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</si>
  <si>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</si>
  <si>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</si>
  <si>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</si>
  <si>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</si>
  <si>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</si>
  <si>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</si>
  <si>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</si>
  <si>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</si>
  <si>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</si>
  <si>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</si>
  <si>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</si>
  <si>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</si>
  <si>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</si>
  <si>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</si>
  <si>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</si>
  <si>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</si>
  <si>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</si>
  <si>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</si>
  <si>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</si>
  <si>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</si>
  <si>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</si>
  <si>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</si>
  <si>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</si>
  <si>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</si>
  <si>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</si>
  <si>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</si>
  <si>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</si>
  <si>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</si>
  <si>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</si>
  <si>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</si>
  <si>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</si>
  <si>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</si>
  <si>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</si>
  <si>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</si>
  <si>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</si>
  <si>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</si>
  <si>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</si>
  <si>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</si>
  <si>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</si>
  <si>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</si>
  <si>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</si>
  <si>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</si>
  <si>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</si>
  <si>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</si>
  <si>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</si>
  <si>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</si>
  <si>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</si>
  <si>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</si>
  <si>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</si>
  <si>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</si>
  <si>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</si>
  <si>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</si>
  <si>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</si>
  <si>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</si>
  <si>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</si>
  <si>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</si>
  <si>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</si>
  <si>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</si>
  <si>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</si>
  <si>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</si>
  <si>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</si>
  <si>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</si>
  <si>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</si>
  <si>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</si>
  <si>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</si>
  <si>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</si>
  <si>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</si>
  <si>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</si>
  <si>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</si>
  <si>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</si>
  <si>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</si>
  <si>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</si>
  <si>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</si>
  <si>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</si>
  <si>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</si>
  <si>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</si>
  <si>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</si>
  <si>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</si>
  <si>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</si>
  <si>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</si>
  <si>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</si>
  <si>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</si>
  <si>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</si>
  <si>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</si>
  <si>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</si>
  <si>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</si>
  <si>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</si>
  <si>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</si>
  <si>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</si>
  <si>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</si>
  <si>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</si>
  <si>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</si>
  <si>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</si>
  <si>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</si>
  <si>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</si>
  <si>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</si>
  <si>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</si>
  <si>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</si>
  <si>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</si>
  <si>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</si>
  <si>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</si>
  <si>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</si>
  <si>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</si>
  <si>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</si>
  <si>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</si>
  <si>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</si>
  <si>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</si>
  <si>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</si>
  <si>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</si>
  <si>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</si>
  <si>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</si>
  <si>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</si>
  <si>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</si>
  <si>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</si>
  <si>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</si>
  <si>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</si>
  <si>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</si>
  <si>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</si>
  <si>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</si>
  <si>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</si>
  <si>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</si>
  <si>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</si>
  <si>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</si>
  <si>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</si>
  <si>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</si>
  <si>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</si>
  <si>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</si>
  <si>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</si>
  <si>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</si>
  <si>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</si>
  <si>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</si>
  <si>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</si>
  <si>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</si>
  <si>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</si>
  <si>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</si>
  <si>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</si>
  <si>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</si>
  <si>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</si>
  <si>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</si>
  <si>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</si>
  <si>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</si>
  <si>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</si>
  <si>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</si>
  <si>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</si>
  <si>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</si>
  <si>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</si>
  <si>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</si>
  <si>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</si>
  <si>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</si>
  <si>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</si>
  <si>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</si>
  <si>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</si>
  <si>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</si>
  <si>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</si>
  <si>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</si>
  <si>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</si>
  <si>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</si>
  <si>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</si>
  <si>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</si>
  <si>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</si>
  <si>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</si>
  <si>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</si>
  <si>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</si>
  <si>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</si>
  <si>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</si>
  <si>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</si>
  <si>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</si>
  <si>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</si>
  <si>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</si>
  <si>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</si>
  <si>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</si>
  <si>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</si>
  <si>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</si>
  <si>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</si>
  <si>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</si>
  <si>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</si>
  <si>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</si>
  <si>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</si>
  <si>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</si>
  <si>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</si>
  <si>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</si>
  <si>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</si>
  <si>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</si>
  <si>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</si>
  <si>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</si>
  <si>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</si>
  <si>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</si>
  <si>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</si>
  <si>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</si>
  <si>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</si>
  <si>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</si>
  <si>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</si>
  <si>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</si>
  <si>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</si>
  <si>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</si>
  <si>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</si>
  <si>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</si>
  <si>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</si>
  <si>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</si>
  <si>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</si>
  <si>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</si>
  <si>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</si>
  <si>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</si>
  <si>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</si>
  <si>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</si>
  <si>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</si>
  <si>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</si>
  <si>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</si>
  <si>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</si>
  <si>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</si>
  <si>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</si>
  <si>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</si>
  <si>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</si>
  <si>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</si>
  <si>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</si>
  <si>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</si>
  <si>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</si>
  <si>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</si>
  <si>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</si>
  <si>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</si>
  <si>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</si>
  <si>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</si>
  <si>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</si>
  <si>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</si>
  <si>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</si>
  <si>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</si>
  <si>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</si>
  <si>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</si>
  <si>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</si>
  <si>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</si>
  <si>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</si>
  <si>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</si>
  <si>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</si>
  <si>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</si>
  <si>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</si>
  <si>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</si>
  <si>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</si>
  <si>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</si>
  <si>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</si>
  <si>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</si>
  <si>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</si>
  <si>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</si>
  <si>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</si>
  <si>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</si>
  <si>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</si>
  <si>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</si>
  <si>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</si>
  <si>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</si>
  <si>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</si>
  <si>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</si>
  <si>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</si>
  <si>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</si>
  <si>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</si>
  <si>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</si>
  <si>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</si>
  <si>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</si>
  <si>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</si>
  <si>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</si>
  <si>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</si>
  <si>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</si>
  <si>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</si>
  <si>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</si>
  <si>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</si>
  <si>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</si>
  <si>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</si>
  <si>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</si>
  <si>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</si>
  <si>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</si>
  <si>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</si>
  <si>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</si>
  <si>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</si>
  <si>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</si>
  <si>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</si>
  <si>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</si>
  <si>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</si>
  <si>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</si>
  <si>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</si>
  <si>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</si>
  <si>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</si>
  <si>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</si>
  <si>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</si>
  <si>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</si>
  <si>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</si>
  <si>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</si>
  <si>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</si>
  <si>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</si>
  <si>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</si>
  <si>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</si>
  <si>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</si>
  <si>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</si>
  <si>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</si>
  <si>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</si>
  <si>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</si>
  <si>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</si>
  <si>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</si>
  <si>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</si>
  <si>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</si>
  <si>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</si>
  <si>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</si>
  <si>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</si>
  <si>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</si>
  <si>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</si>
  <si>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</si>
  <si>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</si>
  <si>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</si>
  <si>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</si>
  <si>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</si>
  <si>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</si>
  <si>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</si>
  <si>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</si>
  <si>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</si>
  <si>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</si>
  <si>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</si>
  <si>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</si>
  <si>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</si>
  <si>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</si>
  <si>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</si>
  <si>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</si>
  <si>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</si>
  <si>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</si>
  <si>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</si>
  <si>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</si>
  <si>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</si>
  <si>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</si>
  <si>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</si>
  <si>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</si>
  <si>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</si>
  <si>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</si>
  <si>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</si>
  <si>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</si>
  <si>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</si>
  <si>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</si>
  <si>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</si>
  <si>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</si>
  <si>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</si>
  <si>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</si>
  <si>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</si>
  <si>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</si>
  <si>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</si>
  <si>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</si>
  <si>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</si>
  <si>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</si>
  <si>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</si>
  <si>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</si>
  <si>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</si>
  <si>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</si>
  <si>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</si>
  <si>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</si>
  <si>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</si>
  <si>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</si>
  <si>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</si>
  <si>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</si>
  <si>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</si>
  <si>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</si>
  <si>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</si>
  <si>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</si>
  <si>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</si>
  <si>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</si>
  <si>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</si>
  <si>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</si>
  <si>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</si>
  <si>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</si>
  <si>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</si>
  <si>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</si>
  <si>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</si>
  <si>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</si>
  <si>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</si>
  <si>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</si>
  <si>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</si>
  <si>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</si>
  <si>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</si>
  <si>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</si>
  <si>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</si>
  <si>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</si>
  <si>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</si>
  <si>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</si>
  <si>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</si>
  <si>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</si>
  <si>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</si>
  <si>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</si>
  <si>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</si>
  <si>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</si>
  <si>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</si>
  <si>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</si>
  <si>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</si>
  <si>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</si>
  <si>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</si>
  <si>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</si>
  <si>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</si>
  <si>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</si>
  <si>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</si>
  <si>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</si>
  <si>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</si>
  <si>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</si>
  <si>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</si>
  <si>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</si>
  <si>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</si>
  <si>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</si>
  <si>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</si>
  <si>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</si>
  <si>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</si>
  <si>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</si>
  <si>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</si>
  <si>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</si>
  <si>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</si>
  <si>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</si>
  <si>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</si>
  <si>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</si>
  <si>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</si>
  <si>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</si>
  <si>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</si>
  <si>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</si>
  <si>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</si>
  <si>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</si>
  <si>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</si>
  <si>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</si>
  <si>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</si>
  <si>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</si>
  <si>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</si>
  <si>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</si>
  <si>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</si>
  <si>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</si>
  <si>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</si>
  <si>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</si>
  <si>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</si>
  <si>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</si>
  <si>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</si>
  <si>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</si>
  <si>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</si>
  <si>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</si>
  <si>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</si>
  <si>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</si>
  <si>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</si>
  <si>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</si>
  <si>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</si>
  <si>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</si>
  <si>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</si>
  <si>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</si>
  <si>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</si>
  <si>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</si>
  <si>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</si>
  <si>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</si>
  <si>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</si>
  <si>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</si>
  <si>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</si>
  <si>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</si>
  <si>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</si>
  <si>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</si>
  <si>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</si>
  <si>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</si>
  <si>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</si>
  <si>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</si>
  <si>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</si>
  <si>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</si>
  <si>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</si>
  <si>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</si>
  <si>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</si>
  <si>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</si>
  <si>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</si>
  <si>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</si>
  <si>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</si>
  <si>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</si>
  <si>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</si>
  <si>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</si>
  <si>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</si>
  <si>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</si>
  <si>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</si>
  <si>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</si>
  <si>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</si>
  <si>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</si>
  <si>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</si>
  <si>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</si>
  <si>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</si>
  <si>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</si>
  <si>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</si>
  <si>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</si>
  <si>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</si>
  <si>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</si>
  <si>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</si>
  <si>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</si>
  <si>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</si>
  <si>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</si>
  <si>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</si>
  <si>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</si>
  <si>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</si>
  <si>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</si>
  <si>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</si>
  <si>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</si>
  <si>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</si>
  <si>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</si>
  <si>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</si>
  <si>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</si>
  <si>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</si>
  <si>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</si>
  <si>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</si>
  <si>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</si>
  <si>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</si>
  <si>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</si>
  <si>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</si>
  <si>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</si>
  <si>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</si>
  <si>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</si>
  <si>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</si>
  <si>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</si>
  <si>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</si>
  <si>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</si>
  <si>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</si>
  <si>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</si>
  <si>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</si>
  <si>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</si>
  <si>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</si>
  <si>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</si>
  <si>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</si>
  <si>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</si>
  <si>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</si>
  <si>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</si>
  <si>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</si>
  <si>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</si>
  <si>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</si>
  <si>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</si>
  <si>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</si>
  <si>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</si>
  <si>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</si>
  <si>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</si>
  <si>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</si>
  <si>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</si>
  <si>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</si>
  <si>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</si>
  <si>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</si>
  <si>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</si>
  <si>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</si>
  <si>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</si>
  <si>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</si>
  <si>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</si>
  <si>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</si>
  <si>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</si>
  <si>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</si>
  <si>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</si>
  <si>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</si>
  <si>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</si>
  <si>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</si>
  <si>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</si>
  <si>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</si>
  <si>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</si>
  <si>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</si>
  <si>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</si>
  <si>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</si>
  <si>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</si>
  <si>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</si>
  <si>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</si>
  <si>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</si>
  <si>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</si>
  <si>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</si>
  <si>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</si>
  <si>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</si>
  <si>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</si>
  <si>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</si>
  <si>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</si>
  <si>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</si>
  <si>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</si>
  <si>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</si>
  <si>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</si>
  <si>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</si>
  <si>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</si>
  <si>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</si>
  <si>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</si>
  <si>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</si>
  <si>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</si>
  <si>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</si>
  <si>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</si>
  <si>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</si>
  <si>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</si>
  <si>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</si>
  <si>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</si>
  <si>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</si>
  <si>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</si>
  <si>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</si>
  <si>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</si>
  <si>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</si>
  <si>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</si>
  <si>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</si>
  <si>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</si>
  <si>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</si>
  <si>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</si>
  <si>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</si>
  <si>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</si>
  <si>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</si>
  <si>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</si>
  <si>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</si>
  <si>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</si>
  <si>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</si>
  <si>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</si>
  <si>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</si>
  <si>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</si>
  <si>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</si>
  <si>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</si>
  <si>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</si>
  <si>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</si>
  <si>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</si>
  <si>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</si>
  <si>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</si>
  <si>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</si>
  <si>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</si>
  <si>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</si>
  <si>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</si>
  <si>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</si>
  <si>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</si>
  <si>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</si>
  <si>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</si>
  <si>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</si>
  <si>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</si>
  <si>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</si>
  <si>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</si>
  <si>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</si>
  <si>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</si>
  <si>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</si>
  <si>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</si>
  <si>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</si>
  <si>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</si>
  <si>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</si>
  <si>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</si>
  <si>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</si>
  <si>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</si>
  <si>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</si>
  <si>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</si>
  <si>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</si>
  <si>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</si>
  <si>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</si>
  <si>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</si>
  <si>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</si>
  <si>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</si>
  <si>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</si>
  <si>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</si>
  <si>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</si>
  <si>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</si>
  <si>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</si>
  <si>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</si>
  <si>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</si>
  <si>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</si>
  <si>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</si>
  <si>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</si>
  <si>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</si>
  <si>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</si>
  <si>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</si>
  <si>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</si>
  <si>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</si>
  <si>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</si>
  <si>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</si>
  <si>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</si>
  <si>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</si>
  <si>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</si>
  <si>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</si>
  <si>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</si>
  <si>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</si>
  <si>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</si>
  <si>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</si>
  <si>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</si>
  <si>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</si>
  <si>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</si>
  <si>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</si>
  <si>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</si>
  <si>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</si>
  <si>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</si>
  <si>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</si>
  <si>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</si>
  <si>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</si>
  <si>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</si>
  <si>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</si>
  <si>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</si>
  <si>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</si>
  <si>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</si>
  <si>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</si>
  <si>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</si>
  <si>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</si>
  <si>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</si>
  <si>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</si>
  <si>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</si>
  <si>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</si>
  <si>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</si>
  <si>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</si>
  <si>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</si>
  <si>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</si>
  <si>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</si>
  <si>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</si>
  <si>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</si>
  <si>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</si>
  <si>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</si>
  <si>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</si>
  <si>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</si>
  <si>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</si>
  <si>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</si>
  <si>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</si>
  <si>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</si>
  <si>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</si>
  <si>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</si>
  <si>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</si>
  <si>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</si>
  <si>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</si>
  <si>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</si>
  <si>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</si>
  <si>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</si>
  <si>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</si>
  <si>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</si>
  <si>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</si>
  <si>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</si>
  <si>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</si>
  <si>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</si>
  <si>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</si>
  <si>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</si>
  <si>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</si>
  <si>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</si>
  <si>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</si>
  <si>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</si>
  <si>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</si>
  <si>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</si>
  <si>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</si>
  <si>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</si>
  <si>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</si>
  <si>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</si>
  <si>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</si>
  <si>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</si>
  <si>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</si>
  <si>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</si>
  <si>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</si>
  <si>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</si>
  <si>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</si>
  <si>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</si>
  <si>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</si>
  <si>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</si>
  <si>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</si>
  <si>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</si>
  <si>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</si>
  <si>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</si>
  <si>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</si>
  <si>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</si>
  <si>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</si>
  <si>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</si>
  <si>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</si>
  <si>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</si>
  <si>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</si>
  <si>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</si>
  <si>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</si>
  <si>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</si>
  <si>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</si>
  <si>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</si>
  <si>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</si>
  <si>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</si>
  <si>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</si>
  <si>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</si>
  <si>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</si>
  <si>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</si>
  <si>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</si>
  <si>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</si>
  <si>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</si>
  <si>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</si>
  <si>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</si>
  <si>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</si>
  <si>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</si>
  <si>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</si>
  <si>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</si>
  <si>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</si>
  <si>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</si>
  <si>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</si>
  <si>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</si>
  <si>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</si>
  <si>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</si>
  <si>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</si>
  <si>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</si>
  <si>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</si>
  <si>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</si>
  <si>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</si>
  <si>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</si>
  <si>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</si>
  <si>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</si>
  <si>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</si>
  <si>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</si>
  <si>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</si>
  <si>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</si>
  <si>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</si>
  <si>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</si>
  <si>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</si>
  <si>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</si>
  <si>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</si>
  <si>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</si>
  <si>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</si>
  <si>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</si>
  <si>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</si>
  <si>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</si>
  <si>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</si>
  <si>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</si>
  <si>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</si>
  <si>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</si>
  <si>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</si>
  <si>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</si>
  <si>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</si>
  <si>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</si>
  <si>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</si>
  <si>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</si>
  <si>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</si>
  <si>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</si>
  <si>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</si>
  <si>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</si>
  <si>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</si>
  <si>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</si>
  <si>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</si>
  <si>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</si>
  <si>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</si>
  <si>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</si>
  <si>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</si>
  <si>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</si>
  <si>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</si>
  <si>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</si>
  <si>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</si>
  <si>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</si>
  <si>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</si>
  <si>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</si>
  <si>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</si>
  <si>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</si>
  <si>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</si>
  <si>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</si>
  <si>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</si>
  <si>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</si>
  <si>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</si>
  <si>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</si>
  <si>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</si>
  <si>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</si>
  <si>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</si>
  <si>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</si>
  <si>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</si>
  <si>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</si>
  <si>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</si>
  <si>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</si>
  <si>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</si>
  <si>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</si>
  <si>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</si>
  <si>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</si>
  <si>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</si>
  <si>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</si>
  <si>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</si>
  <si>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</si>
  <si>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</si>
  <si>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</si>
  <si>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</si>
  <si>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</si>
  <si>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</si>
  <si>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</si>
  <si>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</si>
  <si>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</si>
  <si>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</si>
  <si>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</si>
  <si>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</si>
  <si>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</si>
  <si>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</si>
  <si>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</si>
  <si>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</si>
  <si>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</si>
  <si>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</si>
  <si>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</si>
  <si>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</si>
  <si>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</si>
  <si>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</si>
  <si>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</si>
  <si>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</si>
  <si>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</si>
  <si>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</si>
  <si>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</si>
  <si>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</si>
  <si>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</si>
  <si>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</si>
  <si>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</si>
  <si>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</si>
  <si>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</si>
  <si>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</si>
  <si>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</si>
  <si>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</si>
  <si>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</si>
  <si>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</si>
  <si>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</si>
  <si>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</si>
  <si>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</si>
  <si>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</si>
  <si>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</si>
  <si>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</si>
  <si>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</si>
  <si>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</si>
  <si>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</si>
  <si>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</si>
  <si>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</si>
  <si>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</si>
  <si>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</si>
  <si>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</si>
  <si>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</si>
  <si>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</si>
  <si>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</si>
  <si>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</si>
  <si>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</si>
  <si>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</si>
  <si>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</si>
  <si>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</si>
  <si>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</si>
  <si>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</si>
  <si>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</si>
  <si>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</si>
  <si>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</si>
  <si>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</si>
  <si>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</si>
  <si>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</si>
  <si>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</si>
  <si>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</si>
  <si>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</si>
  <si>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</si>
  <si>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</si>
  <si>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</si>
  <si>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</si>
  <si>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</si>
  <si>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</si>
  <si>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</si>
  <si>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</si>
  <si>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</si>
  <si>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</si>
  <si>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</si>
  <si>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</si>
  <si>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</si>
  <si>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</si>
  <si>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</si>
  <si>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</si>
  <si>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</si>
  <si>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</si>
  <si>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</si>
  <si>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</si>
  <si>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</si>
  <si>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</si>
  <si>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</si>
  <si>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</si>
  <si>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</si>
  <si>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</si>
  <si>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</si>
  <si>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</si>
  <si>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</si>
  <si>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</si>
  <si>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</si>
  <si>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</si>
  <si>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</si>
  <si>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</si>
  <si>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</si>
  <si>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</si>
  <si>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</si>
  <si>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</si>
  <si>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</si>
  <si>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</si>
  <si>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</si>
  <si>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</si>
  <si>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</si>
  <si>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</si>
  <si>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</si>
  <si>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</si>
  <si>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</si>
  <si>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</si>
  <si>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</si>
  <si>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</si>
  <si>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</si>
  <si>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</si>
  <si>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</si>
  <si>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</si>
  <si>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</si>
  <si>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</si>
  <si>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</si>
  <si>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</si>
  <si>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</si>
  <si>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</si>
  <si>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</si>
  <si>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</si>
  <si>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</si>
  <si>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</si>
  <si>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</si>
  <si>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</si>
  <si>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</si>
  <si>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</si>
  <si>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</si>
  <si>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</si>
  <si>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</si>
  <si>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</si>
  <si>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</si>
  <si>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</si>
  <si>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</si>
  <si>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</si>
  <si>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</si>
  <si>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</si>
  <si>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</si>
  <si>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</si>
  <si>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</si>
  <si>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</si>
  <si>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</si>
  <si>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</si>
  <si>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</si>
  <si>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</si>
  <si>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</si>
  <si>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</si>
  <si>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</si>
  <si>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</si>
  <si>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</si>
  <si>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</si>
  <si>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</si>
  <si>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</si>
  <si>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</si>
  <si>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</si>
  <si>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</si>
  <si>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</si>
  <si>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</si>
  <si>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</si>
  <si>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</si>
  <si>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</si>
  <si>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</si>
  <si>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</si>
  <si>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</si>
  <si>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</si>
  <si>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</si>
  <si>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</si>
  <si>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</si>
  <si>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</si>
  <si>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</si>
  <si>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</si>
  <si>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</si>
  <si>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</si>
  <si>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</si>
  <si>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</si>
  <si>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</si>
  <si>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</si>
  <si>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</si>
  <si>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</si>
  <si>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</si>
  <si>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</si>
  <si>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</si>
  <si>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</si>
  <si>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</si>
  <si>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</si>
  <si>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</si>
  <si>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</si>
  <si>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</si>
  <si>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</si>
  <si>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</si>
  <si>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</si>
  <si>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</si>
  <si>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</si>
  <si>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</si>
  <si>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</si>
  <si>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</si>
  <si>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</si>
  <si>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</si>
  <si>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</si>
  <si>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</si>
  <si>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</si>
  <si>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</si>
  <si>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</si>
  <si>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</si>
  <si>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</si>
  <si>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</si>
  <si>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</si>
  <si>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</si>
  <si>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</si>
  <si>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</si>
  <si>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</si>
  <si>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</si>
  <si>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</si>
  <si>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</si>
  <si>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</si>
  <si>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</si>
  <si>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</si>
  <si>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</si>
  <si>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</si>
  <si>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</si>
  <si>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</si>
  <si>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</si>
  <si>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</si>
  <si>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</si>
  <si>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</si>
  <si>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</si>
  <si>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</si>
  <si>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</si>
  <si>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</si>
  <si>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</si>
  <si>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</si>
  <si>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</si>
  <si>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</si>
  <si>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</si>
  <si>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</si>
  <si>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</si>
  <si>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</si>
  <si>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</si>
  <si>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</si>
  <si>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</si>
  <si>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</si>
  <si>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</si>
  <si>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</si>
  <si>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</si>
  <si>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</si>
  <si>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</si>
  <si>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</si>
  <si>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</si>
  <si>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</si>
  <si>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</si>
  <si>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</si>
  <si>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</si>
  <si>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</si>
  <si>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</si>
  <si>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</si>
  <si>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</si>
  <si>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</si>
  <si>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</si>
  <si>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</si>
  <si>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</si>
  <si>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</si>
  <si>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</si>
  <si>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</si>
  <si>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</si>
  <si>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</si>
  <si>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</si>
  <si>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</si>
  <si>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</si>
  <si>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</si>
  <si>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</si>
  <si>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</si>
  <si>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</si>
  <si>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</si>
  <si>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</si>
  <si>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</si>
  <si>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</si>
  <si>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</si>
  <si>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</si>
  <si>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</si>
  <si>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</si>
  <si>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</si>
  <si>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</si>
  <si>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</si>
  <si>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</si>
  <si>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</si>
  <si>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</si>
  <si>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</si>
  <si>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</si>
  <si>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</si>
  <si>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</si>
  <si>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</si>
  <si>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</si>
  <si>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</si>
  <si>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</si>
  <si>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</si>
  <si>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</si>
  <si>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</si>
  <si>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</si>
  <si>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</si>
  <si>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</si>
  <si>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</si>
  <si>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</si>
  <si>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</si>
  <si>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</si>
  <si>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</si>
  <si>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</si>
  <si>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</si>
  <si>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</si>
  <si>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</si>
  <si>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</si>
  <si>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</si>
  <si>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</si>
  <si>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</si>
  <si>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</si>
  <si>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</si>
  <si>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</si>
  <si>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</si>
  <si>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</si>
  <si>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</si>
  <si>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</si>
  <si>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</si>
  <si>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</si>
  <si>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</si>
  <si>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</si>
  <si>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</si>
  <si>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</si>
  <si>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</si>
  <si>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</si>
  <si>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</si>
  <si>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</si>
  <si>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</si>
  <si>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</si>
  <si>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</si>
  <si>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</si>
  <si>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</si>
  <si>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</si>
  <si>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</si>
  <si>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</si>
  <si>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</si>
  <si>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</si>
  <si>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</si>
  <si>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</si>
  <si>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</si>
  <si>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</si>
  <si>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</si>
  <si>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</si>
  <si>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</si>
  <si>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</si>
  <si>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</si>
  <si>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</si>
  <si>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</si>
  <si>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</si>
  <si>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</si>
  <si>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</si>
  <si>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</si>
  <si>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</si>
  <si>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</si>
  <si>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</si>
  <si>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</si>
  <si>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</si>
  <si>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</si>
  <si>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</si>
  <si>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</si>
  <si>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</si>
  <si>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</si>
  <si>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</si>
  <si>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</si>
  <si>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</si>
  <si>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</si>
  <si>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</si>
  <si>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</si>
  <si>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</si>
  <si>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</si>
  <si>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</si>
  <si>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</si>
  <si>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</si>
  <si>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</si>
  <si>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</si>
  <si>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</si>
  <si>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</si>
  <si>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</si>
  <si>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</si>
  <si>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</si>
  <si>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</si>
  <si>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</si>
  <si>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</si>
  <si>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</si>
  <si>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</si>
  <si>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</si>
  <si>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</si>
  <si>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</si>
  <si>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</si>
  <si>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</si>
  <si>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</si>
  <si>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</si>
  <si>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</si>
  <si>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</si>
  <si>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</si>
  <si>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</si>
  <si>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</si>
  <si>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</si>
  <si>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</si>
  <si>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</si>
  <si>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</si>
  <si>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</si>
  <si>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</si>
  <si>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</si>
  <si>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</si>
  <si>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</si>
  <si>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</si>
  <si>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</si>
  <si>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</si>
  <si>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</si>
  <si>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</si>
  <si>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</si>
  <si>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</si>
  <si>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</si>
  <si>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</si>
  <si>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</si>
  <si>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</si>
  <si>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</si>
  <si>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</si>
  <si>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</si>
  <si>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</si>
  <si>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</si>
  <si>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</si>
  <si>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</si>
  <si>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</si>
  <si>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</si>
  <si>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</si>
  <si>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</si>
  <si>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</si>
  <si>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</si>
  <si>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</si>
  <si>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</si>
  <si>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</si>
  <si>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</si>
  <si>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</si>
  <si>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</si>
  <si>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</si>
  <si>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</si>
  <si>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</si>
  <si>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</si>
  <si>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</si>
  <si>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</si>
  <si>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</si>
  <si>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</si>
  <si>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</si>
  <si>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</si>
  <si>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</si>
  <si>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</si>
  <si>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</si>
  <si>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</si>
  <si>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</si>
  <si>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</si>
  <si>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</si>
  <si>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</si>
  <si>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</si>
  <si>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</si>
  <si>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</si>
  <si>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</si>
  <si>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</si>
  <si>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</si>
  <si>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</si>
  <si>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</si>
  <si>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</si>
  <si>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</si>
  <si>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</si>
  <si>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</si>
  <si>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</si>
  <si>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</si>
  <si>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</si>
  <si>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</si>
  <si>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</si>
  <si>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</si>
  <si>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</si>
  <si>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</si>
  <si>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</si>
  <si>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</si>
  <si>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</si>
  <si>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</si>
  <si>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</si>
  <si>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</si>
  <si>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</si>
  <si>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</si>
  <si>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</si>
  <si>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</si>
  <si>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</si>
  <si>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</si>
  <si>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</si>
  <si>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</si>
  <si>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</si>
  <si>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</si>
  <si>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</si>
  <si>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</si>
  <si>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</si>
  <si>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</si>
  <si>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</si>
  <si>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</si>
  <si>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</si>
  <si>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</si>
  <si>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</si>
  <si>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</si>
  <si>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</si>
  <si>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</si>
  <si>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出让</t>
  </si>
  <si>
    <t>北京市</t>
  </si>
  <si>
    <t>企业</t>
  </si>
  <si>
    <t>核定资产</t>
  </si>
  <si>
    <t>房地产市场价值</t>
  </si>
  <si>
    <t>是</t>
  </si>
  <si>
    <t>地上</t>
  </si>
  <si>
    <t>法定最高年限</t>
  </si>
  <si>
    <t>成新度</t>
  </si>
  <si>
    <t>不临58条商业街</t>
  </si>
  <si>
    <t>与级别开发程度一致</t>
  </si>
  <si>
    <t>按公示增长率计算</t>
  </si>
  <si>
    <t>容积率修正</t>
  </si>
  <si>
    <t>商业</t>
    <phoneticPr fontId="7" type="noConversion"/>
  </si>
  <si>
    <t>未包含在土地购买价格中</t>
  </si>
  <si>
    <t>已包含在土地取得成本中</t>
  </si>
  <si>
    <t>收益法 (元)</t>
  </si>
  <si>
    <t>钢混</t>
  </si>
  <si>
    <t>非生产用房</t>
  </si>
  <si>
    <t>成本法 (元)</t>
  </si>
  <si>
    <t>现房</t>
  </si>
  <si>
    <t>押一</t>
  </si>
  <si>
    <t>序号</t>
    <phoneticPr fontId="143" type="noConversion"/>
  </si>
  <si>
    <t>房号或部位</t>
    <phoneticPr fontId="143" type="noConversion"/>
  </si>
  <si>
    <t>建筑面积</t>
    <phoneticPr fontId="143" type="noConversion"/>
  </si>
  <si>
    <t>房屋用途</t>
    <phoneticPr fontId="143" type="noConversion"/>
  </si>
  <si>
    <t>层数</t>
    <phoneticPr fontId="143" type="noConversion"/>
  </si>
  <si>
    <t>规划用途</t>
    <phoneticPr fontId="143" type="noConversion"/>
  </si>
  <si>
    <t>使用用途</t>
    <phoneticPr fontId="143" type="noConversion"/>
  </si>
  <si>
    <t>总地上/地下</t>
    <phoneticPr fontId="143" type="noConversion"/>
  </si>
  <si>
    <t>所在</t>
    <phoneticPr fontId="143" type="noConversion"/>
  </si>
  <si>
    <r>
      <t>-</t>
    </r>
    <r>
      <rPr>
        <sz val="11"/>
        <color theme="1"/>
        <rFont val="宋体"/>
        <family val="3"/>
        <charset val="134"/>
        <scheme val="minor"/>
      </rPr>
      <t>03层不分摊部位</t>
    </r>
    <phoneticPr fontId="143" type="noConversion"/>
  </si>
  <si>
    <r>
      <t>1</t>
    </r>
    <r>
      <rPr>
        <sz val="11"/>
        <color theme="1"/>
        <rFont val="宋体"/>
        <family val="3"/>
        <charset val="134"/>
        <scheme val="minor"/>
      </rPr>
      <t>1/-3</t>
    </r>
    <phoneticPr fontId="143" type="noConversion"/>
  </si>
  <si>
    <r>
      <t>-</t>
    </r>
    <r>
      <rPr>
        <sz val="11"/>
        <color theme="1"/>
        <rFont val="宋体"/>
        <family val="3"/>
        <charset val="134"/>
        <scheme val="minor"/>
      </rPr>
      <t>301</t>
    </r>
    <phoneticPr fontId="143" type="noConversion"/>
  </si>
  <si>
    <t>地下车库</t>
    <phoneticPr fontId="143" type="noConversion"/>
  </si>
  <si>
    <t>-02层不分摊部位</t>
    <phoneticPr fontId="143" type="noConversion"/>
  </si>
  <si>
    <r>
      <t>-</t>
    </r>
    <r>
      <rPr>
        <sz val="11"/>
        <color theme="1"/>
        <rFont val="宋体"/>
        <family val="3"/>
        <charset val="134"/>
        <scheme val="minor"/>
      </rPr>
      <t>201</t>
    </r>
    <phoneticPr fontId="143" type="noConversion"/>
  </si>
  <si>
    <r>
      <t>-</t>
    </r>
    <r>
      <rPr>
        <sz val="11"/>
        <color theme="1"/>
        <rFont val="宋体"/>
        <family val="3"/>
        <charset val="134"/>
        <scheme val="minor"/>
      </rPr>
      <t>202</t>
    </r>
    <phoneticPr fontId="143" type="noConversion"/>
  </si>
  <si>
    <t>-01层不分摊部位</t>
    <phoneticPr fontId="143" type="noConversion"/>
  </si>
  <si>
    <r>
      <t>-</t>
    </r>
    <r>
      <rPr>
        <sz val="11"/>
        <color theme="1"/>
        <rFont val="宋体"/>
        <family val="3"/>
        <charset val="134"/>
        <scheme val="minor"/>
      </rPr>
      <t>101</t>
    </r>
    <phoneticPr fontId="143" type="noConversion"/>
  </si>
  <si>
    <t>自行车库</t>
    <phoneticPr fontId="143" type="noConversion"/>
  </si>
  <si>
    <r>
      <t>-</t>
    </r>
    <r>
      <rPr>
        <sz val="11"/>
        <color theme="1"/>
        <rFont val="宋体"/>
        <family val="3"/>
        <charset val="134"/>
        <scheme val="minor"/>
      </rPr>
      <t>102</t>
    </r>
    <phoneticPr fontId="143" type="noConversion"/>
  </si>
  <si>
    <t>非燃品库房</t>
    <phoneticPr fontId="143" type="noConversion"/>
  </si>
  <si>
    <r>
      <t>-</t>
    </r>
    <r>
      <rPr>
        <sz val="11"/>
        <color theme="1"/>
        <rFont val="宋体"/>
        <family val="3"/>
        <charset val="134"/>
        <scheme val="minor"/>
      </rPr>
      <t>103</t>
    </r>
    <phoneticPr fontId="143" type="noConversion"/>
  </si>
  <si>
    <t>01层不分摊部位</t>
    <phoneticPr fontId="143" type="noConversion"/>
  </si>
  <si>
    <r>
      <t>1</t>
    </r>
    <r>
      <rPr>
        <sz val="11"/>
        <color theme="1"/>
        <rFont val="宋体"/>
        <family val="3"/>
        <charset val="134"/>
        <scheme val="minor"/>
      </rPr>
      <t>01</t>
    </r>
    <phoneticPr fontId="143" type="noConversion"/>
  </si>
  <si>
    <t>商场</t>
    <phoneticPr fontId="143" type="noConversion"/>
  </si>
  <si>
    <r>
      <t>1</t>
    </r>
    <r>
      <rPr>
        <sz val="11"/>
        <color theme="1"/>
        <rFont val="宋体"/>
        <family val="3"/>
        <charset val="134"/>
        <scheme val="minor"/>
      </rPr>
      <t>02</t>
    </r>
    <phoneticPr fontId="143" type="noConversion"/>
  </si>
  <si>
    <r>
      <t>1</t>
    </r>
    <r>
      <rPr>
        <sz val="11"/>
        <color theme="1"/>
        <rFont val="宋体"/>
        <family val="3"/>
        <charset val="134"/>
        <scheme val="minor"/>
      </rPr>
      <t>03</t>
    </r>
    <phoneticPr fontId="143" type="noConversion"/>
  </si>
  <si>
    <r>
      <t>1</t>
    </r>
    <r>
      <rPr>
        <sz val="11"/>
        <color theme="1"/>
        <rFont val="宋体"/>
        <family val="3"/>
        <charset val="134"/>
        <scheme val="minor"/>
      </rPr>
      <t>04</t>
    </r>
    <phoneticPr fontId="143" type="noConversion"/>
  </si>
  <si>
    <t>02层不分摊部位</t>
    <phoneticPr fontId="143" type="noConversion"/>
  </si>
  <si>
    <r>
      <t>2</t>
    </r>
    <r>
      <rPr>
        <sz val="11"/>
        <color theme="1"/>
        <rFont val="宋体"/>
        <family val="3"/>
        <charset val="134"/>
        <scheme val="minor"/>
      </rPr>
      <t>01</t>
    </r>
    <phoneticPr fontId="143" type="noConversion"/>
  </si>
  <si>
    <r>
      <t>2</t>
    </r>
    <r>
      <rPr>
        <sz val="11"/>
        <color theme="1"/>
        <rFont val="宋体"/>
        <family val="3"/>
        <charset val="134"/>
        <scheme val="minor"/>
      </rPr>
      <t>02</t>
    </r>
    <phoneticPr fontId="143" type="noConversion"/>
  </si>
  <si>
    <t>03层不分摊部位</t>
    <phoneticPr fontId="143" type="noConversion"/>
  </si>
  <si>
    <r>
      <t>3</t>
    </r>
    <r>
      <rPr>
        <sz val="11"/>
        <color theme="1"/>
        <rFont val="宋体"/>
        <family val="3"/>
        <charset val="134"/>
        <scheme val="minor"/>
      </rPr>
      <t>01</t>
    </r>
    <phoneticPr fontId="143" type="noConversion"/>
  </si>
  <si>
    <r>
      <t>3</t>
    </r>
    <r>
      <rPr>
        <sz val="11"/>
        <color theme="1"/>
        <rFont val="宋体"/>
        <family val="3"/>
        <charset val="134"/>
        <scheme val="minor"/>
      </rPr>
      <t>02</t>
    </r>
    <phoneticPr fontId="143" type="noConversion"/>
  </si>
  <si>
    <r>
      <t>5</t>
    </r>
    <r>
      <rPr>
        <sz val="11"/>
        <color theme="1"/>
        <rFont val="宋体"/>
        <family val="3"/>
        <charset val="134"/>
        <scheme val="minor"/>
      </rPr>
      <t>01</t>
    </r>
    <phoneticPr fontId="143" type="noConversion"/>
  </si>
  <si>
    <r>
      <t>5</t>
    </r>
    <r>
      <rPr>
        <sz val="11"/>
        <color theme="1"/>
        <rFont val="宋体"/>
        <family val="3"/>
        <charset val="134"/>
        <scheme val="minor"/>
      </rPr>
      <t>02</t>
    </r>
    <phoneticPr fontId="143" type="noConversion"/>
  </si>
  <si>
    <r>
      <t>6</t>
    </r>
    <r>
      <rPr>
        <sz val="11"/>
        <color theme="1"/>
        <rFont val="宋体"/>
        <family val="3"/>
        <charset val="134"/>
        <scheme val="minor"/>
      </rPr>
      <t>01</t>
    </r>
    <phoneticPr fontId="143" type="noConversion"/>
  </si>
  <si>
    <r>
      <t>6</t>
    </r>
    <r>
      <rPr>
        <sz val="11"/>
        <color theme="1"/>
        <rFont val="宋体"/>
        <family val="3"/>
        <charset val="134"/>
        <scheme val="minor"/>
      </rPr>
      <t>02</t>
    </r>
    <phoneticPr fontId="143" type="noConversion"/>
  </si>
  <si>
    <t>07层不分摊部位</t>
    <phoneticPr fontId="143" type="noConversion"/>
  </si>
  <si>
    <r>
      <t>7</t>
    </r>
    <r>
      <rPr>
        <sz val="11"/>
        <color theme="1"/>
        <rFont val="宋体"/>
        <family val="3"/>
        <charset val="134"/>
        <scheme val="minor"/>
      </rPr>
      <t>01</t>
    </r>
    <phoneticPr fontId="143" type="noConversion"/>
  </si>
  <si>
    <r>
      <t>7</t>
    </r>
    <r>
      <rPr>
        <sz val="11"/>
        <color theme="1"/>
        <rFont val="宋体"/>
        <family val="3"/>
        <charset val="134"/>
        <scheme val="minor"/>
      </rPr>
      <t>02</t>
    </r>
    <phoneticPr fontId="143" type="noConversion"/>
  </si>
  <si>
    <r>
      <t>8</t>
    </r>
    <r>
      <rPr>
        <sz val="11"/>
        <color theme="1"/>
        <rFont val="宋体"/>
        <family val="3"/>
        <charset val="134"/>
        <scheme val="minor"/>
      </rPr>
      <t>01</t>
    </r>
    <phoneticPr fontId="143" type="noConversion"/>
  </si>
  <si>
    <t>餐饮</t>
    <phoneticPr fontId="143" type="noConversion"/>
  </si>
  <si>
    <r>
      <t>9</t>
    </r>
    <r>
      <rPr>
        <sz val="11"/>
        <color theme="1"/>
        <rFont val="宋体"/>
        <family val="3"/>
        <charset val="134"/>
        <scheme val="minor"/>
      </rPr>
      <t>01</t>
    </r>
    <phoneticPr fontId="143" type="noConversion"/>
  </si>
  <si>
    <r>
      <t>1</t>
    </r>
    <r>
      <rPr>
        <sz val="11"/>
        <color theme="1"/>
        <rFont val="宋体"/>
        <family val="3"/>
        <charset val="134"/>
        <scheme val="minor"/>
      </rPr>
      <t>001</t>
    </r>
    <phoneticPr fontId="143" type="noConversion"/>
  </si>
  <si>
    <r>
      <t>1</t>
    </r>
    <r>
      <rPr>
        <sz val="11"/>
        <color theme="1"/>
        <rFont val="宋体"/>
        <family val="3"/>
        <charset val="134"/>
        <scheme val="minor"/>
      </rPr>
      <t>101</t>
    </r>
    <phoneticPr fontId="143" type="noConversion"/>
  </si>
  <si>
    <r>
      <t>1</t>
    </r>
    <r>
      <rPr>
        <sz val="11"/>
        <color theme="1"/>
        <rFont val="宋体"/>
        <family val="3"/>
        <charset val="134"/>
        <scheme val="minor"/>
      </rPr>
      <t>201</t>
    </r>
    <phoneticPr fontId="143" type="noConversion"/>
  </si>
  <si>
    <t>合计</t>
    <phoneticPr fontId="143" type="noConversion"/>
  </si>
  <si>
    <r>
      <rPr>
        <sz val="12"/>
        <color rgb="FF000000"/>
        <rFont val="微软雅黑"/>
        <family val="2"/>
        <charset val="134"/>
      </rPr>
      <t>朝阳区东三环中路</t>
    </r>
    <r>
      <rPr>
        <sz val="12"/>
        <color rgb="FF000000"/>
        <rFont val="Arial"/>
        <family val="2"/>
      </rPr>
      <t>65</t>
    </r>
    <r>
      <rPr>
        <sz val="12"/>
        <color rgb="FF000000"/>
        <rFont val="微软雅黑"/>
        <family val="2"/>
        <charset val="134"/>
      </rPr>
      <t>号</t>
    </r>
    <phoneticPr fontId="6" type="noConversion"/>
  </si>
  <si>
    <t>商务金融用地（商业类）</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</si>
</sst>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rgb="FF000000"/>
      <name val="微软雅黑"/>
      <family val="2"/>
      <charset val="134"/>
    </font>
    <font>
      <sz val="10"/>
      <color rgb="FF000000"/>
      <name val="宋体"/>
      <family val="2"/>
      <charset val="134"/>
    </font>
    <font>
      <sz val="12"/>
      <color rgb="FF000000"/>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255" fillId="0" borderId="1" xfId="1" applyNumberFormat="1" applyFont="1" applyFill="1" applyBorder="1" applyAlignment="1" applyProtection="1">
      <alignment vertical="center"/>
      <protection locked="0" hidden="1"/>
    </xf>
    <xf numFmtId="0" fontId="99" fillId="0" borderId="0" xfId="10">
      <alignment vertical="center"/>
    </xf>
    <xf numFmtId="0" fontId="99" fillId="0" borderId="1" xfId="10" applyBorder="1" applyAlignment="1">
      <alignment horizontal="center" vertical="center" wrapText="1"/>
    </xf>
    <xf numFmtId="49" fontId="99" fillId="0" borderId="1" xfId="10" applyNumberFormat="1" applyBorder="1" applyAlignment="1">
      <alignment horizontal="center" vertical="center" wrapText="1"/>
    </xf>
    <xf numFmtId="0" fontId="256" fillId="7" borderId="60"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99" fillId="0" borderId="1" xfId="10" applyBorder="1" applyAlignment="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21</xdr:col>
      <xdr:colOff>122695</xdr:colOff>
      <xdr:row>14</xdr:row>
      <xdr:rowOff>171064</xdr:rowOff>
    </xdr:to>
    <xdr:pic>
      <xdr:nvPicPr>
        <xdr:cNvPr id="2" name="图片 1">
          <a:extLst>
            <a:ext uri="{FF2B5EF4-FFF2-40B4-BE49-F238E27FC236}">
              <a16:creationId xmlns:a16="http://schemas.microsoft.com/office/drawing/2014/main" xmlns="" id="{0F3929FC-4427-462D-91EF-B596BD755AC2}"/>
            </a:ext>
          </a:extLst>
        </xdr:cNvPr>
        <xdr:cNvPicPr>
          <a:picLocks noChangeAspect="1"/>
        </xdr:cNvPicPr>
      </xdr:nvPicPr>
      <xdr:blipFill>
        <a:blip xmlns:r="http://schemas.openxmlformats.org/officeDocument/2006/relationships" r:embed="rId1" cstate="print"/>
        <a:stretch>
          <a:fillRect/>
        </a:stretch>
      </xdr:blipFill>
      <xdr:spPr>
        <a:xfrm>
          <a:off x="6591300" y="0"/>
          <a:ext cx="9038095" cy="3085714"/>
        </a:xfrm>
        <a:prstGeom prst="rect">
          <a:avLst/>
        </a:prstGeom>
      </xdr:spPr>
    </xdr:pic>
    <xdr:clientData/>
  </xdr:twoCellAnchor>
  <xdr:twoCellAnchor editAs="oneCell">
    <xdr:from>
      <xdr:col>8</xdr:col>
      <xdr:colOff>0</xdr:colOff>
      <xdr:row>16</xdr:row>
      <xdr:rowOff>0</xdr:rowOff>
    </xdr:from>
    <xdr:to>
      <xdr:col>21</xdr:col>
      <xdr:colOff>636981</xdr:colOff>
      <xdr:row>34</xdr:row>
      <xdr:rowOff>94852</xdr:rowOff>
    </xdr:to>
    <xdr:pic>
      <xdr:nvPicPr>
        <xdr:cNvPr id="3" name="图片 2">
          <a:extLst>
            <a:ext uri="{FF2B5EF4-FFF2-40B4-BE49-F238E27FC236}">
              <a16:creationId xmlns:a16="http://schemas.microsoft.com/office/drawing/2014/main" xmlns="" id="{2FA36D62-5BF5-4B99-A27A-B08C8A7FCDC8}"/>
            </a:ext>
          </a:extLst>
        </xdr:cNvPr>
        <xdr:cNvPicPr>
          <a:picLocks noChangeAspect="1"/>
        </xdr:cNvPicPr>
      </xdr:nvPicPr>
      <xdr:blipFill>
        <a:blip xmlns:r="http://schemas.openxmlformats.org/officeDocument/2006/relationships" r:embed="rId2" cstate="print"/>
        <a:stretch>
          <a:fillRect/>
        </a:stretch>
      </xdr:blipFill>
      <xdr:spPr>
        <a:xfrm>
          <a:off x="6591300" y="3257550"/>
          <a:ext cx="9552381" cy="3180952"/>
        </a:xfrm>
        <a:prstGeom prst="rect">
          <a:avLst/>
        </a:prstGeom>
      </xdr:spPr>
    </xdr:pic>
    <xdr:clientData/>
  </xdr:twoCellAnchor>
  <xdr:twoCellAnchor editAs="oneCell">
    <xdr:from>
      <xdr:col>8</xdr:col>
      <xdr:colOff>9525</xdr:colOff>
      <xdr:row>34</xdr:row>
      <xdr:rowOff>104775</xdr:rowOff>
    </xdr:from>
    <xdr:to>
      <xdr:col>22</xdr:col>
      <xdr:colOff>332134</xdr:colOff>
      <xdr:row>44</xdr:row>
      <xdr:rowOff>9323</xdr:rowOff>
    </xdr:to>
    <xdr:pic>
      <xdr:nvPicPr>
        <xdr:cNvPr id="4" name="图片 3">
          <a:extLst>
            <a:ext uri="{FF2B5EF4-FFF2-40B4-BE49-F238E27FC236}">
              <a16:creationId xmlns:a16="http://schemas.microsoft.com/office/drawing/2014/main" xmlns="" id="{4500DE74-5C50-4F81-93F3-ABC0DACAE1CB}"/>
            </a:ext>
          </a:extLst>
        </xdr:cNvPr>
        <xdr:cNvPicPr>
          <a:picLocks noChangeAspect="1"/>
        </xdr:cNvPicPr>
      </xdr:nvPicPr>
      <xdr:blipFill>
        <a:blip xmlns:r="http://schemas.openxmlformats.org/officeDocument/2006/relationships" r:embed="rId3" cstate="print"/>
        <a:stretch>
          <a:fillRect/>
        </a:stretch>
      </xdr:blipFill>
      <xdr:spPr>
        <a:xfrm>
          <a:off x="6600825" y="6448425"/>
          <a:ext cx="9923809"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00;&#21147;&#24191;&#22330;-&#24120;&#30021;20200213-13275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面积"/>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X7" t="str">
            <v>砖木（三等）</v>
          </cell>
        </row>
        <row r="8">
          <cell r="B8" t="str">
            <v>*</v>
          </cell>
          <cell r="C8" t="str">
            <v>七级</v>
          </cell>
          <cell r="X8" t="str">
            <v>简易</v>
          </cell>
        </row>
        <row r="9">
          <cell r="B9" t="str">
            <v>*</v>
          </cell>
          <cell r="C9" t="str">
            <v>八级</v>
          </cell>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sheetData sheetId="3"/>
      <sheetData sheetId="4"/>
      <sheetData sheetId="5"/>
      <sheetData sheetId="6">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0"/>
      <sheetData sheetId="11"/>
      <sheetData sheetId="12"/>
      <sheetData sheetId="13"/>
      <sheetData sheetId="14"/>
      <sheetData sheetId="15"/>
      <sheetData sheetId="16">
        <row r="61">
          <cell r="A61" t="str">
            <v>交易情况</v>
          </cell>
          <cell r="C61" t="str">
            <v>正常</v>
          </cell>
        </row>
        <row r="63">
          <cell r="B63" t="str">
            <v>用途</v>
          </cell>
          <cell r="C63" t="str">
            <v>商业</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17"/>
      <sheetData sheetId="18">
        <row r="4">
          <cell r="A4" t="str">
            <v>本行不参与计算</v>
          </cell>
        </row>
        <row r="6">
          <cell r="A6" t="str">
            <v>2020-1</v>
          </cell>
        </row>
        <row r="7">
          <cell r="A7" t="str">
            <v>2019-4</v>
          </cell>
        </row>
        <row r="8">
          <cell r="A8" t="str">
            <v>2019-3</v>
          </cell>
        </row>
        <row r="9">
          <cell r="A9" t="str">
            <v>2019-2</v>
          </cell>
        </row>
        <row r="10">
          <cell r="A10" t="str">
            <v>2019-1</v>
          </cell>
        </row>
        <row r="11">
          <cell r="A11" t="str">
            <v>2018-4</v>
          </cell>
        </row>
        <row r="12">
          <cell r="A12" t="str">
            <v>2018-3</v>
          </cell>
        </row>
        <row r="13">
          <cell r="A13" t="str">
            <v>2018-2</v>
          </cell>
        </row>
        <row r="14">
          <cell r="A14" t="str">
            <v>2018-1</v>
          </cell>
        </row>
        <row r="15">
          <cell r="A15" t="str">
            <v>2017-4</v>
          </cell>
        </row>
        <row r="16">
          <cell r="A16" t="str">
            <v>2017-3</v>
          </cell>
        </row>
        <row r="17">
          <cell r="A17" t="str">
            <v>2017-2</v>
          </cell>
        </row>
        <row r="18">
          <cell r="A18" t="str">
            <v>2017-1</v>
          </cell>
        </row>
        <row r="19">
          <cell r="A19" t="str">
            <v>2016-4</v>
          </cell>
        </row>
        <row r="20">
          <cell r="A20" t="str">
            <v>2016-3</v>
          </cell>
        </row>
        <row r="21">
          <cell r="A21" t="str">
            <v>2016-2</v>
          </cell>
        </row>
        <row r="22">
          <cell r="A22" t="str">
            <v>2016-1</v>
          </cell>
        </row>
        <row r="23">
          <cell r="A23" t="str">
            <v>2015-4</v>
          </cell>
        </row>
        <row r="24">
          <cell r="A24" t="str">
            <v>2015-3</v>
          </cell>
        </row>
        <row r="25">
          <cell r="A25" t="str">
            <v>2015-2</v>
          </cell>
        </row>
        <row r="26">
          <cell r="A26" t="str">
            <v>2015-1</v>
          </cell>
        </row>
        <row r="27">
          <cell r="A27" t="str">
            <v>2014-4</v>
          </cell>
        </row>
        <row r="28">
          <cell r="A28" t="str">
            <v>2014-3</v>
          </cell>
        </row>
        <row r="29">
          <cell r="A29" t="str">
            <v>2014-2</v>
          </cell>
        </row>
        <row r="30">
          <cell r="A30" t="str">
            <v>2014-1</v>
          </cell>
        </row>
      </sheetData>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D13" sqref="D1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估价对象为北京市房地产，为所有。根据《国有土地使用证》[]，估价对象（分摊）出让国有建设用地使用权面积为22104.58平方米，建筑面积为100326.75平方米。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估价对象为北京市房地产,属开发建设的，该项目尚在开发建设中。根据《国有土地使用证》[]，估价对象（分摊）出让国有建设用地使用权面积为22104.58平方米，规划建筑面积为100326.75平方米。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2020年3月9日</v>
      </c>
    </row>
    <row r="13" spans="1:2" s="1593" customFormat="1">
      <c r="A13" s="1591" t="s">
        <v>1222</v>
      </c>
      <c r="B13" s="1592" t="str">
        <f>'预评函-1'!A18</f>
        <v>本次估价的“房地产价值”是指在正常市场情况下，在价值时点2020年3月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402485</v>
      </c>
    </row>
    <row r="21" spans="1:2" s="1593" customFormat="1">
      <c r="A21" s="1591" t="s">
        <v>1230</v>
      </c>
      <c r="B21" s="1592">
        <f ca="1">'预评函-2'!D7</f>
        <v>40117</v>
      </c>
    </row>
    <row r="22" spans="1:2" s="1593" customFormat="1">
      <c r="A22" s="1591" t="s">
        <v>1231</v>
      </c>
      <c r="B22" s="1592" t="str">
        <f ca="1">'预评函-2'!D6</f>
        <v>肆拾亿贰仟肆佰捌拾伍万元整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402485</v>
      </c>
    </row>
    <row r="31" spans="1:2" s="1593" customFormat="1">
      <c r="A31" s="1591" t="s">
        <v>1269</v>
      </c>
      <c r="B31" s="1592">
        <f ca="1">'预评函-2'!D15</f>
        <v>40117</v>
      </c>
    </row>
    <row r="32" spans="1:2" s="1593" customFormat="1">
      <c r="A32" s="1591" t="s">
        <v>1236</v>
      </c>
      <c r="B32" s="1592" t="str">
        <f ca="1">'预评函-2'!D14</f>
        <v>肆拾亿贰仟肆佰捌拾伍万元整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100326.75000000001</v>
      </c>
    </row>
    <row r="44" spans="1:2" s="1593" customFormat="1">
      <c r="A44" s="1591" t="s">
        <v>1268</v>
      </c>
      <c r="B44" s="1592" t="str">
        <f>'预评函-3'!C2</f>
        <v>(分摊)土地面积</v>
      </c>
    </row>
    <row r="45" spans="1:2" s="1593" customFormat="1">
      <c r="A45" s="1591" t="s">
        <v>1240</v>
      </c>
      <c r="B45" s="1592">
        <f>'预评函-3'!C4</f>
        <v>22104.58</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1" t="s">
        <v>860</v>
      </c>
      <c r="C54" s="2018" t="s">
        <v>1276</v>
      </c>
    </row>
    <row r="55" spans="1:4">
      <c r="A55" s="3002"/>
      <c r="B55" s="2021" t="s">
        <v>861</v>
      </c>
      <c r="C55" s="2018" t="s">
        <v>1277</v>
      </c>
    </row>
    <row r="56" spans="1:4">
      <c r="A56" s="3002"/>
      <c r="B56" s="2021" t="s">
        <v>862</v>
      </c>
      <c r="C56" s="2018" t="s">
        <v>1281</v>
      </c>
    </row>
    <row r="57" spans="1:4">
      <c r="A57" s="300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B38" sqref="B3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1770</v>
      </c>
      <c r="B1" s="3003" t="str">
        <f>IF(B10="北京市","北京市",C10)&amp;F10&amp;IF(结果表!G1="在建","出让国有建设用地使用权及在建建筑物",IF(结果表!G1="土地","出让国有建设用地使用权",))&amp;B9&amp;"预评估"</f>
        <v>北京市房地产市场价值预评估</v>
      </c>
      <c r="C1" s="3004"/>
      <c r="D1" s="3004"/>
      <c r="E1" s="3004"/>
      <c r="F1" s="3004"/>
      <c r="G1" s="3004"/>
      <c r="H1" s="3004"/>
      <c r="I1" s="300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43899</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3060</v>
      </c>
      <c r="C8" s="2055"/>
      <c r="D8" s="3006" t="s">
        <v>1779</v>
      </c>
      <c r="E8" s="2056"/>
      <c r="F8" s="2057"/>
      <c r="G8" s="2025"/>
      <c r="H8" s="2025"/>
      <c r="I8" s="2025"/>
      <c r="J8" s="2041"/>
      <c r="K8" s="2042"/>
      <c r="L8" s="2027"/>
      <c r="M8" s="2027"/>
      <c r="N8" s="2028"/>
      <c r="O8" s="2029"/>
      <c r="P8" s="2028"/>
      <c r="Q8" s="2028"/>
      <c r="R8" s="2028"/>
    </row>
    <row r="9" spans="1:19" ht="18" customHeight="1" thickBot="1">
      <c r="A9" s="2039" t="s">
        <v>1780</v>
      </c>
      <c r="B9" s="2058" t="s">
        <v>3061</v>
      </c>
      <c r="C9" s="2059"/>
      <c r="D9" s="3007"/>
      <c r="E9" s="2058"/>
      <c r="F9" s="2060"/>
      <c r="G9" s="2061"/>
      <c r="H9" s="2061"/>
      <c r="I9" s="2061"/>
      <c r="J9" s="2041"/>
      <c r="K9" s="2053"/>
      <c r="L9" s="2027"/>
      <c r="M9" s="2027"/>
      <c r="N9" s="2028"/>
      <c r="O9" s="2029"/>
      <c r="P9" s="2028"/>
      <c r="Q9" s="2028"/>
      <c r="R9" s="2028"/>
    </row>
    <row r="10" spans="1:19" ht="18" customHeight="1" thickTop="1">
      <c r="A10" s="2062" t="s">
        <v>1781</v>
      </c>
      <c r="B10" s="2063" t="s">
        <v>3058</v>
      </c>
      <c r="C10" s="2958" t="s">
        <v>3127</v>
      </c>
      <c r="D10" s="2046"/>
      <c r="E10" s="2064" t="s">
        <v>1782</v>
      </c>
      <c r="F10" s="2065"/>
      <c r="G10" s="2066"/>
      <c r="H10" s="2067"/>
      <c r="I10" s="2046"/>
      <c r="J10" s="2041"/>
      <c r="K10" s="2053"/>
      <c r="L10" s="2027"/>
      <c r="M10" s="2027"/>
      <c r="N10" s="2028"/>
      <c r="O10" s="2029"/>
      <c r="P10" s="2028"/>
      <c r="Q10" s="2028"/>
      <c r="R10" s="2028"/>
    </row>
    <row r="11" spans="1:19" ht="18" customHeight="1">
      <c r="A11" s="2068" t="s">
        <v>1783</v>
      </c>
      <c r="B11" s="2069" t="s">
        <v>3059</v>
      </c>
      <c r="C11" s="2070"/>
      <c r="D11" s="2071"/>
      <c r="E11" s="2041"/>
      <c r="F11" s="2041"/>
      <c r="G11" s="2041"/>
      <c r="H11" s="2041"/>
      <c r="I11" s="2041"/>
      <c r="J11" s="2041"/>
      <c r="K11" s="2053"/>
      <c r="L11" s="2027"/>
      <c r="M11" s="2027"/>
      <c r="N11" s="2028"/>
      <c r="O11" s="2029"/>
      <c r="P11" s="2028"/>
      <c r="Q11" s="2028"/>
      <c r="R11" s="2028"/>
    </row>
    <row r="12" spans="1:19" ht="18" customHeight="1">
      <c r="A12" s="2072" t="s">
        <v>1784</v>
      </c>
      <c r="B12" s="2069" t="s">
        <v>3057</v>
      </c>
      <c r="C12" s="2073" t="s">
        <v>1785</v>
      </c>
      <c r="D12" s="2074" t="s">
        <v>1786</v>
      </c>
      <c r="E12" s="2074" t="s">
        <v>1787</v>
      </c>
      <c r="F12" s="2074" t="s">
        <v>1788</v>
      </c>
      <c r="G12" s="2074" t="s">
        <v>1789</v>
      </c>
      <c r="H12" s="2074" t="s">
        <v>1790</v>
      </c>
      <c r="I12" s="2074" t="s">
        <v>1791</v>
      </c>
      <c r="J12" s="2041"/>
      <c r="K12" s="2053"/>
      <c r="L12" s="2027"/>
      <c r="M12" s="2027"/>
      <c r="N12" s="2028"/>
      <c r="O12" s="2029"/>
      <c r="P12" s="2028"/>
      <c r="Q12" s="2028"/>
      <c r="R12" s="2028"/>
    </row>
    <row r="13" spans="1:19" ht="18" customHeight="1">
      <c r="A13" s="2075"/>
      <c r="B13" s="2076"/>
      <c r="C13" s="2077" t="s">
        <v>1792</v>
      </c>
      <c r="D13" s="2078"/>
      <c r="E13" s="2078">
        <v>51980</v>
      </c>
      <c r="F13" s="2078"/>
      <c r="G13" s="2078"/>
      <c r="H13" s="2078"/>
      <c r="I13" s="1047"/>
      <c r="J13" s="2041"/>
      <c r="K13" s="2053"/>
      <c r="L13" s="2027"/>
      <c r="M13" s="2027"/>
      <c r="N13" s="2028"/>
      <c r="O13" s="2029"/>
      <c r="P13" s="2028"/>
      <c r="Q13" s="2028"/>
      <c r="R13" s="2028"/>
    </row>
    <row r="14" spans="1:19" ht="18" customHeight="1">
      <c r="A14" s="2075"/>
      <c r="B14" s="2076"/>
      <c r="C14" s="2077" t="s">
        <v>1793</v>
      </c>
      <c r="D14" s="1050"/>
      <c r="E14" s="1050">
        <v>40</v>
      </c>
      <c r="F14" s="1050" t="s">
        <v>3064</v>
      </c>
      <c r="G14" s="1050"/>
      <c r="H14" s="1050"/>
      <c r="I14" s="1050"/>
      <c r="J14" s="2041"/>
      <c r="K14" s="2079"/>
      <c r="L14" s="2027"/>
      <c r="M14" s="2027"/>
      <c r="N14" s="2028"/>
      <c r="O14" s="2029"/>
      <c r="P14" s="2028"/>
      <c r="Q14" s="2028"/>
      <c r="R14" s="2028"/>
    </row>
    <row r="15" spans="1:19" ht="18" customHeight="1">
      <c r="A15" s="2062"/>
      <c r="B15" s="2080"/>
      <c r="C15" s="2077" t="s">
        <v>1794</v>
      </c>
      <c r="D15" s="1049" t="str">
        <f>IF(B12="出让",IF(D13="","",ROUNDDOWN(MIN((D13-$D$3)/365,D14),2)),D14)</f>
        <v/>
      </c>
      <c r="E15" s="1049">
        <f>IF(B12="出让",IF(E13="","",ROUNDDOWN(MIN((E13-$D$3)/365,E14),2)),E14)</f>
        <v>22.13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1795</v>
      </c>
      <c r="B16" s="3013"/>
      <c r="C16" s="3014"/>
      <c r="D16" s="3015"/>
      <c r="E16" s="2084" t="s">
        <v>1796</v>
      </c>
      <c r="F16" s="3016"/>
      <c r="G16" s="3017"/>
      <c r="H16" s="3017"/>
      <c r="I16" s="3018"/>
      <c r="J16" s="2028"/>
      <c r="K16" s="2081"/>
      <c r="L16" s="2082"/>
      <c r="M16" s="2082"/>
      <c r="N16" s="2083"/>
      <c r="O16" s="2082"/>
      <c r="P16" s="2083"/>
      <c r="Q16" s="2028"/>
      <c r="R16" s="2028"/>
    </row>
    <row r="17" spans="1:22" ht="18" customHeight="1">
      <c r="A17" s="2085" t="s">
        <v>1797</v>
      </c>
      <c r="B17" s="2034" t="s">
        <v>1798</v>
      </c>
      <c r="C17" s="1054">
        <f>'数据-汇总表'!E3</f>
        <v>100326.75000000001</v>
      </c>
      <c r="D17" s="2086" t="s">
        <v>1799</v>
      </c>
      <c r="E17" s="3019" t="s">
        <v>1800</v>
      </c>
      <c r="F17" s="3020"/>
      <c r="G17" s="3020"/>
      <c r="H17" s="3020"/>
      <c r="I17" s="3021"/>
      <c r="J17" s="2028"/>
      <c r="K17" s="2087"/>
      <c r="L17" s="2082"/>
      <c r="M17" s="2082"/>
      <c r="N17" s="2083"/>
      <c r="O17" s="2082"/>
      <c r="P17" s="2083"/>
      <c r="Q17" s="2028"/>
      <c r="R17" s="2028"/>
      <c r="S17" s="2028"/>
      <c r="T17" s="2028"/>
      <c r="U17" s="2028"/>
      <c r="V17" s="2028"/>
    </row>
    <row r="18" spans="1:22" ht="36" customHeight="1" thickBot="1">
      <c r="A18" s="2088" t="s">
        <v>1801</v>
      </c>
      <c r="B18" s="2037" t="s">
        <v>1802</v>
      </c>
      <c r="C18" s="1444">
        <f>'数据-汇总表'!D3</f>
        <v>22104.58</v>
      </c>
      <c r="D18" s="2089" t="s">
        <v>1799</v>
      </c>
      <c r="E18" s="3022" t="s">
        <v>1803</v>
      </c>
      <c r="F18" s="3023"/>
      <c r="G18" s="3023"/>
      <c r="H18" s="3023"/>
      <c r="I18" s="3024"/>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009" t="s">
        <v>1808</v>
      </c>
      <c r="C20" s="3010"/>
      <c r="D20" s="3011" t="s">
        <v>1809</v>
      </c>
      <c r="E20" s="3012"/>
      <c r="F20" s="2096" t="s">
        <v>1810</v>
      </c>
      <c r="G20" s="2041"/>
      <c r="H20" s="2041"/>
      <c r="I20" s="2041"/>
      <c r="J20" s="2041"/>
      <c r="K20" s="300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26"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26"/>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26"/>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27"/>
      <c r="B30" s="2034" t="s">
        <v>1827</v>
      </c>
      <c r="C30" s="3028"/>
      <c r="D30" s="3029"/>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30"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31"/>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31"/>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5">
        <f>COUNTIF(B34:H34,"——")</f>
        <v>0</v>
      </c>
      <c r="L34" s="2073" t="s">
        <v>1830</v>
      </c>
      <c r="M34" s="2073" t="s">
        <v>1831</v>
      </c>
      <c r="N34" s="2073" t="s">
        <v>1832</v>
      </c>
      <c r="O34" s="2073" t="s">
        <v>1833</v>
      </c>
      <c r="P34" s="2073" t="s">
        <v>1834</v>
      </c>
      <c r="Q34" s="2073" t="s">
        <v>1835</v>
      </c>
      <c r="R34" s="2073" t="s">
        <v>1836</v>
      </c>
      <c r="S34" s="3025" t="s">
        <v>1837</v>
      </c>
      <c r="T34" s="2133" t="str">
        <f>NUMBERSTRING(7-K34,1)&amp;"通"</f>
        <v>七通</v>
      </c>
      <c r="U34" s="2028"/>
      <c r="V34" s="2028"/>
    </row>
    <row r="35" spans="1:22" ht="18" customHeight="1">
      <c r="A35" s="2134"/>
      <c r="B35" s="3032" t="s">
        <v>1838</v>
      </c>
      <c r="C35" s="3032"/>
      <c r="D35" s="3032"/>
      <c r="E35" s="3032"/>
      <c r="F35" s="2135" t="str">
        <f>C10</f>
        <v>朝阳区东三环中路65号</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t="s">
        <v>269</v>
      </c>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t="s">
        <v>281</v>
      </c>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5" t="s">
        <v>1848</v>
      </c>
      <c r="C42" s="1795" t="s">
        <v>1849</v>
      </c>
      <c r="D42" s="1795" t="s">
        <v>1850</v>
      </c>
      <c r="E42" s="1795" t="s">
        <v>1851</v>
      </c>
      <c r="F42" s="1795" t="s">
        <v>1852</v>
      </c>
      <c r="G42" s="1795" t="s">
        <v>1853</v>
      </c>
      <c r="H42" s="1795" t="s">
        <v>1854</v>
      </c>
      <c r="I42" s="1795" t="s">
        <v>1855</v>
      </c>
      <c r="J42" s="2151" t="s">
        <v>1856</v>
      </c>
      <c r="K42" s="2074" t="s">
        <v>1857</v>
      </c>
      <c r="L42" s="2074" t="s">
        <v>1858</v>
      </c>
      <c r="M42" s="2074" t="s">
        <v>1859</v>
      </c>
      <c r="N42" s="1795" t="s">
        <v>1860</v>
      </c>
      <c r="O42" s="1795" t="s">
        <v>1861</v>
      </c>
      <c r="P42" s="1795"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22104.58</v>
      </c>
      <c r="B3" s="14">
        <f>IF(C3="否",G5-AT5,G5)</f>
        <v>100326.75000000001</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3"/>
      <c r="C5" s="1803"/>
      <c r="D5" s="1806"/>
      <c r="E5" s="16" t="s">
        <v>1</v>
      </c>
      <c r="F5" s="16">
        <f>SUM(F13:F587)</f>
        <v>0</v>
      </c>
      <c r="G5" s="16">
        <f>SUM(G13:G587)</f>
        <v>100326.75000000001</v>
      </c>
      <c r="H5" s="16">
        <f t="shared" ref="H5:AT5" si="0">SUM(H13:H656)</f>
        <v>100326.75000000001</v>
      </c>
      <c r="I5" s="16">
        <f t="shared" si="0"/>
        <v>100326.75000000001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100326.75000000001</v>
      </c>
      <c r="BA5" s="18">
        <f t="shared" si="1"/>
        <v>100326.75000000001</v>
      </c>
      <c r="BB5" s="18">
        <f t="shared" si="1"/>
        <v>100326.75000000001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22104.58</v>
      </c>
      <c r="F6" s="16" t="s">
        <v>1</v>
      </c>
      <c r="G6" s="16" t="s">
        <v>2</v>
      </c>
      <c r="H6" s="20">
        <f>SUMIF(I$12:AB$12,"总值",I6:AB6)</f>
        <v>22104.58</v>
      </c>
      <c r="I6" s="16">
        <f t="shared" ref="I6:AB6" si="2">ROUND($A$3*I5/$B$3,2)</f>
        <v>22104.58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22104.58</v>
      </c>
      <c r="AZ6" s="16" t="s">
        <v>3</v>
      </c>
      <c r="BA6" s="16">
        <f>ROUND($AY$6*BA5/$AZ$5,2)</f>
        <v>22104.58</v>
      </c>
      <c r="BB6" s="16">
        <f>ROUND($AY$6*BB5/$AZ$5,2)</f>
        <v>22104.58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1883</v>
      </c>
      <c r="AV7" s="23" t="s">
        <v>1884</v>
      </c>
      <c r="AW7" s="2165" t="s">
        <v>1885</v>
      </c>
      <c r="AX7" s="23" t="s">
        <v>1878</v>
      </c>
      <c r="AY7" s="1803"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8"/>
      <c r="K8" s="1818"/>
      <c r="L8" s="1818"/>
      <c r="M8" s="1818"/>
      <c r="N8" s="1818"/>
      <c r="O8" s="1818"/>
      <c r="P8" s="1818"/>
      <c r="Q8" s="1818"/>
      <c r="R8" s="1818"/>
      <c r="S8" s="1818"/>
      <c r="T8" s="1818"/>
      <c r="U8" s="1818"/>
      <c r="V8" s="2185"/>
      <c r="W8" s="1818"/>
      <c r="X8" s="1818"/>
      <c r="Y8" s="1818"/>
      <c r="Z8" s="1818"/>
      <c r="AA8" s="2185"/>
      <c r="AB8" s="2186"/>
      <c r="AC8" s="981" t="s">
        <v>1889</v>
      </c>
      <c r="AD8" s="2187"/>
      <c r="AE8" s="2179"/>
      <c r="AF8" s="1818"/>
      <c r="AG8" s="1818"/>
      <c r="AH8" s="1818"/>
      <c r="AI8" s="1818"/>
      <c r="AJ8" s="1818"/>
      <c r="AK8" s="1818"/>
      <c r="AL8" s="1818"/>
      <c r="AM8" s="1818"/>
      <c r="AN8" s="1818"/>
      <c r="AO8" s="1818"/>
      <c r="AP8" s="1818"/>
      <c r="AQ8" s="1818"/>
      <c r="AR8" s="1818"/>
      <c r="AS8" s="1818"/>
      <c r="AT8" s="1292" t="s">
        <v>1890</v>
      </c>
      <c r="AU8" s="2181" t="s">
        <v>1891</v>
      </c>
      <c r="AV8" s="1292"/>
      <c r="AW8" s="2164"/>
      <c r="AX8" s="1292"/>
      <c r="AY8" s="2165"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1894</v>
      </c>
      <c r="I9" s="2190" t="s">
        <v>3063</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8"/>
      <c r="BN9" s="2184"/>
      <c r="BO9" s="1818"/>
      <c r="BP9" s="1818"/>
      <c r="BQ9" s="1818"/>
      <c r="BR9" s="1818"/>
      <c r="BS9" s="1818"/>
      <c r="BT9" s="26"/>
    </row>
    <row r="10" spans="1:72" s="2188" customFormat="1" ht="12.75">
      <c r="A10" s="2181"/>
      <c r="B10" s="2181"/>
      <c r="C10" s="2181"/>
      <c r="D10" s="2181"/>
      <c r="E10" s="2181"/>
      <c r="F10" s="2181"/>
      <c r="G10" s="1292"/>
      <c r="H10" s="28"/>
      <c r="I10" s="2190" t="s">
        <v>1372</v>
      </c>
      <c r="J10" s="981"/>
      <c r="K10" s="2196"/>
      <c r="L10" s="981"/>
      <c r="M10" s="2196"/>
      <c r="N10" s="981"/>
      <c r="O10" s="2196"/>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70</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9"/>
      <c r="AF11" s="2203" t="s">
        <v>1904</v>
      </c>
      <c r="AG11" s="1819"/>
      <c r="AH11" s="2203" t="s">
        <v>1905</v>
      </c>
      <c r="AI11" s="2204"/>
      <c r="AJ11" s="2203" t="s">
        <v>1905</v>
      </c>
      <c r="AK11" s="1819"/>
      <c r="AL11" s="1817"/>
      <c r="AM11" s="1819"/>
      <c r="AN11" s="1817"/>
      <c r="AO11" s="1819"/>
      <c r="AP11" s="1817"/>
      <c r="AQ11" s="1819"/>
      <c r="AR11" s="1817"/>
      <c r="AS11" s="1819"/>
      <c r="AT11" s="2164"/>
      <c r="AU11" s="2181"/>
      <c r="AV11" s="1292"/>
      <c r="AW11" s="2164"/>
      <c r="AX11" s="1292"/>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8"/>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3062</v>
      </c>
      <c r="E13" s="16">
        <f>IF($C$3="是",ROUND($A$3*G13/$B$3,2),ROUND($A$3*(G13-AT13)/$B$3,2))</f>
        <v>22104.58</v>
      </c>
      <c r="F13" s="32"/>
      <c r="G13" s="33">
        <f>H13+AC13+AT13</f>
        <v>100326.75000000001</v>
      </c>
      <c r="H13" s="20">
        <f>SUMIF(I$12:AB$12,"总值",I13:AB13)</f>
        <v>100326.75000000001</v>
      </c>
      <c r="I13" s="2213">
        <f>面积!C35</f>
        <v>100326.75000000001</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6">
        <f>ROUND($AY$6*AZ13/$AZ$5,2)</f>
        <v>22104.58</v>
      </c>
      <c r="AZ13" s="16">
        <f>BA13+BL13</f>
        <v>100326.75000000001</v>
      </c>
      <c r="BA13" s="16">
        <f>SUM(BB13:BK13)</f>
        <v>100326.75000000001</v>
      </c>
      <c r="BB13" s="16">
        <f>IF($D13="是",I13-J13,0)</f>
        <v>100326.75000000001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044" t="s">
        <v>1934</v>
      </c>
      <c r="B2" s="3044"/>
      <c r="C2" s="3044"/>
      <c r="D2" s="967" t="s">
        <v>1910</v>
      </c>
      <c r="E2" s="2226" t="s">
        <v>1911</v>
      </c>
      <c r="F2" s="1392"/>
      <c r="G2" s="2227"/>
      <c r="H2" s="2228"/>
      <c r="I2" s="2229" t="s">
        <v>1935</v>
      </c>
      <c r="J2" s="1392"/>
      <c r="K2" s="1392"/>
      <c r="L2" s="1392"/>
      <c r="M2" s="1392"/>
      <c r="N2" s="1427"/>
      <c r="O2" s="1392"/>
      <c r="P2" s="1392"/>
    </row>
    <row r="3" spans="1:16" ht="15.75" thickBot="1">
      <c r="A3" s="3045" t="s">
        <v>1908</v>
      </c>
      <c r="B3" s="3045"/>
      <c r="C3" s="3045"/>
      <c r="D3" s="46">
        <f>'数据-基础表'!AY6</f>
        <v>22104.58</v>
      </c>
      <c r="E3" s="46">
        <f>'数据-基础表'!AZ5</f>
        <v>100326.75000000001</v>
      </c>
      <c r="F3" s="1392"/>
      <c r="G3" s="1399"/>
      <c r="H3" s="1247" t="s">
        <v>1909</v>
      </c>
      <c r="I3" s="55">
        <f>ROUND('数据-基础表'!B3/'数据-基础表'!A3,2)</f>
        <v>4.54</v>
      </c>
      <c r="J3" s="1392"/>
      <c r="K3" s="1392"/>
      <c r="L3" s="1392"/>
      <c r="M3" s="1392"/>
      <c r="N3" s="1427"/>
      <c r="O3" s="1392"/>
      <c r="P3" s="1392"/>
    </row>
    <row r="4" spans="1:16" ht="15">
      <c r="A4" s="3046"/>
      <c r="B4" s="3047"/>
      <c r="C4" s="3048"/>
      <c r="D4" s="2230" t="s">
        <v>1910</v>
      </c>
      <c r="E4" s="2231" t="s">
        <v>1911</v>
      </c>
      <c r="F4" s="1392"/>
      <c r="G4" s="2232" t="s">
        <v>1936</v>
      </c>
      <c r="H4" s="1247" t="s">
        <v>1916</v>
      </c>
      <c r="I4" s="55">
        <f>ROUND(SUMIF('数据-基础表'!I9:AS9,"地上",'数据-基础表'!I5:AS5)/'数据-基础表'!A3,2)</f>
        <v>4.54</v>
      </c>
      <c r="J4" s="1392"/>
      <c r="K4" s="1392"/>
      <c r="L4" s="1392"/>
      <c r="M4" s="1392"/>
      <c r="N4" s="1427"/>
      <c r="O4" s="1392"/>
      <c r="P4" s="1392"/>
    </row>
    <row r="5" spans="1:16">
      <c r="A5" s="47" t="s">
        <v>1912</v>
      </c>
      <c r="B5" s="3049" t="s">
        <v>1913</v>
      </c>
      <c r="C5" s="3049"/>
      <c r="D5" s="48">
        <f>ROUND($D$3*E5/$E$3,2)</f>
        <v>0</v>
      </c>
      <c r="E5" s="49">
        <f>SUMIF('数据-基础表'!$11:$11,"住宅",'数据-基础表'!$5:$5)</f>
        <v>0</v>
      </c>
      <c r="F5" s="1392"/>
      <c r="G5" s="1399"/>
      <c r="H5" s="1247" t="s">
        <v>1909</v>
      </c>
      <c r="I5" s="55">
        <f>ROUND(E31/D31,2)</f>
        <v>4.54</v>
      </c>
      <c r="J5" s="1392"/>
      <c r="K5" s="1392"/>
      <c r="L5" s="1392"/>
      <c r="M5" s="1392"/>
      <c r="N5" s="1392"/>
      <c r="O5" s="1392"/>
      <c r="P5" s="1392"/>
    </row>
    <row r="6" spans="1:16" ht="15" thickBot="1">
      <c r="A6" s="2233"/>
      <c r="B6" s="3049" t="s">
        <v>1914</v>
      </c>
      <c r="C6" s="3049"/>
      <c r="D6" s="48">
        <f>ROUND($D$3*E6/$E$3,2)</f>
        <v>22104.58</v>
      </c>
      <c r="E6" s="49">
        <f>E3-E5</f>
        <v>100326.75000000001</v>
      </c>
      <c r="F6" s="1392"/>
      <c r="G6" s="2234" t="s">
        <v>1915</v>
      </c>
      <c r="H6" s="1399" t="s">
        <v>1916</v>
      </c>
      <c r="I6" s="939">
        <f>ROUND(F31/D31,2)</f>
        <v>4.54</v>
      </c>
      <c r="J6" s="1392"/>
      <c r="K6" s="1392"/>
      <c r="L6" s="1392"/>
      <c r="M6" s="1392"/>
      <c r="N6" s="1392"/>
      <c r="O6" s="1392"/>
      <c r="P6" s="1392"/>
    </row>
    <row r="7" spans="1:16" ht="15">
      <c r="A7" s="3041"/>
      <c r="B7" s="3042"/>
      <c r="C7" s="3043"/>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22104.58</v>
      </c>
      <c r="E8" s="51">
        <f>SUMIF('数据-基础表'!BB10:BK10,"地上",'数据-基础表'!BB5:BK5)</f>
        <v>100326.75000000001</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22104.58</v>
      </c>
      <c r="E16" s="53">
        <f>SUM(E8:E15)</f>
        <v>100326.75000000001</v>
      </c>
      <c r="F16" s="1392"/>
      <c r="G16" s="2236"/>
      <c r="H16" s="2239" t="s">
        <v>1938</v>
      </c>
      <c r="I16" s="2240"/>
      <c r="J16" s="1392"/>
      <c r="K16" s="3038" t="s">
        <v>1938</v>
      </c>
      <c r="L16" s="3039"/>
      <c r="M16" s="3039"/>
      <c r="N16" s="3039"/>
      <c r="O16" s="3039"/>
      <c r="P16" s="3040"/>
    </row>
    <row r="17" spans="1:19" ht="15">
      <c r="A17" s="2241" t="s">
        <v>1939</v>
      </c>
      <c r="B17" s="2242" t="s">
        <v>1940</v>
      </c>
      <c r="C17" s="2243" t="s">
        <v>1941</v>
      </c>
      <c r="D17" s="2244" t="s">
        <v>1929</v>
      </c>
      <c r="E17" s="2245" t="s">
        <v>1930</v>
      </c>
      <c r="F17" s="2246"/>
      <c r="G17" s="2247"/>
      <c r="H17" s="2248" t="s">
        <v>1942</v>
      </c>
      <c r="I17" s="2249" t="s">
        <v>1927</v>
      </c>
      <c r="J17" s="1392"/>
      <c r="K17" s="3035" t="s">
        <v>1943</v>
      </c>
      <c r="L17" s="3036"/>
      <c r="M17" s="3037"/>
      <c r="N17" s="3035" t="s">
        <v>1944</v>
      </c>
      <c r="O17" s="3036"/>
      <c r="P17" s="3037"/>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54" t="s">
        <v>3070</v>
      </c>
      <c r="D19" s="48">
        <f>ROUND($D$3*E19/$E$3,2)</f>
        <v>22104.58</v>
      </c>
      <c r="E19" s="56">
        <f t="shared" ref="E19:E26" si="1">SUM(F19:G19)</f>
        <v>100326.75000000001</v>
      </c>
      <c r="F19" s="57">
        <f>'数据-基础表'!I13</f>
        <v>100326.75000000001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22104.58</v>
      </c>
      <c r="S19" s="1248">
        <f t="shared" si="5"/>
        <v>100326.75000000001</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1956</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22104.58</v>
      </c>
      <c r="E27" s="1394">
        <f>IF(SUM(E19:E26)='数据-基础表'!BA5,SUM(E19:E26),IF(F27="地上面积有误","面积有误","地下面积有误"))</f>
        <v>100326.75000000001</v>
      </c>
      <c r="F27" s="1393">
        <f>IF(SUM(F19:F26)=E8,SUM(F19:F26),"地上面积有误")</f>
        <v>100326.75000000001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22104.58</v>
      </c>
      <c r="S27" s="1247">
        <f>IF(SUM(S19:S26)=$E$3,SUM(S19:S26),SUM(S19:S26)&amp;"误差"&amp;ROUND(SUM(S19:S26)-E3,2))</f>
        <v>100326.75000000001</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22104.58</v>
      </c>
      <c r="E31" s="729">
        <f>E27+E30</f>
        <v>100326.75000000001</v>
      </c>
      <c r="F31" s="730">
        <f>F27+F30</f>
        <v>100326.75000000001</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1964</v>
      </c>
      <c r="B2" s="1266">
        <f>项目基本情况!D3</f>
        <v>43899</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3065</v>
      </c>
      <c r="O5" s="2295" t="s">
        <v>1984</v>
      </c>
      <c r="P5" s="2298" t="s">
        <v>1985</v>
      </c>
      <c r="Q5" s="69" t="s">
        <v>1986</v>
      </c>
      <c r="R5" s="2299" t="s">
        <v>1987</v>
      </c>
      <c r="S5" s="2300" t="s">
        <v>1988</v>
      </c>
      <c r="T5" s="2301" t="s">
        <v>1989</v>
      </c>
      <c r="U5" s="1267" t="s">
        <v>1990</v>
      </c>
      <c r="V5" s="1268" t="s">
        <v>1991</v>
      </c>
      <c r="W5" s="1268" t="s">
        <v>1992</v>
      </c>
      <c r="X5" s="71"/>
      <c r="Y5" s="70" t="s">
        <v>1993</v>
      </c>
      <c r="Z5" s="2302" t="s">
        <v>1990</v>
      </c>
      <c r="AA5" s="1268" t="s">
        <v>1991</v>
      </c>
      <c r="AB5" s="1268" t="s">
        <v>1992</v>
      </c>
      <c r="AC5" s="71"/>
      <c r="AD5" s="71" t="s">
        <v>1993</v>
      </c>
      <c r="AE5" s="1267" t="s">
        <v>1994</v>
      </c>
      <c r="AF5" s="1268" t="s">
        <v>1995</v>
      </c>
      <c r="AG5" s="70" t="s">
        <v>1996</v>
      </c>
      <c r="AH5" s="1267" t="s">
        <v>1997</v>
      </c>
      <c r="AI5" s="2302" t="s">
        <v>1998</v>
      </c>
      <c r="AJ5" s="2302" t="s">
        <v>1999</v>
      </c>
      <c r="AK5" s="1268" t="s">
        <v>2000</v>
      </c>
      <c r="AL5" s="1268" t="s">
        <v>2001</v>
      </c>
      <c r="AM5" s="70" t="s">
        <v>2002</v>
      </c>
      <c r="AN5" s="2303" t="s">
        <v>2003</v>
      </c>
      <c r="AO5" s="2073" t="s">
        <v>2004</v>
      </c>
      <c r="AP5" s="1249"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商业</v>
      </c>
      <c r="B6" s="2306" t="str">
        <f>IF(A6=0,"","经营性")</f>
        <v>经营性</v>
      </c>
      <c r="C6" s="2307" t="s">
        <v>1372</v>
      </c>
      <c r="D6" s="1051">
        <f>SUMIF(项目基本情况!D$12:I$12,C6,项目基本情况!D$14:I$14)</f>
        <v>40</v>
      </c>
      <c r="E6" s="1048">
        <f>IF(B6="","",SUMIF(项目基本情况!D$12:I$12,C6,项目基本情况!D$13:I$13))</f>
        <v>51980</v>
      </c>
      <c r="F6" s="72">
        <f>SUMIF(项目基本情况!D$12:I$12,C6,项目基本情况!D$15:I$15)</f>
        <v>22.13</v>
      </c>
      <c r="G6" s="73">
        <f>IF(ISERROR(ROUND(POWER(1+H6,D6-F6)*(POWER(1+H6,F6)-1)/(POWER(1+H6,D6)-1),3)),0,ROUND(POWER(1+H6,D6-F6)*(POWER(1+H6,F6)-1)/(POWER(1+H6,D6)-1),3))</f>
        <v>0.73299999999999998</v>
      </c>
      <c r="H6" s="802">
        <v>0.04</v>
      </c>
      <c r="I6" s="802">
        <v>0.05</v>
      </c>
      <c r="J6" s="74">
        <v>0.06</v>
      </c>
      <c r="K6" s="1251">
        <f>SUMIF('数据-汇总表'!C$19:C$33,A6,'数据-汇总表'!E$19:E$33)</f>
        <v>100326.75000000001</v>
      </c>
      <c r="L6" s="803">
        <v>3500</v>
      </c>
      <c r="M6" s="75">
        <f t="shared" ref="M6:M14" si="0">ROUND(K6*L6/10000,0)</f>
        <v>35114</v>
      </c>
      <c r="N6" s="801">
        <v>0.7</v>
      </c>
      <c r="O6" s="75" t="str">
        <f>IF($N$5="成新度","——",ROUND(M6*N6,0))</f>
        <v>——</v>
      </c>
      <c r="P6" s="76" t="str">
        <f>IF($N$5="成新度","——",M6-O6)</f>
        <v>——</v>
      </c>
      <c r="Q6" s="804">
        <v>0.15</v>
      </c>
      <c r="R6" s="77">
        <f ca="1">SUMIF('数据-汇总表'!C$19:C$33,A6,'数据-汇总表'!R$19:R$27)</f>
        <v>22104.58</v>
      </c>
      <c r="S6" s="54">
        <f>IF('数据-汇总表'!$I$17="按面积比例",SUMIF('数据-汇总表'!C$19:C$33,A6,'数据-汇总表'!K$19:K$33),SUMIF('数据-汇总表'!C$19:C$33,A6,'数据-汇总表'!N$19:N$33))</f>
        <v>0</v>
      </c>
      <c r="T6" s="1443">
        <f>ROUND($L$14*S6/10000,0)</f>
        <v>0</v>
      </c>
      <c r="U6" s="78">
        <v>8</v>
      </c>
      <c r="V6" s="79">
        <v>0.03</v>
      </c>
      <c r="W6" s="79">
        <v>0.1</v>
      </c>
      <c r="X6" s="1261"/>
      <c r="Y6" s="80">
        <v>0.7</v>
      </c>
      <c r="Z6" s="81"/>
      <c r="AA6" s="74"/>
      <c r="AB6" s="74"/>
      <c r="AC6" s="1261"/>
      <c r="AD6" s="82"/>
      <c r="AE6" s="1262">
        <f ca="1">IF(AN6="",0,SUMIF(INDIRECT("'"&amp;AN6&amp;"'"&amp;"!E:E"),$AE$5,INDIRECT("'"&amp;AN6&amp;"'"&amp;"!F:F")))</f>
        <v>22.13</v>
      </c>
      <c r="AF6" s="1804"/>
      <c r="AG6" s="147">
        <f>IF(AF6="",0,AE6-AF6)</f>
        <v>0</v>
      </c>
      <c r="AH6" s="83"/>
      <c r="AI6" s="85">
        <v>365</v>
      </c>
      <c r="AJ6" s="86"/>
      <c r="AK6" s="87">
        <v>2.5000000000000001E-2</v>
      </c>
      <c r="AL6" s="88">
        <v>3.0000000000000001E-3</v>
      </c>
      <c r="AM6" s="89">
        <v>0.03</v>
      </c>
      <c r="AN6" s="2308" t="s">
        <v>3073</v>
      </c>
      <c r="AO6" s="55">
        <f ca="1">SUMIF(INDIRECT("'"&amp;AN6&amp;"'"&amp;"!A:A"),"总价",INDIRECT("'"&amp;AN6&amp;"'"&amp;"!B:B"))</f>
        <v>386253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2008</v>
      </c>
      <c r="B14" s="2306" t="s">
        <v>2009</v>
      </c>
      <c r="C14" s="2311"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2010</v>
      </c>
      <c r="B15" s="2306" t="s">
        <v>2009</v>
      </c>
      <c r="C15" s="2311"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2012</v>
      </c>
      <c r="B16" s="97"/>
      <c r="C16" s="1005"/>
      <c r="D16" s="2313"/>
      <c r="E16" s="97"/>
      <c r="F16" s="97"/>
      <c r="G16" s="98">
        <f>ROUND(SUMPRODUCT(G6:G13,K6:K13)/SUMPRODUCT((G6:G13&gt;0)*(K6:K13)),3)</f>
        <v>0.73299999999999998</v>
      </c>
      <c r="H16" s="99">
        <f>ROUND(SUMPRODUCT(H6:H13,K6:K13)/SUMPRODUCT((H6:H13&gt;0)*(K6:K13)),3)</f>
        <v>0.04</v>
      </c>
      <c r="I16" s="100"/>
      <c r="J16" s="100"/>
      <c r="K16" s="101">
        <f>SUM(K6:K15)</f>
        <v>100326.75000000001</v>
      </c>
      <c r="L16" s="102">
        <f>ROUND(M16*10000/SUM(K6:K14),0)</f>
        <v>3500</v>
      </c>
      <c r="M16" s="102">
        <f>SUM(M6:M14)</f>
        <v>35114</v>
      </c>
      <c r="N16" s="103">
        <f>ROUND(SUMPRODUCT(M6:M14,N6:N14)/M16,3)</f>
        <v>0.7</v>
      </c>
      <c r="O16" s="102">
        <f>SUM(O6:O14)</f>
        <v>0</v>
      </c>
      <c r="P16" s="102">
        <f>SUM(P6:P14)</f>
        <v>0</v>
      </c>
      <c r="Q16" s="104">
        <f>ROUND(SUMPRODUCT(Q6:Q13,K6:K13)/SUMPRODUCT((Q6:Q13&gt;0)*(K6:K13)),2)</f>
        <v>0.15</v>
      </c>
      <c r="R16" s="1255">
        <f ca="1">SUM(R6:R13)</f>
        <v>22104.58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2014</v>
      </c>
      <c r="B19" s="112">
        <v>0</v>
      </c>
      <c r="C19" s="2276" t="s">
        <v>2015</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2016</v>
      </c>
      <c r="B20" s="113">
        <v>2</v>
      </c>
      <c r="C20" s="2276" t="s">
        <v>2017</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2018</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2019</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2020</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2021</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2022</v>
      </c>
      <c r="B26" s="2319" t="s">
        <v>2023</v>
      </c>
      <c r="C26" s="2320" t="s">
        <v>2024</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2025</v>
      </c>
      <c r="B27" s="116">
        <v>160</v>
      </c>
      <c r="C27" s="1764" t="s">
        <v>2026</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2027</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2028</v>
      </c>
      <c r="B29" s="121"/>
      <c r="C29" s="1764" t="s">
        <v>2029</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2030</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2031</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2032</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2033</v>
      </c>
      <c r="B33" s="726">
        <v>0.03</v>
      </c>
      <c r="C33" s="1763" t="s">
        <v>2034</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2035</v>
      </c>
      <c r="B34" s="122">
        <v>0</v>
      </c>
      <c r="C34" s="1763" t="s">
        <v>2036</v>
      </c>
      <c r="D34" s="2277" t="s">
        <v>2037</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2038</v>
      </c>
      <c r="B35" s="119">
        <v>200</v>
      </c>
      <c r="C35" s="1763" t="s">
        <v>2039</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3" t="s">
        <v>2041</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2042</v>
      </c>
      <c r="B37" s="124">
        <v>0.03</v>
      </c>
      <c r="C37" s="1763" t="s">
        <v>2043</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2044</v>
      </c>
      <c r="B38" s="122">
        <v>0.03</v>
      </c>
      <c r="C38" s="1763" t="s">
        <v>2043</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2045</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2046</v>
      </c>
      <c r="B40" s="1300">
        <f ca="1">存贷款利率!G1</f>
        <v>4.7500000000000001E-2</v>
      </c>
      <c r="C40" s="1763" t="s">
        <v>2047</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2048</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2049</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2050</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2051</v>
      </c>
      <c r="B44" s="128">
        <v>7.0000000000000007E-2</v>
      </c>
      <c r="C44" s="1763" t="s">
        <v>2052</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2053</v>
      </c>
      <c r="B45" s="126">
        <v>0.03</v>
      </c>
      <c r="C45" s="1764" t="s">
        <v>2054</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2055</v>
      </c>
      <c r="B46" s="126">
        <v>0.02</v>
      </c>
      <c r="C46" s="1764" t="s">
        <v>2056</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2057</v>
      </c>
      <c r="B47" s="129"/>
      <c r="C47" s="1764" t="s">
        <v>2058</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2059</v>
      </c>
      <c r="B48" s="130">
        <v>0.03</v>
      </c>
      <c r="C48" s="1771" t="s">
        <v>2060</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2061</v>
      </c>
      <c r="B49" s="126">
        <v>5.0000000000000001E-4</v>
      </c>
      <c r="C49" s="1771" t="s">
        <v>2062</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2063</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2064</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2065</v>
      </c>
      <c r="B52" s="133">
        <f>SUMIF(A54:A63,B53,B54:B63)</f>
        <v>24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2066</v>
      </c>
      <c r="B53" s="2335" t="s">
        <v>269</v>
      </c>
      <c r="C53" s="1427" t="s">
        <v>2067</v>
      </c>
      <c r="D53" s="2336" t="s">
        <v>2068</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2069</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2070</v>
      </c>
      <c r="B55" s="84">
        <v>24</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2071</v>
      </c>
      <c r="B56" s="84">
        <v>18</v>
      </c>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2072</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2073</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2074</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2075</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2076</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2077</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2078</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0" t="s">
        <v>2079</v>
      </c>
      <c r="B1" s="3051"/>
      <c r="C1" s="3051"/>
      <c r="D1" s="3051"/>
      <c r="E1" s="3051"/>
      <c r="F1" s="3051"/>
      <c r="G1" s="305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5" t="s">
        <v>2082</v>
      </c>
      <c r="B3" s="1268"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5"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5" t="s">
        <v>2091</v>
      </c>
      <c r="C5" s="2372" t="s">
        <v>2092</v>
      </c>
      <c r="D5" s="2369"/>
      <c r="E5" s="2373"/>
      <c r="F5" s="1795" t="s">
        <v>2093</v>
      </c>
      <c r="G5" s="2374" t="s">
        <v>2094</v>
      </c>
      <c r="H5" s="2366"/>
      <c r="I5" s="2366"/>
      <c r="J5" s="2366"/>
      <c r="K5" s="2366"/>
      <c r="L5" s="2366"/>
      <c r="M5" s="2366"/>
      <c r="N5" s="2366"/>
      <c r="O5" s="2366"/>
      <c r="P5" s="2366"/>
      <c r="Q5" s="2366"/>
      <c r="R5" s="2366"/>
    </row>
    <row r="6" spans="1:29" ht="54">
      <c r="A6" s="431"/>
      <c r="B6" s="1795" t="s">
        <v>2095</v>
      </c>
      <c r="C6" s="2374" t="s">
        <v>2090</v>
      </c>
      <c r="D6" s="2369"/>
      <c r="E6" s="2373"/>
      <c r="F6" s="1795" t="s">
        <v>2096</v>
      </c>
      <c r="G6" s="2374" t="s">
        <v>2097</v>
      </c>
      <c r="H6" s="2366"/>
      <c r="I6" s="2366"/>
      <c r="J6" s="2366"/>
      <c r="K6" s="2366"/>
      <c r="L6" s="2366"/>
      <c r="M6" s="2366"/>
      <c r="N6" s="2366"/>
      <c r="O6" s="2366"/>
      <c r="P6" s="2366"/>
      <c r="Q6" s="2366"/>
      <c r="R6" s="2366"/>
    </row>
    <row r="7" spans="1:29" ht="41.25" thickBot="1">
      <c r="A7" s="431"/>
      <c r="B7" s="1795"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5" t="s">
        <v>2096</v>
      </c>
      <c r="C8" s="2374" t="s">
        <v>2097</v>
      </c>
      <c r="D8" s="2375"/>
      <c r="E8" s="2375"/>
      <c r="F8" s="1133"/>
      <c r="G8" s="1133"/>
      <c r="H8" s="2366"/>
      <c r="I8" s="2366"/>
      <c r="J8" s="2366"/>
      <c r="K8" s="2366"/>
      <c r="L8" s="2366"/>
      <c r="M8" s="2366"/>
      <c r="N8" s="2366"/>
      <c r="O8" s="2366"/>
      <c r="P8" s="2366"/>
      <c r="Q8" s="2366"/>
      <c r="R8" s="2366"/>
    </row>
    <row r="9" spans="1:29" ht="27">
      <c r="A9" s="431"/>
      <c r="B9" s="1795" t="s">
        <v>2100</v>
      </c>
      <c r="C9" s="2372" t="s">
        <v>2101</v>
      </c>
      <c r="D9" s="2369"/>
      <c r="E9" s="2375"/>
      <c r="F9" s="1133"/>
      <c r="G9" s="1133"/>
      <c r="H9" s="2366"/>
      <c r="I9" s="2366"/>
      <c r="J9" s="2366"/>
      <c r="K9" s="2366"/>
      <c r="L9" s="2366"/>
      <c r="M9" s="2366"/>
      <c r="N9" s="2366"/>
      <c r="O9" s="2366"/>
      <c r="P9" s="2366"/>
      <c r="Q9" s="2366"/>
      <c r="R9" s="2366"/>
    </row>
    <row r="10" spans="1:29" s="117" customFormat="1" ht="15.7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7" t="s">
        <v>2083</v>
      </c>
      <c r="C15" s="2401" t="str">
        <f>C3</f>
        <v>估价对象周边居住用地比例、居住小区规模和社区发展完善程度，综合评价居住社区成熟度一般</v>
      </c>
      <c r="D15" s="2369"/>
      <c r="E15" s="2402" t="s">
        <v>2107</v>
      </c>
      <c r="F15" s="1267"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69"/>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69"/>
      <c r="D19" s="2369"/>
      <c r="E19" s="2405"/>
      <c r="F19" s="1795"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5" t="s">
        <v>2112</v>
      </c>
      <c r="G20" s="136" t="str">
        <f>G6</f>
        <v>估价对象所在区域基础设施水平</v>
      </c>
    </row>
    <row r="21" spans="1:18" ht="28.5">
      <c r="A21" s="645"/>
      <c r="B21" s="1795" t="s">
        <v>2093</v>
      </c>
      <c r="C21" s="136" t="str">
        <f>C7</f>
        <v>估价对象所在区域公共配套设施齐备情况</v>
      </c>
      <c r="D21" s="2369"/>
      <c r="E21" s="2405"/>
      <c r="F21" s="2406" t="s">
        <v>2113</v>
      </c>
      <c r="G21" s="2407"/>
    </row>
    <row r="22" spans="1:18" ht="13.5" customHeight="1">
      <c r="A22" s="645"/>
      <c r="B22" s="1795" t="s">
        <v>2096</v>
      </c>
      <c r="C22" s="136" t="str">
        <f>C8</f>
        <v>估价对象所在区域基础设施水平</v>
      </c>
      <c r="D22" s="2369"/>
      <c r="E22" s="2405"/>
      <c r="F22" s="2406" t="s">
        <v>2102</v>
      </c>
      <c r="G22" s="1569"/>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100326.75000000001</v>
      </c>
      <c r="C1" s="1742"/>
      <c r="D1" s="1742"/>
      <c r="E1" s="1742"/>
      <c r="F1" s="1742"/>
      <c r="G1" s="1740"/>
    </row>
    <row r="2" spans="1:10" ht="16.5">
      <c r="A2" s="1743" t="s">
        <v>1348</v>
      </c>
      <c r="B2" s="1743">
        <f>SUM(C14:C23)</f>
        <v>22104.58</v>
      </c>
      <c r="C2" s="1742"/>
      <c r="D2" s="1742"/>
      <c r="E2" s="1742"/>
      <c r="F2" s="1742"/>
      <c r="G2" s="1740"/>
    </row>
    <row r="3" spans="1:10" ht="16.5">
      <c r="A3" s="1743" t="s">
        <v>1357</v>
      </c>
      <c r="B3" s="1744">
        <f>项目基本情况!D3</f>
        <v>43899</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402485</v>
      </c>
      <c r="C5" s="1743">
        <f ca="1">ROUND(B5*10000/$B$1,0)</f>
        <v>40117</v>
      </c>
      <c r="D5" s="1743">
        <f ca="1">ROUND(B5*10000/$B$2,0)</f>
        <v>182082</v>
      </c>
      <c r="E5" s="1742"/>
      <c r="F5" s="1740"/>
      <c r="G5" s="1740"/>
    </row>
    <row r="6" spans="1:10" ht="16.5">
      <c r="A6" s="1743" t="s">
        <v>1351</v>
      </c>
      <c r="B6" s="1743">
        <f ca="1">SUM(G14:G23)</f>
        <v>402485</v>
      </c>
      <c r="C6" s="1743">
        <f ca="1">ROUND(B6*10000/$B$1,0)</f>
        <v>40117</v>
      </c>
      <c r="D6" s="1743">
        <f ca="1">ROUND(B6*10000/$B$2,0)</f>
        <v>182082</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100326.75000000001</v>
      </c>
      <c r="C14" s="1741">
        <f>结果表!C118</f>
        <v>22104.58</v>
      </c>
      <c r="D14" s="1741">
        <f ca="1">结果表!H118</f>
        <v>402485</v>
      </c>
      <c r="E14" s="1741">
        <f ca="1">ROUND(D14*10000/B14,0)</f>
        <v>40117</v>
      </c>
      <c r="F14" s="1741">
        <f ca="1">ROUND(D14*10000/C14,0)</f>
        <v>182082</v>
      </c>
      <c r="G14" s="1741">
        <f ca="1">结果表!D122</f>
        <v>402485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t="s">
        <v>1372</v>
      </c>
      <c r="D1" s="2417"/>
      <c r="E1" s="2417"/>
      <c r="F1" s="2419" t="s">
        <v>2117</v>
      </c>
      <c r="G1" s="2069" t="s">
        <v>3077</v>
      </c>
      <c r="H1" s="2420" t="str">
        <f>IF(G1="现房","——","估价对象范围")</f>
        <v>——</v>
      </c>
      <c r="I1" s="2421"/>
    </row>
    <row r="2" spans="1:12" ht="21.75" customHeight="1" thickBot="1">
      <c r="A2" s="3124" t="str">
        <f>项目基本情况!S2</f>
        <v>北京市房地产</v>
      </c>
      <c r="B2" s="3125"/>
      <c r="C2" s="3125"/>
      <c r="D2" s="3125"/>
      <c r="E2" s="3125"/>
      <c r="F2" s="3125"/>
      <c r="G2" s="3125"/>
      <c r="H2" s="3125"/>
      <c r="I2" s="3126"/>
    </row>
    <row r="3" spans="1:12" ht="12.75">
      <c r="A3" s="3127" t="s">
        <v>2118</v>
      </c>
      <c r="B3" s="3128"/>
      <c r="C3" s="3128"/>
      <c r="D3" s="3128"/>
      <c r="E3" s="3128"/>
      <c r="F3" s="3128"/>
      <c r="G3" s="3128"/>
      <c r="H3" s="3128"/>
      <c r="I3" s="3128"/>
    </row>
    <row r="4" spans="1:12" ht="14.25">
      <c r="A4" s="2424" t="s">
        <v>2119</v>
      </c>
      <c r="B4" s="2425" t="s">
        <v>2120</v>
      </c>
      <c r="C4" s="2426" t="s">
        <v>3076</v>
      </c>
      <c r="D4" s="2426" t="s">
        <v>3073</v>
      </c>
      <c r="E4" s="3108" t="s">
        <v>2121</v>
      </c>
      <c r="F4" s="3121"/>
      <c r="G4" s="3121"/>
      <c r="H4" s="3121"/>
      <c r="I4" s="310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9" t="s">
        <v>2122</v>
      </c>
      <c r="B5" s="3025">
        <v>25</v>
      </c>
      <c r="C5" s="3129">
        <v>5</v>
      </c>
      <c r="D5" s="3117">
        <v>5</v>
      </c>
      <c r="E5" s="140" t="s">
        <v>2123</v>
      </c>
      <c r="F5" s="2428"/>
      <c r="G5" s="2428"/>
      <c r="H5" s="2428"/>
      <c r="I5" s="1831"/>
    </row>
    <row r="6" spans="1:12" ht="12.75">
      <c r="A6" s="3099"/>
      <c r="B6" s="3025"/>
      <c r="C6" s="3131"/>
      <c r="D6" s="3117"/>
      <c r="E6" s="140" t="s">
        <v>2124</v>
      </c>
      <c r="F6" s="2428"/>
      <c r="G6" s="2428"/>
      <c r="H6" s="2428"/>
      <c r="I6" s="1831"/>
    </row>
    <row r="7" spans="1:12" ht="12.75">
      <c r="A7" s="3099"/>
      <c r="B7" s="3025"/>
      <c r="C7" s="3130"/>
      <c r="D7" s="3117"/>
      <c r="E7" s="140" t="s">
        <v>2125</v>
      </c>
      <c r="F7" s="2428"/>
      <c r="G7" s="2428"/>
      <c r="H7" s="2428"/>
      <c r="I7" s="1831"/>
    </row>
    <row r="8" spans="1:12" ht="12.75">
      <c r="A8" s="3099" t="s">
        <v>2126</v>
      </c>
      <c r="B8" s="3025">
        <v>15</v>
      </c>
      <c r="C8" s="3129"/>
      <c r="D8" s="3117"/>
      <c r="E8" s="140" t="s">
        <v>2127</v>
      </c>
      <c r="F8" s="2428"/>
      <c r="G8" s="2428"/>
      <c r="H8" s="2428"/>
      <c r="I8" s="1831"/>
    </row>
    <row r="9" spans="1:12" ht="12.75">
      <c r="A9" s="3099"/>
      <c r="B9" s="3025"/>
      <c r="C9" s="3130"/>
      <c r="D9" s="3117"/>
      <c r="E9" s="140" t="s">
        <v>2128</v>
      </c>
      <c r="F9" s="2428"/>
      <c r="G9" s="2428"/>
      <c r="H9" s="2428"/>
      <c r="I9" s="1831"/>
    </row>
    <row r="10" spans="1:12" ht="12.75">
      <c r="A10" s="3099" t="s">
        <v>2129</v>
      </c>
      <c r="B10" s="3025">
        <v>15</v>
      </c>
      <c r="C10" s="3129"/>
      <c r="D10" s="3117"/>
      <c r="E10" s="140" t="s">
        <v>2130</v>
      </c>
      <c r="F10" s="2428"/>
      <c r="G10" s="2428"/>
      <c r="H10" s="2428"/>
      <c r="I10" s="1831"/>
    </row>
    <row r="11" spans="1:12" ht="12.75">
      <c r="A11" s="3099"/>
      <c r="B11" s="3025"/>
      <c r="C11" s="3130"/>
      <c r="D11" s="3117"/>
      <c r="E11" s="140" t="s">
        <v>2131</v>
      </c>
      <c r="F11" s="2428"/>
      <c r="G11" s="2428"/>
      <c r="H11" s="2428"/>
      <c r="I11" s="1831"/>
    </row>
    <row r="12" spans="1:12" ht="12.75">
      <c r="A12" s="3099" t="s">
        <v>2132</v>
      </c>
      <c r="B12" s="3025">
        <v>15</v>
      </c>
      <c r="C12" s="3129"/>
      <c r="D12" s="3117"/>
      <c r="E12" s="140" t="s">
        <v>2133</v>
      </c>
      <c r="F12" s="2428"/>
      <c r="G12" s="2428"/>
      <c r="H12" s="2428"/>
      <c r="I12" s="1831"/>
    </row>
    <row r="13" spans="1:12" ht="12.75">
      <c r="A13" s="3099"/>
      <c r="B13" s="3025"/>
      <c r="C13" s="3130"/>
      <c r="D13" s="3117"/>
      <c r="E13" s="140" t="s">
        <v>2134</v>
      </c>
      <c r="F13" s="2428"/>
      <c r="G13" s="2428"/>
      <c r="H13" s="2428"/>
      <c r="I13" s="1831"/>
    </row>
    <row r="14" spans="1:12" ht="12.75">
      <c r="A14" s="3099" t="s">
        <v>2135</v>
      </c>
      <c r="B14" s="3025">
        <v>30</v>
      </c>
      <c r="C14" s="3129"/>
      <c r="D14" s="3117"/>
      <c r="E14" s="140" t="s">
        <v>2136</v>
      </c>
      <c r="F14" s="2428"/>
      <c r="G14" s="2428"/>
      <c r="H14" s="2428"/>
      <c r="I14" s="1831"/>
    </row>
    <row r="15" spans="1:12" ht="12.75">
      <c r="A15" s="3099"/>
      <c r="B15" s="3025"/>
      <c r="C15" s="3131"/>
      <c r="D15" s="3117"/>
      <c r="E15" s="140" t="s">
        <v>2137</v>
      </c>
      <c r="F15" s="2428"/>
      <c r="G15" s="2428"/>
      <c r="H15" s="2428"/>
      <c r="I15" s="1831"/>
    </row>
    <row r="16" spans="1:12" ht="12.75">
      <c r="A16" s="3099"/>
      <c r="B16" s="3025"/>
      <c r="C16" s="3130"/>
      <c r="D16" s="3117"/>
      <c r="E16" s="140" t="s">
        <v>2138</v>
      </c>
      <c r="F16" s="2428"/>
      <c r="G16" s="2428"/>
      <c r="H16" s="2428"/>
      <c r="I16" s="1831"/>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100326.75000000001</v>
      </c>
      <c r="M18" s="2427">
        <f>IF(C1="",'数据-汇总表'!E3,SUMIF(项目类型,C1,'数据-汇总表'!E17:E26))</f>
        <v>100326.75000000001</v>
      </c>
    </row>
    <row r="19" spans="1:35" ht="15">
      <c r="A19" s="2433" t="s">
        <v>2144</v>
      </c>
      <c r="B19" s="2434" t="s">
        <v>2145</v>
      </c>
      <c r="C19" s="143">
        <f ca="1">SUMIF(INDIRECT("'"&amp;C4&amp;"'"&amp;"!A:A"),结果表!B19,INDIRECT("'"&amp;C4&amp;"'"&amp;"!B:B"))</f>
        <v>418716</v>
      </c>
      <c r="D19" s="144">
        <f ca="1">SUMIF(INDIRECT("'"&amp;D4&amp;"'"&amp;"!A:A"),结果表!B19,INDIRECT("'"&amp;D4&amp;"'"&amp;"!B:B"))</f>
        <v>386253</v>
      </c>
      <c r="E19" s="2433" t="s">
        <v>2146</v>
      </c>
      <c r="F19" s="2434" t="s">
        <v>2145</v>
      </c>
      <c r="G19" s="145">
        <f ca="1">ROUND(C19*$C$18+D19*$D$18,0)</f>
        <v>402485</v>
      </c>
      <c r="H19" s="2435" t="s">
        <v>2147</v>
      </c>
      <c r="I19" s="138"/>
      <c r="K19" s="2427" t="s">
        <v>2148</v>
      </c>
      <c r="L19" s="2427">
        <f>IF(C1="",'数据-汇总表'!D3,SUMIF(项目类型,C1,'数据-汇总表'!D17:D26)+SUMIF(项目类型,C1,'数据-汇总表'!H17:H27))</f>
        <v>22104.58</v>
      </c>
      <c r="M19" s="2427">
        <f>IF(C1="",'数据-汇总表'!D3,SUMIF(项目类型,C1,'数据-汇总表'!D17:D26))</f>
        <v>22104.58</v>
      </c>
    </row>
    <row r="20" spans="1:35" ht="15">
      <c r="A20" s="2436"/>
      <c r="B20" s="1247" t="s">
        <v>2149</v>
      </c>
      <c r="C20" s="146">
        <f ca="1">SUMIF(INDIRECT("'"&amp;C4&amp;"'"&amp;"!A:A"),结果表!B20,INDIRECT("'"&amp;C4&amp;"'"&amp;"!B:B"))</f>
        <v>41735</v>
      </c>
      <c r="D20" s="147">
        <f ca="1">SUMIF(INDIRECT("'"&amp;D4&amp;"'"&amp;"!A:A"),结果表!B20,INDIRECT("'"&amp;D4&amp;"'"&amp;"!B:B"))</f>
        <v>38499</v>
      </c>
      <c r="E20" s="2436"/>
      <c r="F20" s="1247" t="s">
        <v>2149</v>
      </c>
      <c r="G20" s="148">
        <f ca="1">ROUND(C20*$C$18+D20*$D$18,0)</f>
        <v>40117</v>
      </c>
      <c r="H20" s="980" t="s">
        <v>2150</v>
      </c>
      <c r="I20" s="138"/>
    </row>
    <row r="21" spans="1:35" ht="15" customHeight="1" thickBot="1">
      <c r="A21" s="1000"/>
      <c r="B21" s="2437" t="s">
        <v>2151</v>
      </c>
      <c r="C21" s="789">
        <f ca="1">ROUND(C19*10000/L19,0)</f>
        <v>189425</v>
      </c>
      <c r="D21" s="790">
        <f ca="1">ROUND(D19*10000/L19,0)</f>
        <v>174739</v>
      </c>
      <c r="E21" s="1000"/>
      <c r="F21" s="2437" t="s">
        <v>2151</v>
      </c>
      <c r="G21" s="149">
        <f ca="1">ROUND(G19*10000/L19,0)</f>
        <v>182082</v>
      </c>
      <c r="H21" s="2438" t="s">
        <v>2150</v>
      </c>
      <c r="I21" s="138"/>
    </row>
    <row r="22" spans="1:35" ht="15" thickBot="1">
      <c r="A22" s="2280" t="s">
        <v>2152</v>
      </c>
      <c r="B22" s="2439"/>
      <c r="C22" s="2440"/>
      <c r="D22" s="791">
        <f ca="1">IF(C19&lt;D19,D19/C19-1,C19/D19-1)</f>
        <v>8.4045949157676381E-2</v>
      </c>
      <c r="E22" s="138"/>
      <c r="F22" s="138"/>
      <c r="G22" s="138"/>
      <c r="H22" s="138"/>
      <c r="I22" s="138"/>
    </row>
    <row r="23" spans="1:35" ht="13.5" thickBot="1">
      <c r="A23" s="2417"/>
      <c r="B23" s="2417"/>
      <c r="C23" s="2417"/>
      <c r="D23" s="2417"/>
      <c r="E23" s="138"/>
      <c r="F23" s="138"/>
      <c r="G23" s="138"/>
      <c r="H23" s="138"/>
      <c r="I23" s="138"/>
    </row>
    <row r="24" spans="1:35" ht="14.25">
      <c r="A24" s="3138" t="s">
        <v>2153</v>
      </c>
      <c r="B24" s="2434" t="s">
        <v>2145</v>
      </c>
      <c r="C24" s="145">
        <f>IF(B30=0,0,D30)</f>
        <v>0</v>
      </c>
      <c r="D24" s="2441"/>
      <c r="E24" s="138"/>
      <c r="F24" s="138"/>
      <c r="G24" s="138"/>
      <c r="H24" s="138"/>
      <c r="I24" s="138"/>
    </row>
    <row r="25" spans="1:35" ht="14.25">
      <c r="A25" s="3139"/>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6" t="s">
        <v>3034</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402485</v>
      </c>
      <c r="D32" s="2448" t="s">
        <v>2160</v>
      </c>
      <c r="E32" s="138"/>
      <c r="F32" s="138"/>
      <c r="G32" s="138"/>
      <c r="H32" s="138"/>
      <c r="I32" s="138"/>
    </row>
    <row r="33" spans="1:15" ht="15">
      <c r="A33" s="957" t="s">
        <v>2161</v>
      </c>
      <c r="B33" s="2449"/>
      <c r="C33" s="2450"/>
      <c r="D33" s="2451"/>
      <c r="E33" s="2452" t="s">
        <v>2162</v>
      </c>
      <c r="F33" s="2453" t="str">
        <f>IF(D32="楼面单价","取值（单价）","取值（总价）")</f>
        <v>取值（总价）</v>
      </c>
      <c r="G33" s="138"/>
      <c r="H33" s="138"/>
      <c r="I33" s="138"/>
    </row>
    <row r="34" spans="1:15" ht="15">
      <c r="A34" s="2454"/>
      <c r="B34" s="2455"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2164</v>
      </c>
      <c r="F34" s="1736"/>
      <c r="G34" s="138"/>
      <c r="H34" s="138"/>
      <c r="I34" s="138"/>
    </row>
    <row r="35" spans="1:15" ht="15.75" thickBot="1">
      <c r="A35" s="2457"/>
      <c r="B35" s="2458"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2166</v>
      </c>
      <c r="F35" s="163"/>
      <c r="G35" s="138"/>
      <c r="H35" s="138"/>
      <c r="I35" s="138"/>
    </row>
    <row r="36" spans="1:15" ht="15.75" thickBot="1">
      <c r="A36" s="3118" t="s">
        <v>2167</v>
      </c>
      <c r="B36" s="2460" t="s">
        <v>2168</v>
      </c>
      <c r="C36" s="154"/>
      <c r="D36" s="2461"/>
      <c r="E36" s="2462"/>
      <c r="F36" s="2463"/>
      <c r="G36" s="138"/>
      <c r="H36" s="138"/>
      <c r="I36" s="138"/>
    </row>
    <row r="37" spans="1:15" ht="15.75" thickBot="1">
      <c r="A37" s="3119"/>
      <c r="B37" s="2266" t="s">
        <v>2169</v>
      </c>
      <c r="C37" s="156"/>
      <c r="D37" s="1392"/>
      <c r="E37" s="1392"/>
      <c r="F37" s="2463"/>
      <c r="G37" s="138"/>
      <c r="H37" s="138"/>
      <c r="I37" s="138"/>
    </row>
    <row r="38" spans="1:15" ht="15.75" thickBot="1">
      <c r="A38" s="3120"/>
      <c r="B38" s="2464" t="s">
        <v>2170</v>
      </c>
      <c r="C38" s="727"/>
      <c r="D38" s="2465" t="s">
        <v>2171</v>
      </c>
      <c r="E38" s="1392"/>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5" t="s">
        <v>2181</v>
      </c>
      <c r="B45" s="3136"/>
      <c r="C45" s="3137"/>
      <c r="D45" s="164">
        <f ca="1">ROUND(H101*F45,0)</f>
        <v>402485</v>
      </c>
      <c r="E45" s="165" t="s">
        <v>2182</v>
      </c>
      <c r="F45" s="166">
        <v>1</v>
      </c>
      <c r="G45" s="167" t="s">
        <v>2183</v>
      </c>
      <c r="H45" s="138"/>
      <c r="I45" s="138"/>
      <c r="J45" s="3054" t="s">
        <v>2184</v>
      </c>
      <c r="K45" s="3054"/>
      <c r="L45" s="3054"/>
      <c r="M45" s="3054"/>
      <c r="N45" s="3054"/>
      <c r="O45" s="3054"/>
    </row>
    <row r="46" spans="1:15" ht="14.25" customHeight="1">
      <c r="A46" s="3132" t="s">
        <v>2185</v>
      </c>
      <c r="B46" s="3133"/>
      <c r="C46" s="3133"/>
      <c r="D46" s="3133"/>
      <c r="E46" s="3133"/>
      <c r="F46" s="3133"/>
      <c r="G46" s="3134"/>
      <c r="H46" s="2479"/>
      <c r="I46" s="168"/>
      <c r="J46" s="1809">
        <v>1</v>
      </c>
      <c r="K46" s="3054" t="s">
        <v>2186</v>
      </c>
      <c r="L46" s="3054"/>
      <c r="M46" s="3055"/>
      <c r="N46" s="3055"/>
      <c r="O46" s="3055"/>
    </row>
    <row r="47" spans="1:15" ht="12" customHeight="1">
      <c r="A47" s="169" t="s">
        <v>2187</v>
      </c>
      <c r="B47" s="170"/>
      <c r="C47" s="171"/>
      <c r="D47" s="172" t="s">
        <v>2188</v>
      </c>
      <c r="E47" s="24" t="s">
        <v>2189</v>
      </c>
      <c r="F47" s="173" t="s">
        <v>2190</v>
      </c>
      <c r="G47" s="174" t="s">
        <v>2191</v>
      </c>
      <c r="H47" s="2479"/>
      <c r="I47" s="168"/>
      <c r="J47" s="1809">
        <v>2</v>
      </c>
      <c r="K47" s="3054" t="s">
        <v>2192</v>
      </c>
      <c r="L47" s="3054"/>
      <c r="M47" s="3056">
        <f>'数据-取费表'!B2</f>
        <v>43899</v>
      </c>
      <c r="N47" s="3056"/>
      <c r="O47" s="3056"/>
    </row>
    <row r="48" spans="1:15" ht="25.5">
      <c r="A48" s="3122" t="s">
        <v>2193</v>
      </c>
      <c r="B48" s="3123"/>
      <c r="C48" s="3123"/>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054" t="s">
        <v>2196</v>
      </c>
      <c r="L48" s="3054"/>
      <c r="M48" s="3057">
        <f ca="1">H101</f>
        <v>402485</v>
      </c>
      <c r="N48" s="3057"/>
      <c r="O48" s="3057"/>
    </row>
    <row r="49" spans="1:35" ht="25.5" customHeight="1">
      <c r="A49" s="176" t="s">
        <v>2197</v>
      </c>
      <c r="B49" s="3102" t="s">
        <v>2198</v>
      </c>
      <c r="C49" s="3102"/>
      <c r="D49" s="177">
        <v>0</v>
      </c>
      <c r="E49" s="23" t="s">
        <v>2199</v>
      </c>
      <c r="F49" s="28" t="s">
        <v>34</v>
      </c>
      <c r="G49" s="3083"/>
      <c r="H49" s="138"/>
      <c r="I49" s="2482"/>
      <c r="J49" s="1809">
        <v>4</v>
      </c>
      <c r="K49" s="3054" t="str">
        <f>IF(项目基本情况!E8="房地产抵押价值","房地产抵押价值","抵押担保权已注销时的房地产抵押价值")</f>
        <v>抵押担保权已注销时的房地产抵押价值</v>
      </c>
      <c r="L49" s="3054"/>
      <c r="M49" s="3057" t="str">
        <f>IF(项目基本情况!E8="房地产抵押价值",H107,H109)</f>
        <v>——</v>
      </c>
      <c r="N49" s="3057"/>
      <c r="O49" s="3057"/>
    </row>
    <row r="50" spans="1:35" ht="25.5" customHeight="1">
      <c r="A50" s="178"/>
      <c r="B50" s="3102" t="s">
        <v>2200</v>
      </c>
      <c r="C50" s="3102"/>
      <c r="D50" s="179"/>
      <c r="E50" s="31"/>
      <c r="F50" s="180"/>
      <c r="G50" s="3084"/>
      <c r="H50" s="138"/>
      <c r="I50" s="2482"/>
      <c r="J50" s="3054" t="s">
        <v>2201</v>
      </c>
      <c r="K50" s="3054"/>
      <c r="L50" s="3054"/>
      <c r="M50" s="3054"/>
      <c r="N50" s="3054"/>
      <c r="O50" s="3054"/>
    </row>
    <row r="51" spans="1:35" ht="12" customHeight="1">
      <c r="A51" s="181"/>
      <c r="B51" s="3102" t="s">
        <v>2202</v>
      </c>
      <c r="C51" s="3102"/>
      <c r="D51" s="182"/>
      <c r="E51" s="30"/>
      <c r="F51" s="180"/>
      <c r="G51" s="3085"/>
      <c r="H51" s="138"/>
      <c r="I51" s="2482"/>
      <c r="J51" s="2483" t="s">
        <v>2203</v>
      </c>
      <c r="K51" s="3054" t="s">
        <v>2204</v>
      </c>
      <c r="L51" s="3054"/>
      <c r="M51" s="2483" t="s">
        <v>2205</v>
      </c>
      <c r="N51" s="2483" t="s">
        <v>2206</v>
      </c>
      <c r="O51" s="2483" t="s">
        <v>2207</v>
      </c>
    </row>
    <row r="52" spans="1:35" ht="24" customHeight="1">
      <c r="A52" s="183" t="s">
        <v>2208</v>
      </c>
      <c r="B52" s="3102" t="s">
        <v>2209</v>
      </c>
      <c r="C52" s="3102"/>
      <c r="D52" s="182">
        <f ca="1">ROUND(D45*'数据-取费表'!B41/(1+'数据-取费表'!C42),0)</f>
        <v>21466</v>
      </c>
      <c r="E52" s="11" t="s">
        <v>2210</v>
      </c>
      <c r="F52" s="184">
        <f>'数据-取费表'!B41</f>
        <v>5.6000000000000001E-2</v>
      </c>
      <c r="G52" s="2484"/>
      <c r="H52" s="138"/>
      <c r="I52" s="2482"/>
      <c r="J52" s="1809">
        <v>1</v>
      </c>
      <c r="K52" s="3077" t="s">
        <v>2211</v>
      </c>
      <c r="L52" s="3077"/>
      <c r="M52" s="1751">
        <f>D48</f>
        <v>0</v>
      </c>
      <c r="N52" s="1809" t="str">
        <f>E48</f>
        <v>销售额×税（费）率</v>
      </c>
      <c r="O52" s="1752" t="str">
        <f>F48</f>
        <v>免征</v>
      </c>
    </row>
    <row r="53" spans="1:35" ht="12" customHeight="1">
      <c r="A53" s="183" t="s">
        <v>2212</v>
      </c>
      <c r="B53" s="3103" t="s">
        <v>2213</v>
      </c>
      <c r="C53" s="3104"/>
      <c r="D53" s="182">
        <f ca="1">ROUND(D45*'数据-取费表'!B41/(1+'数据-取费表'!C42),0)</f>
        <v>21466</v>
      </c>
      <c r="E53" s="11" t="s">
        <v>2210</v>
      </c>
      <c r="F53" s="184">
        <f>'数据-取费表'!B41</f>
        <v>5.6000000000000001E-2</v>
      </c>
      <c r="G53" s="2484"/>
      <c r="H53" s="138"/>
      <c r="I53" s="2482"/>
      <c r="J53" s="1809">
        <v>2</v>
      </c>
      <c r="K53" s="3077" t="s">
        <v>2214</v>
      </c>
      <c r="L53" s="3077"/>
      <c r="M53" s="1751">
        <f t="shared" ref="M53:O54" ca="1" si="0">D55</f>
        <v>201</v>
      </c>
      <c r="N53" s="1809" t="str">
        <f t="shared" si="0"/>
        <v>销售额×税（费）率</v>
      </c>
      <c r="O53" s="1752">
        <f t="shared" si="0"/>
        <v>5.0000000000000001E-4</v>
      </c>
    </row>
    <row r="54" spans="1:35" ht="12" customHeight="1">
      <c r="A54" s="183" t="s">
        <v>2215</v>
      </c>
      <c r="B54" s="3103" t="s">
        <v>2216</v>
      </c>
      <c r="C54" s="3104"/>
      <c r="D54" s="182">
        <f ca="1">C68</f>
        <v>21466</v>
      </c>
      <c r="E54" s="30" t="s">
        <v>2217</v>
      </c>
      <c r="F54" s="184">
        <f>'数据-取费表'!B41</f>
        <v>5.6000000000000001E-2</v>
      </c>
      <c r="G54" s="2484"/>
      <c r="H54" s="2485"/>
      <c r="I54" s="2482"/>
      <c r="J54" s="1809">
        <v>3</v>
      </c>
      <c r="K54" s="3077" t="s">
        <v>2218</v>
      </c>
      <c r="L54" s="3077"/>
      <c r="M54" s="1751">
        <f t="shared" ca="1" si="0"/>
        <v>227806</v>
      </c>
      <c r="N54" s="1809" t="str">
        <f t="shared" si="0"/>
        <v>增值额×税（费）率</v>
      </c>
      <c r="O54" s="1753" t="str">
        <f t="shared" si="0"/>
        <v>——</v>
      </c>
    </row>
    <row r="55" spans="1:35" ht="24" customHeight="1">
      <c r="A55" s="3141" t="s">
        <v>2219</v>
      </c>
      <c r="B55" s="3123"/>
      <c r="C55" s="3123"/>
      <c r="D55" s="185">
        <f ca="1">IF(H55="个人住宅",0,ROUND(D45*I55,0))</f>
        <v>201</v>
      </c>
      <c r="E55" s="11" t="s">
        <v>2220</v>
      </c>
      <c r="F55" s="184">
        <f>IF(H55="正常",I55,"免征")</f>
        <v>5.0000000000000001E-4</v>
      </c>
      <c r="G55" s="2484"/>
      <c r="H55" s="2481" t="s">
        <v>2221</v>
      </c>
      <c r="I55" s="186">
        <f>'数据-取费表'!B49</f>
        <v>5.0000000000000001E-4</v>
      </c>
      <c r="J55" s="1809" t="str">
        <f>IF(H59="非个人房产","",4)</f>
        <v/>
      </c>
      <c r="K55" s="3077" t="str">
        <f>IF(H59="非个人房产","——","个人所得税")</f>
        <v>——</v>
      </c>
      <c r="L55" s="3077"/>
      <c r="M55" s="1754" t="str">
        <f>D59</f>
        <v>——</v>
      </c>
      <c r="N55" s="1807" t="str">
        <f>E59</f>
        <v>——</v>
      </c>
      <c r="O55" s="1755" t="str">
        <f>F59</f>
        <v>——</v>
      </c>
    </row>
    <row r="56" spans="1:35" ht="24.75">
      <c r="A56" s="3141" t="s">
        <v>2222</v>
      </c>
      <c r="B56" s="3123"/>
      <c r="C56" s="3123"/>
      <c r="D56" s="185">
        <f ca="1">IF(H56="个人住宅",D57,D58)</f>
        <v>227806</v>
      </c>
      <c r="E56" s="11" t="s">
        <v>2223</v>
      </c>
      <c r="F56" s="184" t="str">
        <f>IF(H56="正常",F58,"免征")</f>
        <v>——</v>
      </c>
      <c r="G56" s="2486" t="s">
        <v>2224</v>
      </c>
      <c r="H56" s="2487" t="s">
        <v>2221</v>
      </c>
      <c r="I56" s="2488"/>
      <c r="J56" s="1809" t="str">
        <f>IF(项目基本情况!K6="上海银行",IF(J55="",4,J55+1),"")</f>
        <v/>
      </c>
      <c r="K56" s="3060" t="str">
        <f>IF(项目基本情况!K6="上海银行","其他处置费用","")</f>
        <v/>
      </c>
      <c r="L56" s="3061"/>
      <c r="M56" s="1751" t="str">
        <f>IF(项目基本情况!K6="上海银行",M69,"")</f>
        <v/>
      </c>
      <c r="N56" s="3063" t="str">
        <f>IF(项目基本情况!K6="上海银行","包含处置中涉及的律师、诉讼、拍卖、评估等费用","")</f>
        <v/>
      </c>
      <c r="O56" s="3064"/>
    </row>
    <row r="57" spans="1:35" ht="12.75">
      <c r="A57" s="183" t="s">
        <v>2197</v>
      </c>
      <c r="B57" s="3108" t="s">
        <v>2225</v>
      </c>
      <c r="C57" s="3109"/>
      <c r="D57" s="187">
        <v>0</v>
      </c>
      <c r="E57" s="23" t="s">
        <v>2199</v>
      </c>
      <c r="F57" s="155"/>
      <c r="G57" s="2484"/>
      <c r="H57" s="2488"/>
      <c r="I57" s="2488"/>
      <c r="J57" s="3077">
        <f>IF(AND(J55="",J56=""),4,IF(项目基本情况!K6="上海银行",结果表!J56+1,结果表!J55+1))</f>
        <v>4</v>
      </c>
      <c r="K57" s="3077" t="s">
        <v>2226</v>
      </c>
      <c r="L57" s="2489" t="s">
        <v>2227</v>
      </c>
      <c r="M57" s="1756"/>
      <c r="N57" s="1757">
        <f ca="1">SUMIF(M52:M56,"&lt;9e307")</f>
        <v>228007</v>
      </c>
      <c r="O57" s="2490"/>
      <c r="P57" s="1750" t="e">
        <f ca="1">N57/M49</f>
        <v>#VALUE!</v>
      </c>
    </row>
    <row r="58" spans="1:35" ht="24.75">
      <c r="A58" s="183" t="s">
        <v>2208</v>
      </c>
      <c r="B58" s="3108" t="s">
        <v>2228</v>
      </c>
      <c r="C58" s="3121"/>
      <c r="D58" s="185">
        <f ca="1">IF(H58="转让取得",C81,C97)</f>
        <v>227806</v>
      </c>
      <c r="E58" s="11" t="s">
        <v>2223</v>
      </c>
      <c r="F58" s="24" t="s">
        <v>34</v>
      </c>
      <c r="G58" s="2484"/>
      <c r="H58" s="2487" t="s">
        <v>2229</v>
      </c>
      <c r="I58" s="2488"/>
      <c r="J58" s="3077"/>
      <c r="K58" s="3077"/>
      <c r="L58" s="2489" t="s">
        <v>2230</v>
      </c>
      <c r="M58" s="1758"/>
      <c r="N58" s="2491" t="str">
        <f ca="1">NUMBERSTRING(INT(N57*10000),2)&amp;"元整"</f>
        <v>贰拾贰亿捌仟零柒万元整</v>
      </c>
      <c r="O58" s="2492"/>
    </row>
    <row r="59" spans="1:35" ht="24.75" thickBot="1">
      <c r="A59" s="3081" t="s">
        <v>2231</v>
      </c>
      <c r="B59" s="3082"/>
      <c r="C59" s="3082"/>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79">
        <f>J57+1</f>
        <v>5</v>
      </c>
      <c r="K59" s="3077" t="s">
        <v>2233</v>
      </c>
      <c r="L59" s="1809" t="s">
        <v>2227</v>
      </c>
      <c r="M59" s="1759"/>
      <c r="N59" s="1760" t="e">
        <f ca="1">M49-N57</f>
        <v>#VALUE!</v>
      </c>
      <c r="O59" s="2494"/>
    </row>
    <row r="60" spans="1:35" ht="12" customHeight="1">
      <c r="A60" s="2495"/>
      <c r="B60" s="2417"/>
      <c r="C60" s="2417"/>
      <c r="D60" s="2417"/>
      <c r="E60" s="2165"/>
      <c r="F60" s="2488"/>
      <c r="G60" s="2488"/>
      <c r="H60" s="2496"/>
      <c r="I60" s="138"/>
      <c r="J60" s="3080"/>
      <c r="K60" s="3077"/>
      <c r="L60" s="2489" t="s">
        <v>2230</v>
      </c>
      <c r="M60" s="1758"/>
      <c r="N60" s="2491" t="e">
        <f ca="1">NUMBERSTRING(INT(N59*10000),2)&amp;"元整"</f>
        <v>#VALUE!</v>
      </c>
      <c r="O60" s="2492"/>
    </row>
    <row r="61" spans="1:35" ht="13.5" thickBot="1">
      <c r="A61" s="3140" t="s">
        <v>2234</v>
      </c>
      <c r="B61" s="3140"/>
      <c r="C61" s="3140"/>
      <c r="D61" s="3140"/>
      <c r="E61" s="3140"/>
      <c r="F61" s="2488"/>
      <c r="G61" s="2488"/>
      <c r="H61" s="2496"/>
      <c r="I61" s="138"/>
      <c r="J61" s="1809">
        <f>J59+1</f>
        <v>6</v>
      </c>
      <c r="K61" s="3077" t="s">
        <v>2235</v>
      </c>
      <c r="L61" s="3077"/>
      <c r="M61" s="1761"/>
      <c r="N61" s="1762" t="e">
        <f ca="1">ROUND(N59*10000/'数据-汇总表'!E3,0)</f>
        <v>#VALUE!</v>
      </c>
      <c r="O61" s="2497"/>
    </row>
    <row r="62" spans="1:35" ht="12.75">
      <c r="A62" s="3097" t="s">
        <v>2236</v>
      </c>
      <c r="B62" s="3098"/>
      <c r="C62" s="1801"/>
      <c r="D62" s="1801" t="s">
        <v>2237</v>
      </c>
      <c r="E62" s="192" t="s">
        <v>2238</v>
      </c>
      <c r="F62" s="2488"/>
      <c r="G62" s="2488"/>
      <c r="H62" s="2496"/>
      <c r="I62" s="138"/>
    </row>
    <row r="63" spans="1:35" ht="12.75">
      <c r="A63" s="203" t="s">
        <v>775</v>
      </c>
      <c r="B63" s="193" t="s">
        <v>2239</v>
      </c>
      <c r="C63" s="194">
        <f ca="1">ROUND((C64+C65)/(1+'数据-取费表'!C42),0)</f>
        <v>383319</v>
      </c>
      <c r="D63" s="195"/>
      <c r="E63" s="196"/>
      <c r="F63" s="2488"/>
      <c r="G63" s="2488"/>
      <c r="H63" s="2496"/>
      <c r="I63" s="138"/>
      <c r="J63" s="3062" t="s">
        <v>2240</v>
      </c>
      <c r="K63" s="2498" t="s">
        <v>2241</v>
      </c>
      <c r="L63" s="1749"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402485</v>
      </c>
      <c r="D64" s="200" t="s">
        <v>32</v>
      </c>
      <c r="E64" s="201"/>
      <c r="F64" s="2488"/>
      <c r="G64" s="2488"/>
      <c r="H64" s="2496"/>
      <c r="I64" s="138"/>
      <c r="J64" s="3062"/>
      <c r="K64" s="2498"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062"/>
      <c r="K65" s="2498" t="s">
        <v>2246</v>
      </c>
      <c r="L65" s="1749"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3" t="s">
        <v>1366</v>
      </c>
      <c r="F66" s="2488"/>
      <c r="G66" s="2488"/>
      <c r="H66" s="2496"/>
      <c r="I66" s="138"/>
      <c r="J66" s="3062"/>
      <c r="K66" s="2498" t="s">
        <v>2248</v>
      </c>
      <c r="L66" s="1749" t="e">
        <f>M49*0.5%</f>
        <v>#VALUE!</v>
      </c>
      <c r="M66" s="24" t="e">
        <f>IF(L66&gt;0.5,0.5,ROUND(L66,0))</f>
        <v>#VALUE!</v>
      </c>
      <c r="N66" s="138" t="s">
        <v>2249</v>
      </c>
      <c r="Z66" s="2422"/>
      <c r="AI66" s="2423"/>
    </row>
    <row r="67" spans="1:35" ht="14.25" customHeight="1">
      <c r="A67" s="203" t="s">
        <v>773</v>
      </c>
      <c r="B67" s="204" t="s">
        <v>2250</v>
      </c>
      <c r="C67" s="207">
        <f ca="1">C63-C66</f>
        <v>383319</v>
      </c>
      <c r="D67" s="200" t="s">
        <v>32</v>
      </c>
      <c r="E67" s="201"/>
      <c r="F67" s="2488"/>
      <c r="G67" s="2488"/>
      <c r="H67" s="2496"/>
      <c r="I67" s="138"/>
      <c r="J67" s="3062"/>
      <c r="K67" s="2498"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21466</v>
      </c>
      <c r="D68" s="211">
        <f>'数据-取费表'!B41</f>
        <v>5.6000000000000001E-2</v>
      </c>
      <c r="E68" s="212"/>
      <c r="F68" s="2488"/>
      <c r="G68" s="2488"/>
      <c r="H68" s="2496"/>
      <c r="I68" s="138"/>
      <c r="J68" s="3062"/>
      <c r="K68" s="2498" t="s">
        <v>2253</v>
      </c>
      <c r="L68" s="1749"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62"/>
      <c r="K69" s="2498" t="s">
        <v>2254</v>
      </c>
      <c r="L69" s="2504"/>
      <c r="M69" s="24" t="e">
        <f>ROUND(SUM(M63:M68),0)</f>
        <v>#VALUE!</v>
      </c>
      <c r="N69" s="1750"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6" t="s">
        <v>2255</v>
      </c>
      <c r="B70" s="3107"/>
      <c r="C70" s="3107"/>
      <c r="D70" s="3107"/>
      <c r="E70" s="3107"/>
      <c r="F70" s="3107"/>
      <c r="G70" s="3107"/>
      <c r="H70" s="310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7" t="s">
        <v>2236</v>
      </c>
      <c r="B71" s="3098"/>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383319</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2300</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03" t="s">
        <v>2264</v>
      </c>
      <c r="F76" s="3102"/>
      <c r="G76" s="3102"/>
      <c r="H76" s="310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2300</v>
      </c>
      <c r="D78" s="226">
        <f>'数据-取费表'!B43</f>
        <v>6.000000000000001E-3</v>
      </c>
      <c r="E78" s="3094" t="s">
        <v>2269</v>
      </c>
      <c r="F78" s="3095"/>
      <c r="G78" s="3095"/>
      <c r="H78" s="309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381019</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165.66043478260869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227806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6" t="s">
        <v>2273</v>
      </c>
      <c r="B83" s="3107"/>
      <c r="C83" s="3107"/>
      <c r="D83" s="3107"/>
      <c r="E83" s="3107"/>
      <c r="F83" s="3107"/>
      <c r="G83" s="3107"/>
      <c r="H83" s="310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7" t="s">
        <v>2236</v>
      </c>
      <c r="B84" s="3098"/>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383319</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2300</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94" t="s">
        <v>2282</v>
      </c>
      <c r="F91" s="3095"/>
      <c r="G91" s="3095"/>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94" t="s">
        <v>2286</v>
      </c>
      <c r="F92" s="3095"/>
      <c r="G92" s="3095"/>
      <c r="H92" s="309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2300</v>
      </c>
      <c r="D93" s="226">
        <f>'数据-取费表'!B43</f>
        <v>6.000000000000001E-3</v>
      </c>
      <c r="E93" s="3094" t="s">
        <v>2269</v>
      </c>
      <c r="F93" s="3095"/>
      <c r="G93" s="3095"/>
      <c r="H93" s="309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42" t="s">
        <v>2290</v>
      </c>
      <c r="F94" s="3143"/>
      <c r="G94" s="3143"/>
      <c r="H94" s="314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381019</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165.66043478260869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227806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46" t="s">
        <v>2292</v>
      </c>
      <c r="B100" s="3047"/>
      <c r="C100" s="3047"/>
      <c r="D100" s="3078"/>
      <c r="E100" s="3047" t="s">
        <v>2293</v>
      </c>
      <c r="F100" s="3047"/>
      <c r="G100" s="3047"/>
      <c r="H100" s="3078"/>
      <c r="I100" s="138"/>
    </row>
    <row r="101" spans="1:35" ht="18.75" customHeight="1">
      <c r="A101" s="3086" t="s">
        <v>2294</v>
      </c>
      <c r="B101" s="3087"/>
      <c r="C101" s="736" t="str">
        <f>C4</f>
        <v>成本法 (元)</v>
      </c>
      <c r="D101" s="737" t="str">
        <f>D4</f>
        <v>收益法 (元)</v>
      </c>
      <c r="E101" s="3058" t="s">
        <v>2295</v>
      </c>
      <c r="F101" s="3059"/>
      <c r="G101" s="2519" t="s">
        <v>2296</v>
      </c>
      <c r="H101" s="1045">
        <f ca="1">H118</f>
        <v>402485</v>
      </c>
      <c r="I101" s="138"/>
    </row>
    <row r="102" spans="1:35" ht="18.75" customHeight="1">
      <c r="A102" s="3088" t="s">
        <v>2297</v>
      </c>
      <c r="B102" s="2519" t="s">
        <v>2296</v>
      </c>
      <c r="C102" s="736">
        <f ca="1">C19</f>
        <v>418716</v>
      </c>
      <c r="D102" s="737">
        <f ca="1">D19</f>
        <v>386253</v>
      </c>
      <c r="E102" s="3058"/>
      <c r="F102" s="3059"/>
      <c r="G102" s="2519" t="s">
        <v>2298</v>
      </c>
      <c r="H102" s="371">
        <f ca="1">I118</f>
        <v>40117</v>
      </c>
      <c r="I102" s="138"/>
    </row>
    <row r="103" spans="1:35" ht="42.75" customHeight="1">
      <c r="A103" s="3088"/>
      <c r="B103" s="2519" t="s">
        <v>2298</v>
      </c>
      <c r="C103" s="738">
        <f ca="1">C20</f>
        <v>41735</v>
      </c>
      <c r="D103" s="739">
        <f ca="1">D20</f>
        <v>38499</v>
      </c>
      <c r="E103" s="3052" t="s">
        <v>2299</v>
      </c>
      <c r="F103" s="3053"/>
      <c r="G103" s="2520" t="s">
        <v>2300</v>
      </c>
      <c r="H103" s="1045">
        <f>IF(D36="正常操作",H104+H105+H106,H105+H106)</f>
        <v>0</v>
      </c>
      <c r="I103" s="138"/>
    </row>
    <row r="104" spans="1:35" ht="18.75" customHeight="1">
      <c r="A104" s="3088" t="s">
        <v>2301</v>
      </c>
      <c r="B104" s="2521" t="s">
        <v>2296</v>
      </c>
      <c r="C104" s="740">
        <f ca="1">H118</f>
        <v>402485</v>
      </c>
      <c r="D104" s="741"/>
      <c r="E104" s="2266" t="s">
        <v>2302</v>
      </c>
      <c r="F104" s="2257"/>
      <c r="G104" s="2520" t="s">
        <v>2300</v>
      </c>
      <c r="H104" s="1046">
        <f>IF(D36="同一抵押权人同一抵押物续贷",C36&amp;"（未扣减，详见特别提示）",C36)</f>
        <v>0</v>
      </c>
      <c r="I104" s="138"/>
    </row>
    <row r="105" spans="1:35" ht="18.75" customHeight="1" thickBot="1">
      <c r="A105" s="3100"/>
      <c r="B105" s="2522" t="s">
        <v>2298</v>
      </c>
      <c r="C105" s="742">
        <f ca="1">I118</f>
        <v>40117</v>
      </c>
      <c r="D105" s="743"/>
      <c r="E105" s="2266" t="s">
        <v>2303</v>
      </c>
      <c r="F105" s="2257"/>
      <c r="G105" s="2520" t="s">
        <v>2300</v>
      </c>
      <c r="H105" s="1046">
        <f>C37</f>
        <v>0</v>
      </c>
      <c r="I105" s="138"/>
    </row>
    <row r="106" spans="1:35" ht="18.75" customHeight="1">
      <c r="A106" s="2417" t="s">
        <v>2304</v>
      </c>
      <c r="B106" s="2417"/>
      <c r="C106" s="2417"/>
      <c r="D106" s="2417"/>
      <c r="E106" s="2523" t="s">
        <v>2305</v>
      </c>
      <c r="F106" s="2257"/>
      <c r="G106" s="2520" t="s">
        <v>2300</v>
      </c>
      <c r="H106" s="1046">
        <f>C38</f>
        <v>0</v>
      </c>
      <c r="I106" s="138"/>
    </row>
    <row r="107" spans="1:35" ht="18.75" customHeight="1">
      <c r="A107" s="138"/>
      <c r="B107" s="138"/>
      <c r="C107" s="138"/>
      <c r="D107" s="138"/>
      <c r="E107" s="3089" t="str">
        <f>IF(项目基本情况!E8="已注销","——","3.房地产抵押价值")</f>
        <v>3.房地产抵押价值</v>
      </c>
      <c r="F107" s="3059"/>
      <c r="G107" s="2519" t="s">
        <v>2296</v>
      </c>
      <c r="H107" s="1045">
        <f ca="1">IF(E107="——","——",H101-H103)</f>
        <v>402485</v>
      </c>
      <c r="I107" s="138"/>
    </row>
    <row r="108" spans="1:35" ht="18.75" customHeight="1">
      <c r="A108" s="138"/>
      <c r="B108" s="138"/>
      <c r="C108" s="138"/>
      <c r="D108" s="138"/>
      <c r="E108" s="3089"/>
      <c r="F108" s="3059"/>
      <c r="G108" s="2519" t="s">
        <v>2298</v>
      </c>
      <c r="H108" s="371">
        <f ca="1">ROUND(H107*10000/'数据-汇总表'!E3,0)</f>
        <v>40117</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19" t="s">
        <v>2296</v>
      </c>
      <c r="H109" s="348" t="str">
        <f>IF(E109="——","——",H101-H105-H106)</f>
        <v>——</v>
      </c>
      <c r="I109" s="138"/>
    </row>
    <row r="110" spans="1:35" ht="18.75" customHeight="1">
      <c r="A110" s="138"/>
      <c r="B110" s="138"/>
      <c r="C110" s="138"/>
      <c r="D110" s="138"/>
      <c r="E110" s="3089"/>
      <c r="F110" s="3059"/>
      <c r="G110" s="2519" t="s">
        <v>2298</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19" t="s">
        <v>2296</v>
      </c>
      <c r="H111" s="1045" t="str">
        <f>IF(E111="——","——",N59)</f>
        <v>——</v>
      </c>
      <c r="I111" s="138"/>
    </row>
    <row r="112" spans="1:35" ht="18.75" customHeight="1" thickBot="1">
      <c r="A112" s="138"/>
      <c r="B112" s="138"/>
      <c r="C112" s="138"/>
      <c r="D112" s="138"/>
      <c r="E112" s="3092"/>
      <c r="F112" s="3093"/>
      <c r="G112" s="2524" t="s">
        <v>2298</v>
      </c>
      <c r="H112" s="790" t="str">
        <f>IF(E111="——","——",N61)</f>
        <v>——</v>
      </c>
      <c r="I112" s="138"/>
    </row>
    <row r="113" spans="1:11" ht="18.75" customHeight="1">
      <c r="A113" s="138"/>
      <c r="B113" s="138"/>
      <c r="C113" s="138"/>
      <c r="D113" s="138"/>
      <c r="E113" s="3101" t="s">
        <v>2304</v>
      </c>
      <c r="F113" s="3101"/>
      <c r="G113" s="3101"/>
      <c r="H113" s="3101"/>
      <c r="I113" s="138"/>
    </row>
    <row r="114" spans="1:11" ht="3.75" customHeight="1">
      <c r="A114" s="2417"/>
      <c r="B114" s="2417"/>
      <c r="C114" s="2417"/>
      <c r="D114" s="2417"/>
      <c r="E114" s="2495"/>
      <c r="F114" s="2495"/>
      <c r="G114" s="2495"/>
      <c r="H114" s="2495"/>
      <c r="I114" s="2417"/>
    </row>
    <row r="115" spans="1:11" ht="18.75" customHeight="1">
      <c r="A115" s="3114" t="s">
        <v>2306</v>
      </c>
      <c r="B115" s="3115"/>
      <c r="C115" s="3115"/>
      <c r="D115" s="3115"/>
      <c r="E115" s="3115"/>
      <c r="F115" s="3115"/>
      <c r="G115" s="3115"/>
      <c r="H115" s="3115"/>
      <c r="I115" s="3116"/>
    </row>
    <row r="116" spans="1:11" ht="27" customHeight="1">
      <c r="A116" s="3025" t="s">
        <v>2307</v>
      </c>
      <c r="B116" s="3068" t="s">
        <v>2308</v>
      </c>
      <c r="C116" s="3068" t="s">
        <v>2309</v>
      </c>
      <c r="D116" s="3074" t="s">
        <v>2310</v>
      </c>
      <c r="E116" s="3075"/>
      <c r="F116" s="3110" t="s">
        <v>2311</v>
      </c>
      <c r="G116" s="3110"/>
      <c r="H116" s="3025" t="s">
        <v>2312</v>
      </c>
      <c r="I116" s="3025"/>
    </row>
    <row r="117" spans="1:11" ht="18.75" customHeight="1">
      <c r="A117" s="3025"/>
      <c r="B117" s="3069"/>
      <c r="C117" s="3069"/>
      <c r="D117" s="1795" t="s">
        <v>2313</v>
      </c>
      <c r="E117" s="1795" t="s">
        <v>2314</v>
      </c>
      <c r="F117" s="1795" t="s">
        <v>2313</v>
      </c>
      <c r="G117" s="1795" t="s">
        <v>2315</v>
      </c>
      <c r="H117" s="1795" t="s">
        <v>2313</v>
      </c>
      <c r="I117" s="1795" t="s">
        <v>2315</v>
      </c>
    </row>
    <row r="118" spans="1:11" ht="24.75" customHeight="1">
      <c r="A118" s="2525" t="str">
        <f>项目基本情况!S2</f>
        <v>北京市房地产</v>
      </c>
      <c r="B118" s="1795">
        <f>M18</f>
        <v>100326.75000000001</v>
      </c>
      <c r="C118" s="1795">
        <f>M19</f>
        <v>22104.58</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402485</v>
      </c>
      <c r="I118" s="1795">
        <f ca="1">ROUND(IF(D32="楼面单价",C32,H118*10000/B118),0)</f>
        <v>40117</v>
      </c>
    </row>
    <row r="119" spans="1:11" ht="18.75" customHeight="1">
      <c r="A119" s="3025" t="s">
        <v>2316</v>
      </c>
      <c r="B119" s="3025"/>
      <c r="C119" s="3025"/>
      <c r="D119" s="3070" t="e">
        <f ca="1">NUMBERSTRING(INT(D118*10000),2)&amp;"元整"</f>
        <v>#REF!</v>
      </c>
      <c r="E119" s="3071"/>
      <c r="F119" s="3070" t="e">
        <f ca="1">NUMBERSTRING(INT(F118*10000),2)&amp;"元整"</f>
        <v>#REF!</v>
      </c>
      <c r="G119" s="3071"/>
      <c r="H119" s="3070" t="str">
        <f ca="1">NUMBERSTRING(INT(H118*10000),2)&amp;"元整"</f>
        <v>肆拾亿贰仟肆佰捌拾伍万元整</v>
      </c>
      <c r="I119" s="3071"/>
    </row>
    <row r="120" spans="1:11" ht="18.75" customHeight="1">
      <c r="A120" s="3065" t="str">
        <f>IF(项目基本情况!B9="房地产市场价值","",MID(E103,3,LEN(E103)-2))</f>
        <v/>
      </c>
      <c r="B120" s="3066"/>
      <c r="C120" s="3067"/>
      <c r="D120" s="3065">
        <f>H103</f>
        <v>0</v>
      </c>
      <c r="E120" s="3066"/>
      <c r="F120" s="3066"/>
      <c r="G120" s="3066"/>
      <c r="H120" s="3066"/>
      <c r="I120" s="3067"/>
      <c r="K120" s="2422" t="str">
        <f>IF(D120=0,"故，本次评估不存在"&amp;A120,"故，本次评估"&amp;A120&amp;"为人民币"&amp;D120&amp;"万元整。")</f>
        <v>故，本次评估不存在</v>
      </c>
    </row>
    <row r="121" spans="1:11" ht="18.75" customHeight="1">
      <c r="A121" s="3111" t="s">
        <v>2316</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
      </c>
      <c r="B122" s="3076"/>
      <c r="C122" s="3076"/>
      <c r="D122" s="3065">
        <f ca="1">H107</f>
        <v>402485</v>
      </c>
      <c r="E122" s="3066"/>
      <c r="F122" s="3066"/>
      <c r="G122" s="3066"/>
      <c r="H122" s="3066"/>
      <c r="I122" s="3067"/>
    </row>
    <row r="123" spans="1:11" ht="18.75" customHeight="1">
      <c r="A123" s="3025" t="s">
        <v>2316</v>
      </c>
      <c r="B123" s="3025"/>
      <c r="C123" s="3025"/>
      <c r="D123" s="3070" t="str">
        <f ca="1">NUMBERSTRING(INT(D122*10000),2)&amp;"元整"</f>
        <v>肆拾亿贰仟肆佰捌拾伍万元整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2316</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2316</v>
      </c>
      <c r="B127" s="3025"/>
      <c r="C127" s="3025"/>
      <c r="D127" s="3070" t="e">
        <f>NUMBERSTRING(INT(D126*10000),2)&amp;"元整"</f>
        <v>#VALUE!</v>
      </c>
      <c r="E127" s="3072"/>
      <c r="F127" s="3072"/>
      <c r="G127" s="3072"/>
      <c r="H127" s="3072"/>
      <c r="I127" s="3071"/>
    </row>
    <row r="128" spans="1:11" ht="21.75" customHeight="1">
      <c r="A128" s="3073" t="s">
        <v>2317</v>
      </c>
      <c r="B128" s="3073"/>
      <c r="C128" s="3073"/>
      <c r="D128" s="3073"/>
      <c r="E128" s="3073"/>
      <c r="F128" s="3073"/>
      <c r="G128" s="3073"/>
      <c r="H128" s="3073"/>
      <c r="I128" s="3073"/>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24" sqref="F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39513</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3938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c r="H9" s="1390"/>
      <c r="I9" s="2553" t="s">
        <v>2343</v>
      </c>
    </row>
    <row r="10" spans="1:9" s="258" customFormat="1" ht="13.5" customHeight="1">
      <c r="A10" s="950" t="s">
        <v>801</v>
      </c>
      <c r="B10" s="268" t="s">
        <v>2344</v>
      </c>
      <c r="C10" s="269">
        <f ca="1">ROUND(D10*E10/10000,0)</f>
        <v>2007</v>
      </c>
      <c r="D10" s="1032">
        <f ca="1">IF(B1="",'数据-汇总表'!E6,IF(INDIRECT("'数据-取费表'!c"&amp;$G$1)="住宅",INDIRECT("'数据-取费表'!s"&amp;$G$1),INDIRECT("'数据-取费表'!k"&amp;$G$1)+INDIRECT("'数据-取费表'!s"&amp;$G$1)))</f>
        <v>100326.75000000001</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2007</v>
      </c>
      <c r="D19" s="1036">
        <f ca="1">D9+D10</f>
        <v>100326.75000000001</v>
      </c>
      <c r="E19" s="255">
        <f>'数据-取费表'!B31</f>
        <v>200</v>
      </c>
      <c r="F19" s="275"/>
      <c r="G19" s="2551"/>
    </row>
    <row r="20" spans="1:7" s="258" customFormat="1" ht="13.5" customHeight="1">
      <c r="A20" s="299" t="s">
        <v>2357</v>
      </c>
      <c r="B20" s="254" t="s">
        <v>2358</v>
      </c>
      <c r="C20" s="276">
        <f ca="1">ROUND((C5+C19)*F20,0)</f>
        <v>60</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198</v>
      </c>
      <c r="D22" s="279">
        <f ca="1">C26</f>
        <v>1.4E-3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195</v>
      </c>
      <c r="D24" s="282"/>
      <c r="E24" s="282"/>
      <c r="F24" s="283"/>
      <c r="G24" s="284" t="s">
        <v>2371</v>
      </c>
    </row>
    <row r="25" spans="1:7" s="258" customFormat="1" ht="24">
      <c r="A25" s="951" t="s">
        <v>2372</v>
      </c>
      <c r="B25" s="259" t="s">
        <v>2373</v>
      </c>
      <c r="C25" s="1355">
        <f ca="1">ROUND(IF('数据-取费表'!B22&lt;=1,C20*F22*'数据-取费表'!B23/2,C20*(POWER((1+F22),'数据-取费表'!B23/2)-1)),0)</f>
        <v>3</v>
      </c>
      <c r="D25" s="282"/>
      <c r="E25" s="285"/>
      <c r="F25" s="283"/>
      <c r="G25" s="286" t="s">
        <v>2374</v>
      </c>
    </row>
    <row r="26" spans="1:7" s="258" customFormat="1">
      <c r="A26" s="951"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310</v>
      </c>
      <c r="D27" s="279">
        <f ca="1">C29</f>
        <v>4.4999999999999997E-3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310</v>
      </c>
      <c r="D28" s="279"/>
      <c r="E28" s="280"/>
      <c r="F28" s="290"/>
      <c r="G28" s="291"/>
    </row>
    <row r="29" spans="1:7" s="258" customFormat="1" ht="13.5" customHeight="1">
      <c r="A29" s="951" t="s">
        <v>792</v>
      </c>
      <c r="B29" s="292" t="s">
        <v>2381</v>
      </c>
      <c r="C29" s="282">
        <f ca="1">ROUND(C21*F27*'数据-取费表'!B21/'数据-取费表'!B20,4)</f>
        <v>4.4999999999999997E-3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2827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38701</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35114</v>
      </c>
      <c r="D34" s="261"/>
      <c r="E34" s="264"/>
      <c r="F34" s="301">
        <f ca="1">IF('数据-取费表'!B24=0,1,IF(B1="",'数据-取费表'!N16,INDIRECT("'数据-取费表'!n"&amp;$G$1)))</f>
        <v>1</v>
      </c>
      <c r="G34" s="263" t="s">
        <v>2390</v>
      </c>
    </row>
    <row r="35" spans="1:7" ht="13.5" customHeight="1">
      <c r="A35" s="951" t="s">
        <v>796</v>
      </c>
      <c r="B35" s="259" t="s">
        <v>2391</v>
      </c>
      <c r="C35" s="264">
        <f ca="1">ROUND(C34*F35,0)</f>
        <v>1053</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2007</v>
      </c>
      <c r="D37" s="261">
        <f ca="1">D19</f>
        <v>100326.75000000001</v>
      </c>
      <c r="E37" s="293">
        <f>'数据-取费表'!B35</f>
        <v>200</v>
      </c>
      <c r="F37" s="303"/>
      <c r="G37" s="305" t="s">
        <v>2396</v>
      </c>
    </row>
    <row r="38" spans="1:7" ht="13.5" customHeight="1">
      <c r="A38" s="951" t="s">
        <v>799</v>
      </c>
      <c r="B38" s="259" t="s">
        <v>2397</v>
      </c>
      <c r="C38" s="264">
        <f ca="1">ROUND(C34*F38,0)</f>
        <v>527</v>
      </c>
      <c r="D38" s="264"/>
      <c r="E38" s="264"/>
      <c r="F38" s="303">
        <f>'数据-取费表'!B36</f>
        <v>1.4999999999999999E-2</v>
      </c>
      <c r="G38" s="263" t="s">
        <v>2392</v>
      </c>
    </row>
    <row r="39" spans="1:7" s="258" customFormat="1" ht="13.5" customHeight="1">
      <c r="A39" s="299" t="s">
        <v>2398</v>
      </c>
      <c r="B39" s="254" t="s">
        <v>2399</v>
      </c>
      <c r="C39" s="276">
        <f ca="1">ROUND(C33*F20,0)</f>
        <v>1161</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1893</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1838</v>
      </c>
      <c r="D42" s="282"/>
      <c r="E42" s="282"/>
      <c r="F42" s="283"/>
      <c r="G42" s="3145" t="s">
        <v>2408</v>
      </c>
    </row>
    <row r="43" spans="1:7" ht="13.5" customHeight="1">
      <c r="A43" s="951" t="s">
        <v>792</v>
      </c>
      <c r="B43" s="259" t="s">
        <v>2409</v>
      </c>
      <c r="C43" s="282">
        <f ca="1">ROUND(IF('数据-取费表'!B22&lt;=1,C39*F22*'数据-取费表'!B21/2,C39*(POWER((1+F22),'数据-取费表'!B21/2)-1)),0)</f>
        <v>55</v>
      </c>
      <c r="D43" s="282"/>
      <c r="E43" s="282"/>
      <c r="F43" s="283"/>
      <c r="G43" s="3146"/>
    </row>
    <row r="44" spans="1:7" ht="13.5" customHeight="1">
      <c r="A44" s="951" t="s">
        <v>793</v>
      </c>
      <c r="B44" s="259" t="s">
        <v>2410</v>
      </c>
      <c r="C44" s="282">
        <f ca="1">ROUND(IF('数据-取费表'!B22&lt;=1,C40*F22*'数据-取费表'!B21/2,C40*(POWER((1+F22),'数据-取费表'!B21/2)-1)),4)</f>
        <v>1.4E-3</v>
      </c>
      <c r="D44" s="282"/>
      <c r="E44" s="282"/>
      <c r="F44" s="283"/>
      <c r="G44" s="3147"/>
    </row>
    <row r="45" spans="1:7" s="258" customFormat="1" ht="13.5" customHeight="1">
      <c r="A45" s="299" t="s">
        <v>2411</v>
      </c>
      <c r="B45" s="288" t="s">
        <v>2377</v>
      </c>
      <c r="C45" s="289">
        <f ca="1">C46</f>
        <v>5979</v>
      </c>
      <c r="D45" s="279">
        <f ca="1">C47</f>
        <v>4.4999999999999997E-3</v>
      </c>
      <c r="E45" s="280" t="s">
        <v>2403</v>
      </c>
      <c r="F45" s="290"/>
      <c r="G45" s="291" t="s">
        <v>2412</v>
      </c>
    </row>
    <row r="46" spans="1:7" s="258" customFormat="1" ht="13.5" customHeight="1">
      <c r="A46" s="951" t="s">
        <v>791</v>
      </c>
      <c r="B46" s="292" t="s">
        <v>2413</v>
      </c>
      <c r="C46" s="293">
        <f ca="1">ROUND((C33+C39)*F27,0)</f>
        <v>5979</v>
      </c>
      <c r="D46" s="307"/>
      <c r="E46" s="280"/>
      <c r="F46" s="290"/>
      <c r="G46" s="291"/>
    </row>
    <row r="47" spans="1:7" s="258" customFormat="1" ht="13.5" customHeight="1">
      <c r="A47" s="951" t="s">
        <v>792</v>
      </c>
      <c r="B47" s="292" t="s">
        <v>2414</v>
      </c>
      <c r="C47" s="282">
        <f ca="1">ROUND(C40*F27,4)</f>
        <v>4.4999999999999997E-3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52409</v>
      </c>
      <c r="D49" s="276"/>
      <c r="E49" s="276"/>
      <c r="F49" s="308"/>
      <c r="G49" s="278" t="s">
        <v>2418</v>
      </c>
    </row>
    <row r="50" spans="1:7" s="302" customFormat="1" ht="24">
      <c r="A50" s="299" t="s">
        <v>2419</v>
      </c>
      <c r="B50" s="254" t="s">
        <v>2420</v>
      </c>
      <c r="C50" s="276"/>
      <c r="D50" s="276"/>
      <c r="E50" s="276"/>
      <c r="F50" s="308">
        <f>IF('数据-取费表'!B24=0,'数据-取费表'!N16,1)</f>
        <v>0.7</v>
      </c>
      <c r="G50" s="291" t="s">
        <v>2421</v>
      </c>
    </row>
    <row r="51" spans="1:7" ht="16.5" customHeight="1">
      <c r="A51" s="299" t="s">
        <v>2422</v>
      </c>
      <c r="B51" s="254" t="s">
        <v>2423</v>
      </c>
      <c r="C51" s="276">
        <f ca="1">ROUND(C49*F50,0)</f>
        <v>36686</v>
      </c>
      <c r="D51" s="276"/>
      <c r="E51" s="276"/>
      <c r="F51" s="308"/>
      <c r="G51" s="278" t="s">
        <v>2424</v>
      </c>
    </row>
    <row r="52" spans="1:7" s="252" customFormat="1" ht="16.5" thickBot="1">
      <c r="A52" s="309" t="s">
        <v>2425</v>
      </c>
      <c r="B52" s="310"/>
      <c r="C52" s="311">
        <f ca="1">C31+C51</f>
        <v>39513</v>
      </c>
      <c r="D52" s="310"/>
      <c r="E52" s="310"/>
      <c r="F52" s="310"/>
      <c r="G52" s="312"/>
    </row>
    <row r="55" spans="1:7" ht="15">
      <c r="B55" s="314" t="s">
        <v>2426</v>
      </c>
      <c r="C55" s="315"/>
    </row>
    <row r="56" spans="1:7">
      <c r="B56" s="317" t="s">
        <v>1507</v>
      </c>
      <c r="C56" s="319">
        <f ca="1">1-C57</f>
        <v>7.1999999999999953E-2</v>
      </c>
    </row>
    <row r="57" spans="1:7">
      <c r="B57" s="317" t="s">
        <v>1508</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D13" sqref="D1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北京市房地产市场价值预评估</v>
      </c>
      <c r="C37" s="2959"/>
      <c r="D37" s="2959"/>
      <c r="E37" s="2959"/>
      <c r="F37" s="2959"/>
      <c r="G37" s="2959"/>
      <c r="H37" s="2959"/>
      <c r="I37" s="295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t="s">
        <v>1372</v>
      </c>
      <c r="C1" s="2554" t="s">
        <v>2427</v>
      </c>
      <c r="D1" s="242"/>
      <c r="E1" s="242"/>
      <c r="F1" s="242"/>
      <c r="G1" s="1379">
        <f>MATCH(B1,'数据-取费表'!A6:A16,0)+5</f>
        <v>6</v>
      </c>
      <c r="H1" s="1282" t="str">
        <f>IF(ISERROR(FIND("住宅",B1)),"非住宅","住宅")</f>
        <v>非住宅</v>
      </c>
    </row>
    <row r="2" spans="1:8" s="244" customFormat="1" ht="18" customHeight="1">
      <c r="A2" s="245" t="s">
        <v>2326</v>
      </c>
      <c r="B2" s="246">
        <f ca="1">ROUND(IF(D2="——",C52/10000,C52/10000-E2),0)</f>
        <v>418716</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41735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2711635111.5000005</v>
      </c>
      <c r="D5" s="255" t="s">
        <v>2333</v>
      </c>
      <c r="E5" s="256" t="s">
        <v>2334</v>
      </c>
      <c r="F5" s="256" t="s">
        <v>2335</v>
      </c>
      <c r="G5" s="257"/>
    </row>
    <row r="6" spans="1:8" s="258" customFormat="1" ht="13.5" customHeight="1">
      <c r="A6" s="949" t="s">
        <v>2336</v>
      </c>
      <c r="B6" s="259" t="s">
        <v>2337</v>
      </c>
      <c r="C6" s="260">
        <f ca="1">基准地价修正!C29*'数据-基础表'!B3</f>
        <v>2611906609.5000005</v>
      </c>
      <c r="D6" s="261"/>
      <c r="E6" s="262"/>
      <c r="F6" s="262"/>
      <c r="G6" s="263"/>
    </row>
    <row r="7" spans="1:8" s="258" customFormat="1" ht="13.5" customHeight="1">
      <c r="A7" s="949" t="s">
        <v>2338</v>
      </c>
      <c r="B7" s="259" t="s">
        <v>2339</v>
      </c>
      <c r="C7" s="264">
        <f ca="1">ROUND(C6*F7,0)</f>
        <v>79663152</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20065350</v>
      </c>
      <c r="D8" s="266"/>
      <c r="E8" s="264"/>
      <c r="F8" s="265"/>
      <c r="G8" s="2551" t="s">
        <v>3071</v>
      </c>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20065350</v>
      </c>
      <c r="D10" s="1032">
        <f ca="1">IF(B1="",'数据-汇总表'!E6,IF(INDIRECT("'数据-取费表'!c"&amp;$G$1)="住宅",INDIRECT("'数据-取费表'!s"&amp;$G$1),INDIRECT("'数据-取费表'!k"&amp;$G$1)+INDIRECT("'数据-取费表'!s"&amp;$G$1)))</f>
        <v>100326.75000000001</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t="str">
        <f>IF(G19="已包含在土地取得成本中","0",ROUND(D19*E19,0))</f>
        <v>0</v>
      </c>
      <c r="D19" s="1036">
        <f ca="1">D9+D10</f>
        <v>100326.75000000001</v>
      </c>
      <c r="E19" s="255">
        <f>'数据-取费表'!B31</f>
        <v>200</v>
      </c>
      <c r="F19" s="275"/>
      <c r="G19" s="2551" t="s">
        <v>3072</v>
      </c>
    </row>
    <row r="20" spans="1:7" s="258" customFormat="1" ht="13.5" customHeight="1">
      <c r="A20" s="299" t="s">
        <v>2438</v>
      </c>
      <c r="B20" s="254" t="s">
        <v>2439</v>
      </c>
      <c r="C20" s="276">
        <f ca="1">ROUND((C5+C19)*F20,0)</f>
        <v>81349053</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267587542</v>
      </c>
      <c r="D22" s="279">
        <f ca="1">C26</f>
        <v>1.4E-3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263723462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0</v>
      </c>
      <c r="D24" s="282"/>
      <c r="E24" s="282"/>
      <c r="F24" s="283"/>
      <c r="G24" s="284" t="s">
        <v>2450</v>
      </c>
    </row>
    <row r="25" spans="1:7" s="258" customFormat="1" ht="24">
      <c r="A25" s="951" t="s">
        <v>2340</v>
      </c>
      <c r="B25" s="259" t="s">
        <v>2451</v>
      </c>
      <c r="C25" s="1381">
        <f ca="1">ROUND(IF('数据-取费表'!B22&lt;=1,C20*F22*'数据-取费表'!B22/2,C20*(POWER((1+F22),'数据-取费表'!B22/2)-1)),0)</f>
        <v>3864080</v>
      </c>
      <c r="D25" s="282"/>
      <c r="E25" s="285"/>
      <c r="F25" s="283"/>
      <c r="G25" s="286" t="s">
        <v>2452</v>
      </c>
    </row>
    <row r="26" spans="1:7" s="258" customFormat="1">
      <c r="A26" s="951"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418947625</v>
      </c>
      <c r="D27" s="279">
        <f ca="1">C29</f>
        <v>4.4999999999999997E-3</v>
      </c>
      <c r="E27" s="280" t="s">
        <v>2378</v>
      </c>
      <c r="F27" s="290">
        <f ca="1">IF(B1="",'数据-取费表'!Q16,INDIRECT("'数据-取费表'!q"&amp;$G$1))</f>
        <v>0.15</v>
      </c>
      <c r="G27" s="291" t="s">
        <v>2379</v>
      </c>
    </row>
    <row r="28" spans="1:7" s="258" customFormat="1" ht="13.5" customHeight="1">
      <c r="A28" s="951" t="s">
        <v>791</v>
      </c>
      <c r="B28" s="292" t="s">
        <v>2380</v>
      </c>
      <c r="C28" s="293">
        <f ca="1">ROUND((C5+C19+C20)*F27,0)</f>
        <v>418947625</v>
      </c>
      <c r="D28" s="279"/>
      <c r="E28" s="280"/>
      <c r="F28" s="290"/>
      <c r="G28" s="291"/>
    </row>
    <row r="29" spans="1:7" s="258" customFormat="1" ht="13.5" customHeight="1">
      <c r="A29" s="951" t="s">
        <v>792</v>
      </c>
      <c r="B29" s="292" t="s">
        <v>2381</v>
      </c>
      <c r="C29" s="282">
        <f ca="1">ROUND(C21*F27,4)</f>
        <v>4.4999999999999997E-3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3820289121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387010438</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351143625</v>
      </c>
      <c r="D34" s="261"/>
      <c r="E34" s="264"/>
      <c r="F34" s="301"/>
      <c r="G34" s="263"/>
    </row>
    <row r="35" spans="1:7" ht="13.5" customHeight="1">
      <c r="A35" s="951" t="s">
        <v>796</v>
      </c>
      <c r="B35" s="259" t="s">
        <v>2391</v>
      </c>
      <c r="C35" s="264">
        <f ca="1">ROUND(C34*F35,0)</f>
        <v>10534309</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20065350</v>
      </c>
      <c r="D37" s="261">
        <f ca="1">D19</f>
        <v>100326.75000000001</v>
      </c>
      <c r="E37" s="293">
        <f>'数据-取费表'!B35</f>
        <v>200</v>
      </c>
      <c r="F37" s="303"/>
      <c r="G37" s="305"/>
    </row>
    <row r="38" spans="1:7" ht="13.5" customHeight="1">
      <c r="A38" s="951" t="s">
        <v>799</v>
      </c>
      <c r="B38" s="259" t="s">
        <v>2397</v>
      </c>
      <c r="C38" s="264">
        <f ca="1">ROUND(C34*F38,0)</f>
        <v>5267154</v>
      </c>
      <c r="D38" s="264"/>
      <c r="E38" s="264"/>
      <c r="F38" s="303">
        <f>'数据-取费表'!B36</f>
        <v>1.4999999999999999E-2</v>
      </c>
      <c r="G38" s="263" t="s">
        <v>2392</v>
      </c>
    </row>
    <row r="39" spans="1:7" s="258" customFormat="1" ht="13.5" customHeight="1">
      <c r="A39" s="299" t="s">
        <v>2398</v>
      </c>
      <c r="B39" s="254" t="s">
        <v>2399</v>
      </c>
      <c r="C39" s="276">
        <f ca="1">ROUND(C33*F20,0)</f>
        <v>11610313</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18934486</v>
      </c>
      <c r="D41" s="279">
        <f ca="1">C44</f>
        <v>1.4E-3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18382996</v>
      </c>
      <c r="D42" s="282"/>
      <c r="E42" s="282"/>
      <c r="F42" s="283"/>
      <c r="G42" s="3145" t="s">
        <v>2455</v>
      </c>
    </row>
    <row r="43" spans="1:7" ht="13.5" customHeight="1">
      <c r="A43" s="951" t="s">
        <v>792</v>
      </c>
      <c r="B43" s="259" t="s">
        <v>2409</v>
      </c>
      <c r="C43" s="282">
        <f ca="1">ROUND(IF('数据-取费表'!B22&lt;=1,C39*F22*'数据-取费表'!B20/2,C39*(POWER((1+F22),'数据-取费表'!B20/2)-1)),0)</f>
        <v>551490</v>
      </c>
      <c r="D43" s="282"/>
      <c r="E43" s="282"/>
      <c r="F43" s="283"/>
      <c r="G43" s="3146"/>
    </row>
    <row r="44" spans="1:7" ht="13.5" customHeight="1">
      <c r="A44" s="951" t="s">
        <v>793</v>
      </c>
      <c r="B44" s="259" t="s">
        <v>2410</v>
      </c>
      <c r="C44" s="282">
        <f ca="1">ROUND(IF('数据-取费表'!B22&lt;=1,C40*F22*'数据-取费表'!B20/2,C40*(POWER((1+F22),'数据-取费表'!B20/2)-1)),4)</f>
        <v>1.4E-3</v>
      </c>
      <c r="D44" s="282"/>
      <c r="E44" s="282"/>
      <c r="F44" s="283"/>
      <c r="G44" s="3147"/>
    </row>
    <row r="45" spans="1:7" s="258" customFormat="1" ht="13.5" customHeight="1">
      <c r="A45" s="299" t="s">
        <v>2411</v>
      </c>
      <c r="B45" s="288" t="s">
        <v>2377</v>
      </c>
      <c r="C45" s="289">
        <f ca="1">C46</f>
        <v>59793113</v>
      </c>
      <c r="D45" s="279">
        <f ca="1">C47</f>
        <v>4.4999999999999997E-3</v>
      </c>
      <c r="E45" s="280" t="s">
        <v>2403</v>
      </c>
      <c r="F45" s="290"/>
      <c r="G45" s="291" t="s">
        <v>2412</v>
      </c>
    </row>
    <row r="46" spans="1:7" s="258" customFormat="1" ht="13.5" customHeight="1">
      <c r="A46" s="951" t="s">
        <v>791</v>
      </c>
      <c r="B46" s="292" t="s">
        <v>2413</v>
      </c>
      <c r="C46" s="293">
        <f ca="1">ROUND((C33+C39)*F27,0)</f>
        <v>59793113</v>
      </c>
      <c r="D46" s="307"/>
      <c r="E46" s="280"/>
      <c r="F46" s="290"/>
      <c r="G46" s="291"/>
    </row>
    <row r="47" spans="1:7" s="258" customFormat="1" ht="13.5" customHeight="1">
      <c r="A47" s="951" t="s">
        <v>792</v>
      </c>
      <c r="B47" s="292" t="s">
        <v>2414</v>
      </c>
      <c r="C47" s="282">
        <f ca="1">ROUND(C40*F27,4)</f>
        <v>4.4999999999999997E-3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524097881</v>
      </c>
      <c r="D49" s="276"/>
      <c r="E49" s="276"/>
      <c r="F49" s="308"/>
      <c r="G49" s="278" t="s">
        <v>2418</v>
      </c>
    </row>
    <row r="50" spans="1:7" s="302" customFormat="1">
      <c r="A50" s="299" t="s">
        <v>2419</v>
      </c>
      <c r="B50" s="254" t="s">
        <v>2420</v>
      </c>
      <c r="C50" s="276"/>
      <c r="D50" s="276"/>
      <c r="E50" s="276"/>
      <c r="F50" s="308">
        <f>IF('数据-取费表'!B24=0,'数据-取费表'!N16,1)</f>
        <v>0.7</v>
      </c>
      <c r="G50" s="291"/>
    </row>
    <row r="51" spans="1:7" ht="16.5" customHeight="1">
      <c r="A51" s="299" t="s">
        <v>2422</v>
      </c>
      <c r="B51" s="254" t="s">
        <v>2457</v>
      </c>
      <c r="C51" s="276">
        <f ca="1">ROUND(C49*F50,0)</f>
        <v>366868517</v>
      </c>
      <c r="D51" s="276"/>
      <c r="E51" s="276"/>
      <c r="F51" s="308"/>
      <c r="G51" s="278" t="s">
        <v>2424</v>
      </c>
    </row>
    <row r="52" spans="1:7" s="252" customFormat="1" ht="16.5" thickBot="1">
      <c r="A52" s="309" t="s">
        <v>2425</v>
      </c>
      <c r="B52" s="310"/>
      <c r="C52" s="311">
        <f ca="1">C31+C51</f>
        <v>4187157638</v>
      </c>
      <c r="D52" s="310"/>
      <c r="E52" s="310"/>
      <c r="F52" s="310"/>
      <c r="G52" s="312"/>
    </row>
    <row r="55" spans="1:7" ht="15">
      <c r="B55" s="314" t="s">
        <v>2426</v>
      </c>
      <c r="C55" s="315"/>
    </row>
    <row r="56" spans="1:7">
      <c r="B56" s="317" t="s">
        <v>1507</v>
      </c>
      <c r="C56" s="319">
        <f ca="1">1-C57</f>
        <v>0.91200000000000003</v>
      </c>
    </row>
    <row r="57" spans="1:7">
      <c r="B57" s="317" t="s">
        <v>1508</v>
      </c>
      <c r="C57" s="318">
        <f ca="1">ROUND(C51/C52,3)</f>
        <v>8.7999999999999995E-2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-2310</v>
      </c>
      <c r="C2" s="320" t="s">
        <v>2459</v>
      </c>
      <c r="D2" s="320"/>
      <c r="E2" s="320"/>
      <c r="F2" s="320"/>
      <c r="G2" s="320"/>
      <c r="H2" s="320"/>
      <c r="I2" s="320"/>
      <c r="J2" s="320"/>
      <c r="K2" s="320"/>
    </row>
    <row r="3" spans="1:33" ht="18" customHeight="1" thickBot="1">
      <c r="A3" s="247" t="s">
        <v>2328</v>
      </c>
      <c r="B3" s="248">
        <f ca="1">ROUND(B2*10000/IF(C1="",'数据-汇总表'!E3,INDIRECT("'数据-取费表'!K"&amp;$K$1)),0)</f>
        <v>-230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5" t="s">
        <v>2464</v>
      </c>
      <c r="D5" s="2555" t="s">
        <v>2465</v>
      </c>
      <c r="E5" s="2555" t="s">
        <v>2466</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100326.75000000001</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100326.75000000001</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2007</v>
      </c>
      <c r="D18" s="1033"/>
      <c r="E18" s="24"/>
      <c r="F18" s="976"/>
      <c r="G18" s="2557"/>
      <c r="H18" s="1577"/>
      <c r="I18" s="2558"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2007</v>
      </c>
      <c r="D20" s="1033">
        <f ca="1">IF(C1="",'数据-汇总表'!E6,IF(INDIRECT("'数据-取费表'!c"&amp;$K$1)="住宅",INDIRECT("'数据-取费表'!s"&amp;$K$1),INDIRECT("'数据-取费表'!k"&amp;$K$1)+INDIRECT("'数据-取费表'!s"&amp;$K$1)))</f>
        <v>100326.75000000001</v>
      </c>
      <c r="E20" s="24">
        <f>'数据-取费表'!B28</f>
        <v>200</v>
      </c>
      <c r="F20" s="976"/>
      <c r="G20" s="15"/>
      <c r="H20" s="981"/>
      <c r="I20" s="981"/>
      <c r="J20" s="981"/>
      <c r="K20" s="982"/>
    </row>
    <row r="21" spans="1:33" s="975" customFormat="1" ht="13.5" customHeight="1">
      <c r="A21" s="961" t="s">
        <v>802</v>
      </c>
      <c r="B21" s="985" t="s">
        <v>2495</v>
      </c>
      <c r="C21" s="986">
        <f ca="1">C16+C17+C18</f>
        <v>2007</v>
      </c>
      <c r="D21" s="987"/>
      <c r="E21" s="325"/>
      <c r="F21" s="325"/>
      <c r="G21" s="140" t="s">
        <v>2496</v>
      </c>
      <c r="H21" s="979"/>
      <c r="I21" s="979"/>
      <c r="J21" s="979"/>
      <c r="K21" s="980"/>
    </row>
    <row r="22" spans="1:33" s="975" customFormat="1" ht="13.5" customHeight="1">
      <c r="A22" s="961" t="s">
        <v>2468</v>
      </c>
      <c r="B22" s="985" t="s">
        <v>2497</v>
      </c>
      <c r="C22" s="986">
        <f ca="1">ROUND(C21*F22,0)</f>
        <v>60</v>
      </c>
      <c r="D22" s="325"/>
      <c r="E22" s="325"/>
      <c r="F22" s="988">
        <f>'数据-取费表'!B37</f>
        <v>0.03</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2508</v>
      </c>
      <c r="B28" s="2560" t="s">
        <v>2509</v>
      </c>
      <c r="C28" s="331">
        <f ca="1">C30</f>
        <v>310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310</v>
      </c>
      <c r="D30" s="328"/>
      <c r="E30" s="329"/>
      <c r="F30" s="334"/>
      <c r="G30" s="140"/>
      <c r="H30" s="979"/>
      <c r="I30" s="979"/>
      <c r="J30" s="979"/>
      <c r="K30" s="980"/>
    </row>
    <row r="31" spans="1:33" s="975" customFormat="1" ht="13.5" customHeight="1" thickBot="1">
      <c r="A31" s="2561"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-2310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#DIV/0!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50" t="s">
        <v>1397</v>
      </c>
      <c r="C6" s="1296">
        <f ca="1">ROUND(F6*F8*F7*(1-F9)/10000,0)</f>
        <v>0</v>
      </c>
      <c r="D6" s="164" t="s">
        <v>3030</v>
      </c>
      <c r="E6" s="347" t="s">
        <v>1399</v>
      </c>
      <c r="F6" s="348">
        <f ca="1">INDIRECT("'数据-取费表'!u"&amp;$G$1)</f>
        <v>0</v>
      </c>
      <c r="G6" s="1851"/>
      <c r="H6" s="1291" t="s">
        <v>1031</v>
      </c>
      <c r="I6" s="3150" t="s">
        <v>1397</v>
      </c>
      <c r="J6" s="346">
        <f ca="1">ROUND(M6*M8*M7*(1-M9)/10000,0)</f>
        <v>0</v>
      </c>
      <c r="K6" s="164" t="s">
        <v>3029</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0</v>
      </c>
      <c r="G7" s="1851"/>
      <c r="H7" s="349"/>
      <c r="I7" s="3151"/>
      <c r="J7" s="351"/>
      <c r="K7" s="352"/>
      <c r="L7" s="347" t="s">
        <v>1400</v>
      </c>
      <c r="M7" s="348">
        <f ca="1">F7</f>
        <v>0</v>
      </c>
    </row>
    <row r="8" spans="1:37" ht="18" customHeight="1">
      <c r="A8" s="349"/>
      <c r="B8" s="3151"/>
      <c r="C8" s="351"/>
      <c r="D8" s="352"/>
      <c r="E8" s="347" t="s">
        <v>1401</v>
      </c>
      <c r="F8" s="348">
        <f ca="1">INDIRECT("'数据-取费表'!ai"&amp;$G$1)</f>
        <v>0</v>
      </c>
      <c r="G8" s="1851"/>
      <c r="H8" s="349"/>
      <c r="I8" s="3151"/>
      <c r="J8" s="351"/>
      <c r="K8" s="352"/>
      <c r="L8" s="347" t="s">
        <v>1401</v>
      </c>
      <c r="M8" s="348">
        <f ca="1">INDIRECT("'数据-取费表'!ai"&amp;$G$1)</f>
        <v>0</v>
      </c>
    </row>
    <row r="9" spans="1:37" ht="18" customHeight="1">
      <c r="A9" s="349"/>
      <c r="B9" s="3152"/>
      <c r="C9" s="351"/>
      <c r="D9" s="352"/>
      <c r="E9" s="347" t="s">
        <v>1402</v>
      </c>
      <c r="F9" s="357">
        <f ca="1">INDIRECT("'数据-取费表'!w"&amp;$G$1)</f>
        <v>0</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ROUND(M20*M21/10000,2)</f>
        <v>0</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ROUND(C13*F37,1)</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#DIV/0!</v>
      </c>
      <c r="D46" s="1872" t="str">
        <f>C2</f>
        <v>万元</v>
      </c>
      <c r="E46" s="1866"/>
      <c r="F46" s="1866"/>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51">
        <f ca="1">IF(M47="住宅",IF(D1="——",MAX(J51,L48),MAX(J51,L48-'数据-取费表'!B24)),IF(D1="——",MIN(J51,L48),MIN(J51,L48-'数据-取费表'!B24)))</f>
        <v>0</v>
      </c>
      <c r="K53" s="3148" t="s">
        <v>1542</v>
      </c>
      <c r="L53" s="3149"/>
      <c r="O53" s="1884" t="s">
        <v>1042</v>
      </c>
      <c r="P53" s="1885" t="s">
        <v>1543</v>
      </c>
      <c r="Q53" s="1886" t="e">
        <f ca="1">Q47+Q48</f>
        <v>#DIV/0!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c r="K56" s="1887" t="s">
        <v>1549</v>
      </c>
      <c r="L56" s="1890">
        <f ca="1">IF(L48&lt;J51,"——",L48-J53)</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1551</v>
      </c>
      <c r="L57" s="1890">
        <f ca="1">IF(L48&lt;J51,"——",IF(L55="比较法",L49,IF(L55="基准地价",L50,L51)))</f>
        <v>0</v>
      </c>
      <c r="O57" s="1884" t="s">
        <v>1037</v>
      </c>
      <c r="P57" s="1885" t="s">
        <v>1552</v>
      </c>
      <c r="Q57" s="1886" t="e">
        <f ca="1">L60</f>
        <v>#DIV/0!</v>
      </c>
      <c r="R57" s="1886" t="s">
        <v>1553</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24</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t="e">
        <f ca="1">ROUND(C68*10000/F71,0)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1" zoomScaleNormal="10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1372</v>
      </c>
      <c r="D1" s="1820" t="s">
        <v>70</v>
      </c>
      <c r="E1" s="1821" t="s">
        <v>1381</v>
      </c>
      <c r="F1" s="1283">
        <f ca="1">J53</f>
        <v>22.13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f ca="1">ROUND(D2/10000,0)</f>
        <v>386253</v>
      </c>
      <c r="C2" s="1845" t="s">
        <v>1585</v>
      </c>
      <c r="D2" s="1937">
        <f ca="1">C40+J29+L46</f>
        <v>3862528329</v>
      </c>
      <c r="E2" s="1846" t="s">
        <v>1586</v>
      </c>
      <c r="F2" s="1847"/>
      <c r="G2" s="1848"/>
      <c r="H2" s="1840"/>
      <c r="I2" s="1840"/>
      <c r="J2" s="1840"/>
      <c r="K2" s="1841"/>
      <c r="L2" s="1840"/>
      <c r="M2" s="1840"/>
    </row>
    <row r="3" spans="1:37" ht="18" customHeight="1" thickBot="1">
      <c r="A3" s="1849" t="s">
        <v>1587</v>
      </c>
      <c r="B3" s="1850">
        <f ca="1">IF(ISERROR(D2/F43),0,ROUND(D2/F43,0))</f>
        <v>38499</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263988272</v>
      </c>
      <c r="D5" s="1822" t="s">
        <v>1595</v>
      </c>
      <c r="E5" s="1293"/>
      <c r="F5" s="1294"/>
      <c r="G5" s="1851"/>
      <c r="H5" s="344">
        <v>1</v>
      </c>
      <c r="I5" s="345" t="s">
        <v>1594</v>
      </c>
      <c r="J5" s="1292">
        <f ca="1">J6+J10+J12</f>
        <v>0</v>
      </c>
      <c r="K5" s="1822" t="s">
        <v>1595</v>
      </c>
      <c r="L5" s="1293"/>
      <c r="M5" s="1294"/>
    </row>
    <row r="6" spans="1:37" ht="18" customHeight="1">
      <c r="A6" s="1291" t="s">
        <v>1031</v>
      </c>
      <c r="B6" s="3150" t="s">
        <v>1397</v>
      </c>
      <c r="C6" s="1296">
        <f ca="1">ROUND(F6*F8*F7*(1-F9),0)</f>
        <v>263658699</v>
      </c>
      <c r="D6" s="164" t="s">
        <v>3027</v>
      </c>
      <c r="E6" s="347" t="s">
        <v>1399</v>
      </c>
      <c r="F6" s="348">
        <f ca="1">INDIRECT("'数据-取费表'!u"&amp;$G$1)</f>
        <v>8</v>
      </c>
      <c r="G6" s="1851"/>
      <c r="H6" s="1291" t="s">
        <v>1031</v>
      </c>
      <c r="I6" s="3150" t="s">
        <v>1397</v>
      </c>
      <c r="J6" s="346">
        <f ca="1">ROUND(M6*M8*M7*(1-M9),0)</f>
        <v>0</v>
      </c>
      <c r="K6" s="1834" t="s">
        <v>3028</v>
      </c>
      <c r="L6" s="347" t="s">
        <v>1399</v>
      </c>
      <c r="M6" s="348">
        <f ca="1">INDIRECT("'数据-取费表'!z"&amp;$G$1)</f>
        <v>0</v>
      </c>
    </row>
    <row r="7" spans="1:37" ht="18" customHeight="1">
      <c r="A7" s="1295"/>
      <c r="B7" s="3151"/>
      <c r="C7" s="1297"/>
      <c r="D7" s="352"/>
      <c r="E7" s="1298" t="s">
        <v>1400</v>
      </c>
      <c r="F7" s="348">
        <f ca="1">IF(INDIRECT("'数据-取费表'!ah"&amp;$G$1)="",INDIRECT("'数据-取费表'!k"&amp;$G$1),INDIRECT("'数据-取费表'!ah"&amp;$G$1))</f>
        <v>100326.75000000001</v>
      </c>
      <c r="G7" s="1851"/>
      <c r="H7" s="349"/>
      <c r="I7" s="3151"/>
      <c r="J7" s="351"/>
      <c r="K7" s="352"/>
      <c r="L7" s="347" t="s">
        <v>1400</v>
      </c>
      <c r="M7" s="348">
        <f ca="1">F7</f>
        <v>100326.75000000001</v>
      </c>
    </row>
    <row r="8" spans="1:37" ht="18" customHeight="1">
      <c r="A8" s="349"/>
      <c r="B8" s="3151"/>
      <c r="C8" s="351"/>
      <c r="D8" s="352"/>
      <c r="E8" s="347" t="s">
        <v>1401</v>
      </c>
      <c r="F8" s="348">
        <f ca="1">INDIRECT("'数据-取费表'!ai"&amp;$G$1)</f>
        <v>365</v>
      </c>
      <c r="G8" s="1851"/>
      <c r="H8" s="349"/>
      <c r="I8" s="3151"/>
      <c r="J8" s="351"/>
      <c r="K8" s="352"/>
      <c r="L8" s="347" t="s">
        <v>1401</v>
      </c>
      <c r="M8" s="348">
        <f ca="1">INDIRECT("'数据-取费表'!ai"&amp;$G$1)</f>
        <v>365</v>
      </c>
    </row>
    <row r="9" spans="1:37" ht="18" customHeight="1">
      <c r="A9" s="349"/>
      <c r="B9" s="3152"/>
      <c r="C9" s="351"/>
      <c r="D9" s="352"/>
      <c r="E9" s="347" t="s">
        <v>1402</v>
      </c>
      <c r="F9" s="357">
        <f ca="1">INDIRECT("'数据-取费表'!w"&amp;$G$1)</f>
        <v>0.1</v>
      </c>
      <c r="G9" s="1851"/>
      <c r="H9" s="349"/>
      <c r="I9" s="31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329573</v>
      </c>
      <c r="D10" s="1824" t="s">
        <v>3038</v>
      </c>
      <c r="E10" s="358" t="s">
        <v>1404</v>
      </c>
      <c r="F10" s="1366" t="s">
        <v>3078</v>
      </c>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366868517</v>
      </c>
      <c r="D13" s="1331" t="s">
        <v>1409</v>
      </c>
      <c r="E13" s="1331" t="s">
        <v>1410</v>
      </c>
      <c r="F13" s="1332">
        <f ca="1">INDIRECT("'数据-取费表'!y"&amp;$G$1)</f>
        <v>0.7</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351143625</v>
      </c>
      <c r="D14" s="1800" t="s">
        <v>1412</v>
      </c>
      <c r="E14" s="1794"/>
      <c r="F14" s="364"/>
      <c r="G14" s="1851"/>
      <c r="H14" s="1201" t="s">
        <v>1031</v>
      </c>
      <c r="I14" s="347" t="s">
        <v>1413</v>
      </c>
      <c r="J14" s="24">
        <f ca="1">C29</f>
        <v>524097881</v>
      </c>
      <c r="K14" s="15"/>
      <c r="L14" s="979"/>
      <c r="M14" s="980"/>
    </row>
    <row r="15" spans="1:37" s="1858" customFormat="1" ht="18" customHeight="1" thickBot="1">
      <c r="A15" s="1201" t="s">
        <v>1032</v>
      </c>
      <c r="B15" s="347" t="s">
        <v>1414</v>
      </c>
      <c r="C15" s="24">
        <f ca="1">ROUND(C14*F15,0)</f>
        <v>10534309</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18035379</v>
      </c>
      <c r="K16" s="1337" t="s">
        <v>1419</v>
      </c>
      <c r="L16" s="1338"/>
      <c r="M16" s="1294"/>
    </row>
    <row r="17" spans="1:37" s="1858" customFormat="1" ht="18" customHeight="1">
      <c r="A17" s="1201" t="s">
        <v>1384</v>
      </c>
      <c r="B17" s="347" t="s">
        <v>1420</v>
      </c>
      <c r="C17" s="24">
        <f ca="1">ROUND(F17*(F43+INDIRECT("'数据-取费表'!S"&amp;$G$1)),0)</f>
        <v>20065350</v>
      </c>
      <c r="D17" s="347" t="s">
        <v>1421</v>
      </c>
      <c r="E17" s="347" t="s">
        <v>1422</v>
      </c>
      <c r="F17" s="26">
        <f>'数据-取费表'!B35</f>
        <v>200</v>
      </c>
      <c r="G17" s="1854"/>
      <c r="H17" s="1201" t="s">
        <v>1031</v>
      </c>
      <c r="I17" s="347" t="s">
        <v>1423</v>
      </c>
      <c r="J17" s="24">
        <f ca="1">ROUND(IF(项目基本情况!B11="自然人",J6*M17/(1+'数据-取费表'!C42),J18+J19+J20),0)</f>
        <v>4932932</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5267154</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387010438</v>
      </c>
      <c r="D19" s="140" t="s">
        <v>1430</v>
      </c>
      <c r="E19" s="1818"/>
      <c r="F19" s="26"/>
      <c r="G19" s="1851"/>
      <c r="H19" s="1201" t="s">
        <v>1032</v>
      </c>
      <c r="I19" s="347" t="s">
        <v>1431</v>
      </c>
      <c r="J19" s="24">
        <f ca="1">IF(K19="按租金收入计税",ROUND(J6*M19/(1+'数据-取费表'!C42),0),ROUND(C29*M19*0.7,0))</f>
        <v>4402422</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11610313</v>
      </c>
      <c r="D20" s="369" t="s">
        <v>1434</v>
      </c>
      <c r="E20" s="347" t="s">
        <v>1416</v>
      </c>
      <c r="F20" s="367">
        <f>'数据-取费表'!B37</f>
        <v>0.03</v>
      </c>
      <c r="G20" s="1854"/>
      <c r="H20" s="1201" t="s">
        <v>1383</v>
      </c>
      <c r="I20" s="164" t="s">
        <v>1435</v>
      </c>
      <c r="J20" s="25">
        <f ca="1">ROUND(M20*M21,0)</f>
        <v>530510</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22104.58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13102447</v>
      </c>
      <c r="K22" s="1798" t="s">
        <v>1444</v>
      </c>
      <c r="L22" s="347" t="s">
        <v>1416</v>
      </c>
      <c r="M22" s="374">
        <f ca="1">INDIRECT("'数据-取费表'!Ak"&amp;$G$1)</f>
        <v>2.5000000000000001E-2</v>
      </c>
    </row>
    <row r="23" spans="1:37" s="1858" customFormat="1" ht="18" customHeight="1">
      <c r="A23" s="1201" t="s">
        <v>1030</v>
      </c>
      <c r="B23" s="347" t="s">
        <v>1445</v>
      </c>
      <c r="C23" s="24">
        <f ca="1">IF('数据-取费表'!B22&lt;=1,ROUND(C19*F24*F23/2,0)+ROUND(C20*F24*F23/2,0),ROUND(C19*(POWER((1+F24),F23/2)-1),0)+ROUND(C20*(POWER((1+F24),F23/2)-1),0))</f>
        <v>18934486</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3.0000000000000001E-3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0.03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-18035379</v>
      </c>
      <c r="K25" s="1345" t="s">
        <v>1458</v>
      </c>
      <c r="L25" s="1346"/>
      <c r="M25" s="1347"/>
    </row>
    <row r="26" spans="1:37" ht="18" customHeight="1">
      <c r="A26" s="1201" t="s">
        <v>1030</v>
      </c>
      <c r="B26" s="347" t="s">
        <v>1459</v>
      </c>
      <c r="C26" s="24">
        <f ca="1">ROUND((C19+C20)*F26,0)</f>
        <v>59793113</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4.4999999999999997E-3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524097881</v>
      </c>
      <c r="D29" s="1342"/>
      <c r="E29" s="1340"/>
      <c r="F29" s="1343"/>
      <c r="G29" s="1854"/>
      <c r="H29" s="380" t="s">
        <v>1029</v>
      </c>
      <c r="I29" s="381" t="s">
        <v>1473</v>
      </c>
      <c r="J29" s="382">
        <f ca="1">ROUND(J26/(1+F40)^F41,0)</f>
        <v>0</v>
      </c>
      <c r="K29" s="383" t="s">
        <v>1474</v>
      </c>
      <c r="L29" s="384"/>
      <c r="M29" s="385">
        <f ca="1">INDIRECT("'数据-取费表'!k"&amp;$G$1)</f>
        <v>100326.75000000001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41117430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18994729</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14061797</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4402422</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530510</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22104.58</v>
      </c>
      <c r="G35" s="1851"/>
      <c r="H35" s="745"/>
      <c r="I35" s="1860"/>
      <c r="J35" s="1861"/>
      <c r="K35" s="1862"/>
      <c r="L35" s="1859"/>
      <c r="M35" s="1859"/>
    </row>
    <row r="36" spans="1:18" ht="18" customHeight="1">
      <c r="A36" s="1352" t="s">
        <v>1035</v>
      </c>
      <c r="B36" s="347" t="s">
        <v>1443</v>
      </c>
      <c r="C36" s="24">
        <f ca="1">ROUND(C29*F36,0)</f>
        <v>13102447</v>
      </c>
      <c r="D36" s="1798" t="s">
        <v>1476</v>
      </c>
      <c r="E36" s="347" t="s">
        <v>1416</v>
      </c>
      <c r="F36" s="374">
        <f ca="1">INDIRECT("'数据-取费表'!Ak"&amp;$G$1)</f>
        <v>2.5000000000000001E-2</v>
      </c>
      <c r="G36" s="1851"/>
      <c r="H36" s="1859"/>
      <c r="I36" s="1860"/>
      <c r="J36" s="1861"/>
      <c r="K36" s="751"/>
      <c r="L36" s="1859"/>
      <c r="M36" s="1859"/>
    </row>
    <row r="37" spans="1:18" ht="18" customHeight="1">
      <c r="A37" s="1201" t="s">
        <v>1071</v>
      </c>
      <c r="B37" s="347" t="s">
        <v>1447</v>
      </c>
      <c r="C37" s="24">
        <f ca="1">ROUND(C13*F37,0)</f>
        <v>1100606</v>
      </c>
      <c r="D37" s="1798" t="s">
        <v>1448</v>
      </c>
      <c r="E37" s="347" t="s">
        <v>1449</v>
      </c>
      <c r="F37" s="376">
        <f ca="1">INDIRECT("'数据-取费表'!Al"&amp;$G$1)</f>
        <v>3.0000000000000001E-3</v>
      </c>
      <c r="G37" s="1851"/>
      <c r="H37" s="1859"/>
      <c r="I37" s="1860"/>
      <c r="J37" s="1861"/>
      <c r="K37" s="751"/>
      <c r="L37" s="1859"/>
      <c r="M37" s="1859"/>
    </row>
    <row r="38" spans="1:18" ht="18" customHeight="1" thickBot="1">
      <c r="A38" s="1339" t="s">
        <v>1387</v>
      </c>
      <c r="B38" s="1340" t="s">
        <v>1433</v>
      </c>
      <c r="C38" s="1341">
        <f ca="1">ROUND(C5*F38,1)</f>
        <v>7919648.2000000002</v>
      </c>
      <c r="D38" s="1342" t="s">
        <v>1453</v>
      </c>
      <c r="E38" s="1340" t="s">
        <v>1449</v>
      </c>
      <c r="F38" s="1336">
        <f ca="1">INDIRECT("'数据-取费表'!Am"&amp;$G$1)</f>
        <v>0.03</v>
      </c>
      <c r="G38" s="1851"/>
      <c r="H38" s="1859"/>
      <c r="I38" s="1860"/>
      <c r="J38" s="1861"/>
      <c r="K38" s="1865"/>
      <c r="L38" s="1859"/>
      <c r="M38" s="1859"/>
    </row>
    <row r="39" spans="1:18" ht="24.6" customHeight="1" thickTop="1">
      <c r="A39" s="1329" t="s">
        <v>1027</v>
      </c>
      <c r="B39" s="1344" t="s">
        <v>1477</v>
      </c>
      <c r="C39" s="355">
        <f ca="1">C5-C30</f>
        <v>222870842</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3862528329</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22.13</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ROUND(C40/F43,0)</f>
        <v>38499</v>
      </c>
      <c r="D43" s="383" t="s">
        <v>1482</v>
      </c>
      <c r="E43" s="384" t="s">
        <v>1483</v>
      </c>
      <c r="F43" s="385">
        <f ca="1">INDIRECT("'数据-取费表'!k"&amp;$G$1)</f>
        <v>100326.75000000001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-4194170115</v>
      </c>
      <c r="D45" s="1939" t="s">
        <v>1598</v>
      </c>
      <c r="E45" s="1866"/>
      <c r="F45" s="1866"/>
      <c r="O45" s="1869" t="s">
        <v>1513</v>
      </c>
      <c r="P45" s="1839"/>
      <c r="Q45" s="1839"/>
      <c r="R45" s="1839"/>
    </row>
    <row r="46" spans="1:18" s="1842" customFormat="1" ht="13.5" thickBot="1">
      <c r="A46" s="1870" t="s">
        <v>1514</v>
      </c>
      <c r="C46" s="1871">
        <f ca="1">ROUND(C45/10000,0)</f>
        <v>-419417</v>
      </c>
      <c r="D46" s="1872" t="str">
        <f>C2</f>
        <v>万元</v>
      </c>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t="s">
        <v>3074</v>
      </c>
      <c r="K47" s="1882" t="s">
        <v>1521</v>
      </c>
      <c r="L47" s="1883">
        <f ca="1">INDIRECT("'数据-取费表'!d"&amp;$G$1)</f>
        <v>40</v>
      </c>
      <c r="M47" s="1838" t="str">
        <f>IF(ISNUMBER(FIND("住宅",C1)),"住宅","非住宅")</f>
        <v>非住宅</v>
      </c>
      <c r="O47" s="1884" t="s">
        <v>1036</v>
      </c>
      <c r="P47" s="1885" t="s">
        <v>1522</v>
      </c>
      <c r="Q47" s="1886">
        <f ca="1">C40+J29</f>
        <v>3862528329</v>
      </c>
      <c r="R47" s="1886" t="s">
        <v>1523</v>
      </c>
    </row>
    <row r="48" spans="1:18" s="1842" customFormat="1" ht="28.5" thickBot="1">
      <c r="A48" s="1360" t="s">
        <v>1131</v>
      </c>
      <c r="B48" s="345" t="s">
        <v>1395</v>
      </c>
      <c r="C48" s="1817">
        <f ca="1">C49+C53+C55</f>
        <v>0</v>
      </c>
      <c r="D48" s="1362"/>
      <c r="E48" s="1363"/>
      <c r="F48" s="1181"/>
      <c r="G48" s="792"/>
      <c r="H48" s="793"/>
      <c r="I48" s="1887" t="s">
        <v>1524</v>
      </c>
      <c r="J48" s="1888" t="s">
        <v>3075</v>
      </c>
      <c r="K48" s="1889" t="s">
        <v>1525</v>
      </c>
      <c r="L48" s="1890">
        <f ca="1">INDIRECT("'数据-取费表'!f"&amp;$G$1)</f>
        <v>22.13</v>
      </c>
      <c r="O48" s="1884" t="s">
        <v>1037</v>
      </c>
      <c r="P48" s="1885" t="s">
        <v>1526</v>
      </c>
      <c r="Q48" s="1886" t="str">
        <f ca="1">J60</f>
        <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524097881</v>
      </c>
      <c r="R49" s="1886" t="s">
        <v>1523</v>
      </c>
    </row>
    <row r="50" spans="1:18" s="1842" customFormat="1" ht="13.5" thickBot="1">
      <c r="A50" s="1195"/>
      <c r="B50" s="1198"/>
      <c r="C50" s="1199"/>
      <c r="D50" s="1172"/>
      <c r="E50" s="1277" t="s">
        <v>1400</v>
      </c>
      <c r="F50" s="1278">
        <f ca="1">F7</f>
        <v>100326.75000000001</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60</v>
      </c>
      <c r="K51" s="1900" t="s">
        <v>1535</v>
      </c>
      <c r="L51" s="1901">
        <f ca="1">ROUND(-PV(INDIRECT("'数据-取费表'!h"&amp;$G$1),L48,(C39-C13*C76),0),0)</f>
        <v>2913408484</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22.13</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51">
        <f ca="1">IF(M47="住宅",IF(D1="——",MAX(J51,L48),MAX(J51,L48-'数据-取费表'!B24)),IF(D1="——",MIN(J51,L48),MIN(J51,L48-'数据-取费表'!B24)))</f>
        <v>22.13</v>
      </c>
      <c r="K53" s="3148" t="s">
        <v>1542</v>
      </c>
      <c r="L53" s="3149"/>
      <c r="O53" s="1884" t="s">
        <v>1042</v>
      </c>
      <c r="P53" s="1885" t="s">
        <v>1543</v>
      </c>
      <c r="Q53" s="1886">
        <f ca="1">Q47+Q48</f>
        <v>3862528329</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366868517</v>
      </c>
      <c r="D56" s="1913"/>
      <c r="E56" s="1914"/>
      <c r="F56" s="1906"/>
      <c r="I56" s="1915" t="s">
        <v>1548</v>
      </c>
      <c r="J56" s="1916" t="s">
        <v>3062</v>
      </c>
      <c r="K56" s="1887" t="s">
        <v>1549</v>
      </c>
      <c r="L56" s="1890" t="str">
        <f ca="1">IF(L48&lt;J51,"——",L48-J51)</f>
        <v>——</v>
      </c>
      <c r="O56" s="1884" t="s">
        <v>1036</v>
      </c>
      <c r="P56" s="1885" t="s">
        <v>1522</v>
      </c>
      <c r="Q56" s="1886">
        <f ca="1">C40+J29</f>
        <v>3862528329</v>
      </c>
      <c r="R56" s="1886" t="s">
        <v>1523</v>
      </c>
    </row>
    <row r="57" spans="1:18" s="1842" customFormat="1" ht="24.75" thickBot="1">
      <c r="A57" s="1917"/>
      <c r="B57" s="1169" t="s">
        <v>1472</v>
      </c>
      <c r="C57" s="282">
        <f ca="1">C29</f>
        <v>524097881</v>
      </c>
      <c r="D57" s="1918"/>
      <c r="E57" s="1919"/>
      <c r="F57" s="1920"/>
      <c r="I57" s="1921" t="s">
        <v>1550</v>
      </c>
      <c r="J57" s="1922" t="str">
        <f ca="1">IF(OR(M47="住宅",J51&lt;L48,J56="是"),"——",J51-L48)</f>
        <v>——</v>
      </c>
      <c r="K57" s="1887" t="s">
        <v>1599</v>
      </c>
      <c r="L57" s="1890" t="str">
        <f ca="1">IF(L48&lt;J51,"——",IF(L55="比较法",L49,IF(L55="基准地价",L50,L51)))</f>
        <v>——</v>
      </c>
      <c r="O57" s="1884" t="s">
        <v>1037</v>
      </c>
      <c r="P57" s="1885" t="s">
        <v>1600</v>
      </c>
      <c r="Q57" s="1886">
        <f ca="1">L60</f>
        <v>0</v>
      </c>
      <c r="R57" s="1886" t="s">
        <v>1601</v>
      </c>
    </row>
    <row r="58" spans="1:18" s="1842" customFormat="1" ht="24.75" thickBot="1">
      <c r="A58" s="360" t="s">
        <v>1026</v>
      </c>
      <c r="B58" s="1177" t="s">
        <v>1418</v>
      </c>
      <c r="C58" s="361">
        <f ca="1">ROUND(C59+C64+C65+C66,0)</f>
        <v>19135985</v>
      </c>
      <c r="D58" s="1179" t="s">
        <v>1419</v>
      </c>
      <c r="E58" s="1180"/>
      <c r="F58" s="1181"/>
      <c r="I58" s="1921" t="s">
        <v>1554</v>
      </c>
      <c r="J58" s="1923" t="e">
        <f ca="1">IF(J55&lt;0.4,0.4,J55)</f>
        <v>#VALUE!</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4932932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4402422</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IF(项目基本情况!B11="自然人","——",ROUND(F62*F63,0))</f>
        <v>530510</v>
      </c>
      <c r="D62" s="1184" t="s">
        <v>1491</v>
      </c>
      <c r="E62" s="1169" t="s">
        <v>1492</v>
      </c>
      <c r="F62" s="371">
        <f t="shared" si="0"/>
        <v>24</v>
      </c>
      <c r="I62" s="1928" t="s">
        <v>1564</v>
      </c>
      <c r="J62" s="1929" t="s">
        <v>1565</v>
      </c>
      <c r="K62" s="1929" t="s">
        <v>1566</v>
      </c>
      <c r="L62" s="1929" t="s">
        <v>1567</v>
      </c>
      <c r="M62" s="1930" t="s">
        <v>1568</v>
      </c>
      <c r="O62" s="1884" t="s">
        <v>1042</v>
      </c>
      <c r="P62" s="1885" t="s">
        <v>1569</v>
      </c>
      <c r="Q62" s="1886">
        <f ca="1">Q56+Q57</f>
        <v>3862528329</v>
      </c>
      <c r="R62" s="1886" t="s">
        <v>1043</v>
      </c>
    </row>
    <row r="63" spans="1:18" s="1842" customFormat="1" ht="13.5" thickBot="1">
      <c r="A63" s="372"/>
      <c r="B63" s="1175"/>
      <c r="C63" s="29"/>
      <c r="D63" s="1185"/>
      <c r="E63" s="1169" t="s">
        <v>1493</v>
      </c>
      <c r="F63" s="348">
        <f t="shared" ca="1" si="0"/>
        <v>22104.58</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13102447</v>
      </c>
      <c r="D64" s="1183" t="s">
        <v>1496</v>
      </c>
      <c r="E64" s="1169" t="s">
        <v>1488</v>
      </c>
      <c r="F64" s="374">
        <f t="shared" ca="1" si="0"/>
        <v>2.5000000000000001E-2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1100606</v>
      </c>
      <c r="D65" s="1183" t="s">
        <v>1448</v>
      </c>
      <c r="E65" s="1169" t="s">
        <v>1449</v>
      </c>
      <c r="F65" s="376">
        <f t="shared" ca="1" si="0"/>
        <v>3.0000000000000001E-3</v>
      </c>
      <c r="I65" s="1928" t="s">
        <v>1573</v>
      </c>
      <c r="J65" s="1929">
        <v>40</v>
      </c>
      <c r="K65" s="1929">
        <v>30</v>
      </c>
      <c r="L65" s="1929">
        <v>50</v>
      </c>
      <c r="M65" s="1931">
        <v>0.02</v>
      </c>
      <c r="O65" s="1884" t="s">
        <v>1036</v>
      </c>
      <c r="P65" s="1885" t="s">
        <v>1574</v>
      </c>
      <c r="Q65" s="1886">
        <f ca="1">C40+J29</f>
        <v>3862528329</v>
      </c>
      <c r="R65" s="1886" t="s">
        <v>1523</v>
      </c>
    </row>
    <row r="66" spans="1:18" s="1842" customFormat="1" ht="16.5" thickBot="1">
      <c r="A66" s="1201" t="s">
        <v>1498</v>
      </c>
      <c r="B66" s="1169" t="s">
        <v>1433</v>
      </c>
      <c r="C66" s="24">
        <f ca="1">ROUND(C48*F66,0)</f>
        <v>0</v>
      </c>
      <c r="D66" s="1183" t="s">
        <v>1499</v>
      </c>
      <c r="E66" s="1169" t="s">
        <v>1416</v>
      </c>
      <c r="F66" s="357">
        <f t="shared" ca="1" si="0"/>
        <v>0.03</v>
      </c>
      <c r="O66" s="1884" t="s">
        <v>1037</v>
      </c>
      <c r="P66" s="1885" t="s">
        <v>1552</v>
      </c>
      <c r="Q66" s="1886">
        <f ca="1">L60</f>
        <v>0</v>
      </c>
      <c r="R66" s="1886" t="s">
        <v>1575</v>
      </c>
    </row>
    <row r="67" spans="1:18" s="1842" customFormat="1" ht="16.5" thickBot="1">
      <c r="A67" s="1176" t="s">
        <v>1027</v>
      </c>
      <c r="B67" s="1186" t="s">
        <v>1457</v>
      </c>
      <c r="C67" s="361">
        <f ca="1">C48-C58</f>
        <v>-19135985</v>
      </c>
      <c r="D67" s="1182" t="s">
        <v>1458</v>
      </c>
      <c r="E67" s="1187"/>
      <c r="F67" s="1188"/>
      <c r="O67" s="1894" t="s">
        <v>1038</v>
      </c>
      <c r="P67" s="1885" t="s">
        <v>1556</v>
      </c>
      <c r="Q67" s="1932">
        <f ca="1">L51</f>
        <v>2913408484</v>
      </c>
      <c r="R67" s="1886" t="s">
        <v>1576</v>
      </c>
    </row>
    <row r="68" spans="1:18" s="1842" customFormat="1" ht="16.5" thickBot="1">
      <c r="A68" s="1166" t="s">
        <v>1028</v>
      </c>
      <c r="B68" s="1167" t="s">
        <v>1479</v>
      </c>
      <c r="C68" s="346">
        <f ca="1">ROUND(C67*(1-((1+F70)/(1+F68))^F69)/(F68-F70),0)</f>
        <v>-331641786</v>
      </c>
      <c r="D68" s="1184" t="s">
        <v>1463</v>
      </c>
      <c r="E68" s="1169" t="s">
        <v>1464</v>
      </c>
      <c r="F68" s="357">
        <f ca="1">F40</f>
        <v>0.05</v>
      </c>
      <c r="O68" s="1894" t="s">
        <v>1039</v>
      </c>
      <c r="P68" s="1933" t="s">
        <v>1577</v>
      </c>
      <c r="Q68" s="1886">
        <f ca="1">ROUND(Q69-Q70*Q71,0)</f>
        <v>200858731</v>
      </c>
      <c r="R68" s="1886" t="s">
        <v>1047</v>
      </c>
    </row>
    <row r="69" spans="1:18" s="1842" customFormat="1" ht="13.5" thickBot="1">
      <c r="A69" s="1170"/>
      <c r="B69" s="1171"/>
      <c r="C69" s="351"/>
      <c r="D69" s="1189" t="s">
        <v>1467</v>
      </c>
      <c r="E69" s="1169" t="s">
        <v>1468</v>
      </c>
      <c r="F69" s="379">
        <f ca="1">F41</f>
        <v>22.13</v>
      </c>
      <c r="O69" s="1894" t="s">
        <v>1044</v>
      </c>
      <c r="P69" s="1933" t="s">
        <v>1578</v>
      </c>
      <c r="Q69" s="1886">
        <f ca="1">C39</f>
        <v>222870842</v>
      </c>
      <c r="R69" s="1886" t="s">
        <v>1523</v>
      </c>
    </row>
    <row r="70" spans="1:18" s="1842" customFormat="1" ht="13.5" thickBot="1">
      <c r="A70" s="1173"/>
      <c r="B70" s="1174"/>
      <c r="C70" s="355"/>
      <c r="D70" s="1185"/>
      <c r="E70" s="1169" t="s">
        <v>1471</v>
      </c>
      <c r="F70" s="1275">
        <f ca="1">F42</f>
        <v>0.03</v>
      </c>
      <c r="O70" s="1894" t="s">
        <v>1045</v>
      </c>
      <c r="P70" s="1933" t="s">
        <v>1579</v>
      </c>
      <c r="Q70" s="1886">
        <f ca="1">C13</f>
        <v>366868517</v>
      </c>
      <c r="R70" s="1886" t="s">
        <v>1523</v>
      </c>
    </row>
    <row r="71" spans="1:18" s="1842" customFormat="1" ht="13.5" thickBot="1">
      <c r="A71" s="1190" t="s">
        <v>1029</v>
      </c>
      <c r="B71" s="1191" t="s">
        <v>1481</v>
      </c>
      <c r="C71" s="382">
        <f ca="1">ROUND(C68/F71,0)</f>
        <v>-3306</v>
      </c>
      <c r="D71" s="1192" t="s">
        <v>1482</v>
      </c>
      <c r="E71" s="1193" t="s">
        <v>1483</v>
      </c>
      <c r="F71" s="385">
        <f ca="1">F43</f>
        <v>100326.75000000001</v>
      </c>
      <c r="O71" s="1894" t="s">
        <v>1046</v>
      </c>
      <c r="P71" s="1933" t="s">
        <v>1580</v>
      </c>
      <c r="Q71" s="1897">
        <f ca="1">C76</f>
        <v>0.06</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22012111</v>
      </c>
      <c r="D75" s="1842"/>
      <c r="E75" s="1842"/>
      <c r="F75" s="1842"/>
      <c r="K75" s="1868"/>
      <c r="L75" s="1842"/>
      <c r="O75" s="1884" t="s">
        <v>1042</v>
      </c>
      <c r="P75" s="1885" t="s">
        <v>1543</v>
      </c>
      <c r="Q75" s="1886">
        <f ca="1">Q65+Q66</f>
        <v>3862528329</v>
      </c>
      <c r="R75" s="1886" t="s">
        <v>1043</v>
      </c>
    </row>
    <row r="76" spans="1:18">
      <c r="B76" s="388" t="s">
        <v>1501</v>
      </c>
      <c r="C76" s="389">
        <f ca="1">INDIRECT("'数据-取费表'!j"&amp;$G$1)</f>
        <v>0.06</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0.90100000000000002</v>
      </c>
    </row>
    <row r="80" spans="1:18">
      <c r="B80" s="386" t="s">
        <v>1505</v>
      </c>
      <c r="C80" s="318">
        <f ca="1">ROUND(C75/C39,3)</f>
        <v>9.9000000000000005E-2</v>
      </c>
    </row>
    <row r="81" spans="2:3">
      <c r="B81" s="314" t="s">
        <v>1506</v>
      </c>
      <c r="C81" s="282"/>
    </row>
    <row r="82" spans="2:3">
      <c r="B82" s="317" t="s">
        <v>1507</v>
      </c>
      <c r="C82" s="319">
        <f ca="1">1-C83</f>
        <v>0.90500000000000003</v>
      </c>
    </row>
    <row r="83" spans="2:3">
      <c r="B83" s="317" t="s">
        <v>1508</v>
      </c>
      <c r="C83" s="318">
        <f ca="1">ROUND(C13/C40,3)</f>
        <v>9.5000000000000001E-2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E15" sqref="E1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2525</v>
      </c>
      <c r="B1" s="2563"/>
      <c r="C1" s="2563"/>
      <c r="D1" s="2563"/>
      <c r="E1" s="2564"/>
    </row>
    <row r="2" spans="1:6" ht="15.75">
      <c r="A2" s="2565" t="s">
        <v>2326</v>
      </c>
      <c r="B2" s="2566">
        <f ca="1">SUMIF(B6:B13,"&lt;&gt;#ref!",B6:B13)</f>
        <v>386253</v>
      </c>
      <c r="C2" s="2567" t="s">
        <v>2518</v>
      </c>
      <c r="D2" s="2568" t="s">
        <v>2519</v>
      </c>
      <c r="E2" s="2569">
        <f>SUM(E6:E13)</f>
        <v>100326.75000000001</v>
      </c>
    </row>
    <row r="3" spans="1:6" ht="15.75">
      <c r="A3" s="2565" t="s">
        <v>1389</v>
      </c>
      <c r="B3" s="2566">
        <f ca="1">ROUND(B2*10000/E2,0)</f>
        <v>38500</v>
      </c>
      <c r="C3" s="2567" t="s">
        <v>2526</v>
      </c>
      <c r="D3" s="2570"/>
      <c r="E3" s="2571"/>
    </row>
    <row r="4" spans="1:6" ht="15.75">
      <c r="A4" s="2572"/>
      <c r="B4" s="2570"/>
      <c r="C4" s="2570"/>
      <c r="D4" s="2570"/>
      <c r="E4" s="2571"/>
    </row>
    <row r="5" spans="1:6" ht="15">
      <c r="A5" s="2573" t="s">
        <v>2520</v>
      </c>
      <c r="B5" s="3153" t="s">
        <v>2521</v>
      </c>
      <c r="C5" s="3153"/>
      <c r="D5" s="2574"/>
      <c r="E5" s="2575" t="s">
        <v>2522</v>
      </c>
      <c r="F5" s="2576" t="s">
        <v>2523</v>
      </c>
    </row>
    <row r="6" spans="1:6">
      <c r="A6" s="2577" t="str">
        <f>'数据-取费表'!AN6</f>
        <v>收益法 (元)</v>
      </c>
      <c r="B6" s="2576">
        <f ca="1">IF(F6="是",'数据-取费表'!AO6,0)</f>
        <v>386253</v>
      </c>
      <c r="C6" s="2567" t="s">
        <v>2518</v>
      </c>
      <c r="D6" s="2570"/>
      <c r="E6" s="2578">
        <f>IF(OR(A6=0,F6="否"),0,'数据-取费表'!K6+'数据-取费表'!S6)</f>
        <v>100326.75000000001</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54" t="s">
        <v>1072</v>
      </c>
      <c r="B1" s="3155"/>
      <c r="C1" s="3156"/>
      <c r="D1" s="3157">
        <f>SUM(I10,I15,I20,I21,I23)</f>
        <v>0</v>
      </c>
      <c r="E1" s="3157"/>
      <c r="F1" s="3157"/>
      <c r="G1" s="3157"/>
      <c r="H1" s="3157"/>
      <c r="I1" s="3158"/>
    </row>
    <row r="2" spans="1:9">
      <c r="A2" s="3159" t="s">
        <v>1073</v>
      </c>
      <c r="B2" s="3160" t="s">
        <v>1074</v>
      </c>
      <c r="C2" s="3160"/>
      <c r="D2" s="1301" t="s">
        <v>1075</v>
      </c>
      <c r="E2" s="1301" t="s">
        <v>1076</v>
      </c>
      <c r="F2" s="1301" t="s">
        <v>1077</v>
      </c>
      <c r="G2" s="1301" t="s">
        <v>1078</v>
      </c>
      <c r="H2" s="1301" t="s">
        <v>1079</v>
      </c>
      <c r="I2" s="1302" t="s">
        <v>1080</v>
      </c>
    </row>
    <row r="3" spans="1:9">
      <c r="A3" s="3159"/>
      <c r="B3" s="3160" t="s">
        <v>1081</v>
      </c>
      <c r="C3" s="3160"/>
      <c r="D3" s="1303"/>
      <c r="E3" s="1301"/>
      <c r="F3" s="1304"/>
      <c r="G3" s="1304"/>
      <c r="H3" s="1305"/>
      <c r="I3" s="1306">
        <f>ROUND(D3*E3*F3*G3*H3/10000,0)</f>
        <v>0</v>
      </c>
    </row>
    <row r="4" spans="1:9">
      <c r="A4" s="3159"/>
      <c r="B4" s="3160" t="s">
        <v>1082</v>
      </c>
      <c r="C4" s="3160"/>
      <c r="D4" s="1303"/>
      <c r="E4" s="1301"/>
      <c r="F4" s="1304"/>
      <c r="G4" s="1304"/>
      <c r="H4" s="1305"/>
      <c r="I4" s="1306">
        <f t="shared" ref="I4:I9" si="0">ROUND(D4*E4*F4*G4*H4/10000,0)</f>
        <v>0</v>
      </c>
    </row>
    <row r="5" spans="1:9">
      <c r="A5" s="3159"/>
      <c r="B5" s="3160" t="s">
        <v>1083</v>
      </c>
      <c r="C5" s="3160"/>
      <c r="D5" s="1303"/>
      <c r="E5" s="1301"/>
      <c r="F5" s="1304"/>
      <c r="G5" s="1304"/>
      <c r="H5" s="1305"/>
      <c r="I5" s="1306">
        <f t="shared" si="0"/>
        <v>0</v>
      </c>
    </row>
    <row r="6" spans="1:9">
      <c r="A6" s="3159"/>
      <c r="B6" s="3160" t="s">
        <v>1084</v>
      </c>
      <c r="C6" s="3160"/>
      <c r="D6" s="1303"/>
      <c r="E6" s="1301"/>
      <c r="F6" s="1304"/>
      <c r="G6" s="1304"/>
      <c r="H6" s="1305"/>
      <c r="I6" s="1306">
        <f t="shared" si="0"/>
        <v>0</v>
      </c>
    </row>
    <row r="7" spans="1:9">
      <c r="A7" s="3159"/>
      <c r="B7" s="3160" t="s">
        <v>1085</v>
      </c>
      <c r="C7" s="3160"/>
      <c r="D7" s="1303"/>
      <c r="E7" s="1301"/>
      <c r="F7" s="1304"/>
      <c r="G7" s="1304"/>
      <c r="H7" s="1305"/>
      <c r="I7" s="1306">
        <f t="shared" si="0"/>
        <v>0</v>
      </c>
    </row>
    <row r="8" spans="1:9">
      <c r="A8" s="3159"/>
      <c r="B8" s="3160" t="s">
        <v>1086</v>
      </c>
      <c r="C8" s="3160"/>
      <c r="D8" s="1303"/>
      <c r="E8" s="1301"/>
      <c r="F8" s="1304"/>
      <c r="G8" s="1304"/>
      <c r="H8" s="1305"/>
      <c r="I8" s="1306">
        <f t="shared" si="0"/>
        <v>0</v>
      </c>
    </row>
    <row r="9" spans="1:9">
      <c r="A9" s="3159"/>
      <c r="B9" s="3160" t="s">
        <v>1087</v>
      </c>
      <c r="C9" s="3160"/>
      <c r="D9" s="1303"/>
      <c r="E9" s="1301"/>
      <c r="F9" s="1304"/>
      <c r="G9" s="1304"/>
      <c r="H9" s="1305"/>
      <c r="I9" s="1306">
        <f t="shared" si="0"/>
        <v>0</v>
      </c>
    </row>
    <row r="10" spans="1:9">
      <c r="A10" s="3159"/>
      <c r="B10" s="3161" t="s">
        <v>1088</v>
      </c>
      <c r="C10" s="3161"/>
      <c r="D10" s="1307"/>
      <c r="E10" s="1307" t="e">
        <f>ROUND(D1*10000/D10/H9,0)</f>
        <v>#DIV/0!</v>
      </c>
      <c r="F10" s="1308"/>
      <c r="G10" s="1308"/>
      <c r="H10" s="1309"/>
      <c r="I10" s="1310">
        <f>SUM(I3:I9)</f>
        <v>0</v>
      </c>
    </row>
    <row r="11" spans="1:9" ht="14.25">
      <c r="A11" s="3159" t="s">
        <v>1089</v>
      </c>
      <c r="B11" s="3160" t="s">
        <v>1090</v>
      </c>
      <c r="C11" s="3160"/>
      <c r="D11" s="1303" t="s">
        <v>1091</v>
      </c>
      <c r="E11" s="1303" t="s">
        <v>1092</v>
      </c>
      <c r="F11" s="1304" t="s">
        <v>1093</v>
      </c>
      <c r="G11" s="1304" t="s">
        <v>1079</v>
      </c>
      <c r="H11" s="1311" t="s">
        <v>1094</v>
      </c>
      <c r="I11" s="1302" t="s">
        <v>1080</v>
      </c>
    </row>
    <row r="12" spans="1:9">
      <c r="A12" s="3159"/>
      <c r="B12" s="3160" t="s">
        <v>1095</v>
      </c>
      <c r="C12" s="3160"/>
      <c r="D12" s="1303"/>
      <c r="E12" s="1303"/>
      <c r="F12" s="1304"/>
      <c r="G12" s="1305"/>
      <c r="H12" s="1312"/>
      <c r="I12" s="1302">
        <f>ROUND(D12*E12*F12*G12/10000,0)</f>
        <v>0</v>
      </c>
    </row>
    <row r="13" spans="1:9">
      <c r="A13" s="3159"/>
      <c r="B13" s="3160" t="s">
        <v>1096</v>
      </c>
      <c r="C13" s="3160"/>
      <c r="D13" s="1303"/>
      <c r="E13" s="1303"/>
      <c r="F13" s="1304"/>
      <c r="G13" s="1305"/>
      <c r="H13" s="1312"/>
      <c r="I13" s="1302">
        <f>ROUND(D13*E13*F13*G13/10000,0)</f>
        <v>0</v>
      </c>
    </row>
    <row r="14" spans="1:9">
      <c r="A14" s="3159"/>
      <c r="B14" s="3160" t="s">
        <v>1097</v>
      </c>
      <c r="C14" s="3160"/>
      <c r="D14" s="1303"/>
      <c r="E14" s="1303"/>
      <c r="F14" s="1304"/>
      <c r="G14" s="1305"/>
      <c r="H14" s="1312"/>
      <c r="I14" s="1302">
        <f>ROUND(D14*E14*F14*G14/10000,0)</f>
        <v>0</v>
      </c>
    </row>
    <row r="15" spans="1:9">
      <c r="A15" s="3159"/>
      <c r="B15" s="3161" t="s">
        <v>1088</v>
      </c>
      <c r="C15" s="3161"/>
      <c r="D15" s="1307"/>
      <c r="E15" s="1307">
        <f>SUM(E12:E14)</f>
        <v>0</v>
      </c>
      <c r="F15" s="1308"/>
      <c r="G15" s="1305"/>
      <c r="H15" s="1312"/>
      <c r="I15" s="1313">
        <f>SUM(I12:I14)</f>
        <v>0</v>
      </c>
    </row>
    <row r="16" spans="1:9" ht="24">
      <c r="A16" s="3159" t="s">
        <v>1098</v>
      </c>
      <c r="B16" s="3160" t="s">
        <v>1099</v>
      </c>
      <c r="C16" s="3160"/>
      <c r="D16" s="1303" t="s">
        <v>1075</v>
      </c>
      <c r="E16" s="1314" t="s">
        <v>1100</v>
      </c>
      <c r="F16" s="1304" t="s">
        <v>1101</v>
      </c>
      <c r="G16" s="1305" t="s">
        <v>1079</v>
      </c>
      <c r="H16" s="1311" t="s">
        <v>1094</v>
      </c>
      <c r="I16" s="1302" t="s">
        <v>1080</v>
      </c>
    </row>
    <row r="17" spans="1:9" ht="14.25">
      <c r="A17" s="3159"/>
      <c r="B17" s="3160" t="s">
        <v>1102</v>
      </c>
      <c r="C17" s="3160"/>
      <c r="D17" s="1303"/>
      <c r="E17" s="1303"/>
      <c r="F17" s="1304"/>
      <c r="G17" s="1305"/>
      <c r="H17" s="1315"/>
      <c r="I17" s="1316">
        <f>ROUND(D17*E17*F17*G17/10000,0)</f>
        <v>0</v>
      </c>
    </row>
    <row r="18" spans="1:9" ht="14.25">
      <c r="A18" s="3159"/>
      <c r="B18" s="3160" t="s">
        <v>1103</v>
      </c>
      <c r="C18" s="3160"/>
      <c r="D18" s="1303"/>
      <c r="E18" s="1303"/>
      <c r="F18" s="1304"/>
      <c r="G18" s="1305"/>
      <c r="H18" s="1315"/>
      <c r="I18" s="1316">
        <f>ROUND(D18*E18*F18*G18/10000,0)</f>
        <v>0</v>
      </c>
    </row>
    <row r="19" spans="1:9" ht="14.25">
      <c r="A19" s="3159"/>
      <c r="B19" s="3160" t="s">
        <v>1104</v>
      </c>
      <c r="C19" s="3160"/>
      <c r="D19" s="1303"/>
      <c r="E19" s="1303"/>
      <c r="F19" s="1304"/>
      <c r="G19" s="1305"/>
      <c r="H19" s="1315"/>
      <c r="I19" s="1316">
        <f>ROUND(D19*E19*F19*G19/10000,0)</f>
        <v>0</v>
      </c>
    </row>
    <row r="20" spans="1:9">
      <c r="A20" s="3159"/>
      <c r="B20" s="3161" t="s">
        <v>1088</v>
      </c>
      <c r="C20" s="3161"/>
      <c r="D20" s="1307">
        <f>SUM(D17:D19)</f>
        <v>0</v>
      </c>
      <c r="E20" s="1307"/>
      <c r="F20" s="1308"/>
      <c r="G20" s="1305"/>
      <c r="H20" s="1312"/>
      <c r="I20" s="1313">
        <f>SUM(I17:I19)</f>
        <v>0</v>
      </c>
    </row>
    <row r="21" spans="1:9">
      <c r="A21" s="3159" t="s">
        <v>1105</v>
      </c>
      <c r="B21" s="3163"/>
      <c r="C21" s="3163"/>
      <c r="D21" s="3163"/>
      <c r="E21" s="3163"/>
      <c r="F21" s="3163"/>
      <c r="G21" s="3163"/>
      <c r="H21" s="1765">
        <v>0.1</v>
      </c>
      <c r="I21" s="1310">
        <f>ROUND(I10*H21,0)</f>
        <v>0</v>
      </c>
    </row>
    <row r="22" spans="1:9" ht="14.25">
      <c r="A22" s="3164" t="s">
        <v>1106</v>
      </c>
      <c r="B22" s="3165"/>
      <c r="C22" s="3166"/>
      <c r="D22" s="1317" t="s">
        <v>1107</v>
      </c>
      <c r="E22" s="1317" t="s">
        <v>1108</v>
      </c>
      <c r="F22" s="1318" t="s">
        <v>1109</v>
      </c>
      <c r="G22" s="1318" t="s">
        <v>1110</v>
      </c>
      <c r="H22" s="1311" t="s">
        <v>1111</v>
      </c>
      <c r="I22" s="1302" t="s">
        <v>1112</v>
      </c>
    </row>
    <row r="23" spans="1:9" ht="14.25" thickBot="1">
      <c r="A23" s="3167"/>
      <c r="B23" s="3168"/>
      <c r="C23" s="3169"/>
      <c r="D23" s="1319"/>
      <c r="E23" s="1319"/>
      <c r="F23" s="1319"/>
      <c r="G23" s="1320"/>
      <c r="H23" s="1321"/>
      <c r="I23" s="1322">
        <f>ROUND(E23*D23*F23*(1-G23)/10000,0)</f>
        <v>0</v>
      </c>
    </row>
    <row r="26" spans="1:9">
      <c r="A26" s="1323" t="s">
        <v>1113</v>
      </c>
      <c r="B26" s="1323"/>
      <c r="C26" s="1323"/>
      <c r="D26" s="1323"/>
      <c r="E26" s="3170">
        <f>C27-C30-C31-C32</f>
        <v>0</v>
      </c>
      <c r="F26" s="3170"/>
      <c r="G26" s="3170"/>
      <c r="H26" s="1737" t="s">
        <v>1335</v>
      </c>
    </row>
    <row r="27" spans="1:9">
      <c r="A27" s="1324">
        <v>1</v>
      </c>
      <c r="B27" s="1325" t="s">
        <v>1114</v>
      </c>
      <c r="C27" s="1325">
        <f>C28+C29</f>
        <v>0</v>
      </c>
      <c r="D27" s="1325"/>
      <c r="E27" s="3171"/>
      <c r="F27" s="3171"/>
      <c r="G27" s="3171"/>
    </row>
    <row r="28" spans="1:9">
      <c r="A28" s="1326" t="s">
        <v>1115</v>
      </c>
      <c r="B28" s="1325" t="s">
        <v>1116</v>
      </c>
      <c r="C28" s="1325"/>
      <c r="D28" s="1325"/>
      <c r="E28" s="3171"/>
      <c r="F28" s="3171"/>
      <c r="G28" s="317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2"/>
      <c r="F32" s="3162"/>
      <c r="G32" s="3162"/>
    </row>
    <row r="33" spans="1:7" hidden="1">
      <c r="A33" s="3172" t="s">
        <v>1125</v>
      </c>
      <c r="B33" s="3173"/>
      <c r="C33" s="3173"/>
      <c r="D33" s="3174"/>
      <c r="E33" s="3170"/>
      <c r="F33" s="3170"/>
      <c r="G33" s="3170"/>
    </row>
    <row r="34" spans="1:7" hidden="1">
      <c r="A34" s="1328">
        <v>1</v>
      </c>
      <c r="B34" s="1325" t="s">
        <v>1126</v>
      </c>
      <c r="C34" s="1325"/>
      <c r="D34" s="1325"/>
      <c r="E34" s="3171"/>
      <c r="F34" s="3171"/>
      <c r="G34" s="3171"/>
    </row>
    <row r="35" spans="1:7" hidden="1">
      <c r="A35" s="1328">
        <v>2</v>
      </c>
      <c r="B35" s="1325" t="s">
        <v>1127</v>
      </c>
      <c r="C35" s="1325"/>
      <c r="D35" s="1325"/>
      <c r="E35" s="3171"/>
      <c r="F35" s="3171"/>
      <c r="G35" s="3171"/>
    </row>
    <row r="36" spans="1:7" hidden="1">
      <c r="A36" s="1328">
        <v>3</v>
      </c>
      <c r="B36" s="1325" t="s">
        <v>1128</v>
      </c>
      <c r="C36" s="1325"/>
      <c r="D36" s="1325"/>
      <c r="E36" s="3171"/>
      <c r="F36" s="3171"/>
      <c r="G36" s="3171"/>
    </row>
    <row r="37" spans="1:7" hidden="1">
      <c r="A37" s="1328">
        <v>4</v>
      </c>
      <c r="B37" s="1325" t="s">
        <v>1129</v>
      </c>
      <c r="C37" s="1325"/>
      <c r="D37" s="1325"/>
      <c r="E37" s="3171"/>
      <c r="F37" s="3171"/>
      <c r="G37" s="3171"/>
    </row>
    <row r="38" spans="1:7" hidden="1">
      <c r="A38" s="3172" t="s">
        <v>1130</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3" t="s">
        <v>2528</v>
      </c>
      <c r="C1" s="1634" t="s">
        <v>2529</v>
      </c>
      <c r="D1" s="1621"/>
      <c r="E1" s="2584"/>
      <c r="F1" s="2585" t="s">
        <v>2530</v>
      </c>
      <c r="G1" s="1631" t="s">
        <v>2531</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2532</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2533</v>
      </c>
      <c r="D3" s="399">
        <f>IF(D1="",'数据-汇总表'!E3,SUMIF('数据-汇总表'!$C19:$C33,D1,'数据-汇总表'!$E19:$E33))</f>
        <v>100326.75000000001</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2534</v>
      </c>
      <c r="B4" s="402"/>
      <c r="C4" s="3193" t="s">
        <v>2535</v>
      </c>
      <c r="D4" s="3194"/>
      <c r="E4" s="3195" t="s">
        <v>2536</v>
      </c>
      <c r="F4" s="3196"/>
      <c r="G4" s="3193" t="s">
        <v>2537</v>
      </c>
      <c r="H4" s="3194"/>
      <c r="I4" s="3193" t="s">
        <v>2538</v>
      </c>
      <c r="J4" s="3194"/>
      <c r="K4" s="2597" t="s">
        <v>2539</v>
      </c>
      <c r="L4" s="1130"/>
      <c r="M4" s="1131"/>
      <c r="N4" s="1131"/>
      <c r="O4" s="1131"/>
      <c r="P4" s="3197" t="s">
        <v>2540</v>
      </c>
      <c r="Q4" s="3198"/>
      <c r="R4" s="3180" t="s">
        <v>2536</v>
      </c>
      <c r="S4" s="3181"/>
      <c r="T4" s="3180" t="s">
        <v>2537</v>
      </c>
      <c r="U4" s="3181"/>
      <c r="V4" s="3205" t="s">
        <v>2538</v>
      </c>
      <c r="W4" s="3205"/>
      <c r="X4" s="1813"/>
      <c r="Y4" s="3180" t="s">
        <v>2540</v>
      </c>
      <c r="Z4" s="3181"/>
      <c r="AA4" s="3175" t="s">
        <v>2536</v>
      </c>
      <c r="AB4" s="3175" t="s">
        <v>2537</v>
      </c>
      <c r="AC4" s="3175" t="s">
        <v>2538</v>
      </c>
    </row>
    <row r="5" spans="1:29" ht="15">
      <c r="A5" s="404"/>
      <c r="B5" s="405"/>
      <c r="C5" s="3186" t="s">
        <v>2541</v>
      </c>
      <c r="D5" s="3187"/>
      <c r="E5" s="3184" t="s">
        <v>2542</v>
      </c>
      <c r="F5" s="3185"/>
      <c r="G5" s="3186" t="s">
        <v>2543</v>
      </c>
      <c r="H5" s="3187"/>
      <c r="I5" s="3186" t="s">
        <v>2544</v>
      </c>
      <c r="J5" s="3187"/>
      <c r="K5" s="2598"/>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2545</v>
      </c>
      <c r="D6" s="3189"/>
      <c r="E6" s="3190" t="s">
        <v>2545</v>
      </c>
      <c r="F6" s="3191"/>
      <c r="G6" s="3188" t="s">
        <v>2545</v>
      </c>
      <c r="H6" s="3189"/>
      <c r="I6" s="3188" t="s">
        <v>2545</v>
      </c>
      <c r="J6" s="3189"/>
      <c r="K6" s="2598"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43899</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178" t="s">
        <v>2548</v>
      </c>
      <c r="Q7" s="3206"/>
      <c r="R7" s="770" t="s">
        <v>23</v>
      </c>
      <c r="S7" s="771">
        <f t="shared" ref="S7:S15" si="0">F7</f>
        <v>0</v>
      </c>
      <c r="T7" s="770" t="s">
        <v>23</v>
      </c>
      <c r="U7" s="771">
        <f t="shared" ref="U7:U15" si="1">H7</f>
        <v>0</v>
      </c>
      <c r="V7" s="770" t="s">
        <v>23</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2550</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178" t="s">
        <v>2551</v>
      </c>
      <c r="Q8" s="3179"/>
      <c r="R8" s="770" t="s">
        <v>23</v>
      </c>
      <c r="S8" s="771">
        <f t="shared" si="0"/>
        <v>0</v>
      </c>
      <c r="T8" s="770" t="s">
        <v>23</v>
      </c>
      <c r="U8" s="771">
        <f t="shared" si="1"/>
        <v>0</v>
      </c>
      <c r="V8" s="770" t="s">
        <v>23</v>
      </c>
      <c r="W8" s="771">
        <f t="shared" si="2"/>
        <v>0</v>
      </c>
      <c r="X8" s="772"/>
      <c r="Y8" s="3178" t="s">
        <v>2551</v>
      </c>
      <c r="Z8" s="3179"/>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92"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2"/>
      <c r="Q11" s="1795"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92"/>
      <c r="Q12" s="1795">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92"/>
      <c r="Q13" s="1795">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92"/>
      <c r="Q14" s="1795">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2558</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9" t="s">
        <v>2559</v>
      </c>
      <c r="Q15" s="1810" t="str">
        <f t="shared" si="6"/>
        <v>居住社区成熟度</v>
      </c>
      <c r="R15" s="774" t="s">
        <v>21</v>
      </c>
      <c r="S15" s="775">
        <f t="shared" si="0"/>
        <v>100</v>
      </c>
      <c r="T15" s="774" t="s">
        <v>21</v>
      </c>
      <c r="U15" s="775">
        <f t="shared" si="1"/>
        <v>100</v>
      </c>
      <c r="V15" s="774" t="s">
        <v>21</v>
      </c>
      <c r="W15" s="775">
        <f t="shared" si="2"/>
        <v>100</v>
      </c>
      <c r="X15" s="1813"/>
      <c r="Y15" s="3212" t="s">
        <v>2559</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20"/>
      <c r="Q16" s="1810"/>
      <c r="R16" s="774"/>
      <c r="S16" s="775"/>
      <c r="T16" s="774"/>
      <c r="U16" s="775"/>
      <c r="V16" s="774"/>
      <c r="W16" s="775"/>
      <c r="X16" s="1813"/>
      <c r="Y16" s="3213"/>
      <c r="Z16" s="1814"/>
      <c r="AA16" s="1811">
        <v>1</v>
      </c>
      <c r="AB16" s="1811">
        <v>1</v>
      </c>
      <c r="AC16" s="1811">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0"/>
      <c r="Q17" s="1810" t="str">
        <f>B17</f>
        <v>交通便捷度</v>
      </c>
      <c r="R17" s="774" t="s">
        <v>21</v>
      </c>
      <c r="S17" s="775">
        <f>F17</f>
        <v>100</v>
      </c>
      <c r="T17" s="774" t="s">
        <v>21</v>
      </c>
      <c r="U17" s="775">
        <f>H17</f>
        <v>100</v>
      </c>
      <c r="V17" s="774" t="s">
        <v>21</v>
      </c>
      <c r="W17" s="775">
        <f>J17</f>
        <v>100</v>
      </c>
      <c r="X17" s="1813"/>
      <c r="Y17" s="3213"/>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20"/>
      <c r="Q18" s="1810"/>
      <c r="R18" s="774"/>
      <c r="S18" s="775"/>
      <c r="T18" s="774"/>
      <c r="U18" s="775"/>
      <c r="V18" s="774"/>
      <c r="W18" s="775"/>
      <c r="X18" s="1813"/>
      <c r="Y18" s="3213"/>
      <c r="Z18" s="1814"/>
      <c r="AA18" s="1811">
        <v>1</v>
      </c>
      <c r="AB18" s="1811">
        <v>1</v>
      </c>
      <c r="AC18" s="1811">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0"/>
      <c r="Q19" s="1810" t="str">
        <f>B19</f>
        <v>公共配套设施</v>
      </c>
      <c r="R19" s="774" t="s">
        <v>21</v>
      </c>
      <c r="S19" s="775">
        <f>F19</f>
        <v>100</v>
      </c>
      <c r="T19" s="774" t="s">
        <v>21</v>
      </c>
      <c r="U19" s="775">
        <f>H19</f>
        <v>100</v>
      </c>
      <c r="V19" s="774" t="s">
        <v>21</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20"/>
      <c r="Q20" s="1810"/>
      <c r="R20" s="774"/>
      <c r="S20" s="775"/>
      <c r="T20" s="774"/>
      <c r="U20" s="775"/>
      <c r="V20" s="774"/>
      <c r="W20" s="775"/>
      <c r="X20" s="1813"/>
      <c r="Y20" s="3213"/>
      <c r="Z20" s="1814"/>
      <c r="AA20" s="1811">
        <v>1</v>
      </c>
      <c r="AB20" s="1811">
        <v>1</v>
      </c>
      <c r="AC20" s="1811">
        <v>1</v>
      </c>
    </row>
    <row r="21" spans="1:29" ht="28.5">
      <c r="A21" s="428"/>
      <c r="B21" s="1384"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20"/>
      <c r="Q22" s="1810"/>
      <c r="R22" s="774"/>
      <c r="S22" s="775"/>
      <c r="T22" s="774"/>
      <c r="U22" s="775"/>
      <c r="V22" s="774"/>
      <c r="W22" s="775"/>
      <c r="X22" s="1813"/>
      <c r="Y22" s="3213"/>
      <c r="Z22" s="1814"/>
      <c r="AA22" s="1811">
        <v>1</v>
      </c>
      <c r="AB22" s="1811">
        <v>1</v>
      </c>
      <c r="AC22" s="1811">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0"/>
      <c r="Q23" s="1810" t="str">
        <f>B23</f>
        <v>自然及人文环境</v>
      </c>
      <c r="R23" s="774" t="s">
        <v>21</v>
      </c>
      <c r="S23" s="775">
        <f>F23</f>
        <v>100</v>
      </c>
      <c r="T23" s="774" t="s">
        <v>21</v>
      </c>
      <c r="U23" s="775">
        <f>H23</f>
        <v>100</v>
      </c>
      <c r="V23" s="774" t="s">
        <v>21</v>
      </c>
      <c r="W23" s="775">
        <f>J23</f>
        <v>100</v>
      </c>
      <c r="X23" s="1813"/>
      <c r="Y23" s="3213"/>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20"/>
      <c r="Q24" s="1810"/>
      <c r="R24" s="774"/>
      <c r="S24" s="775"/>
      <c r="T24" s="774"/>
      <c r="U24" s="775"/>
      <c r="V24" s="774"/>
      <c r="W24" s="775"/>
      <c r="X24" s="1813"/>
      <c r="Y24" s="3213"/>
      <c r="Z24" s="1814"/>
      <c r="AA24" s="1811">
        <v>1</v>
      </c>
      <c r="AB24" s="1811">
        <v>1</v>
      </c>
      <c r="AC24" s="1811">
        <v>1</v>
      </c>
    </row>
    <row r="25" spans="1:29" ht="15">
      <c r="A25" s="428"/>
      <c r="B25" s="422" t="s">
        <v>2560</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2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3"/>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20"/>
      <c r="Q26" s="1810" t="str">
        <f t="shared" si="11"/>
        <v>朝向</v>
      </c>
      <c r="R26" s="774" t="s">
        <v>21</v>
      </c>
      <c r="S26" s="775">
        <f t="shared" si="12"/>
        <v>100</v>
      </c>
      <c r="T26" s="774" t="s">
        <v>21</v>
      </c>
      <c r="U26" s="775">
        <f t="shared" si="13"/>
        <v>100</v>
      </c>
      <c r="V26" s="774" t="s">
        <v>21</v>
      </c>
      <c r="W26" s="775">
        <f t="shared" si="14"/>
        <v>100</v>
      </c>
      <c r="X26" s="1813"/>
      <c r="Y26" s="321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20"/>
      <c r="Q27" s="1795">
        <f t="shared" si="11"/>
        <v>111</v>
      </c>
      <c r="R27" s="770" t="s">
        <v>21</v>
      </c>
      <c r="S27" s="771">
        <f t="shared" si="12"/>
        <v>100</v>
      </c>
      <c r="T27" s="770" t="s">
        <v>21</v>
      </c>
      <c r="U27" s="771">
        <f t="shared" si="13"/>
        <v>100</v>
      </c>
      <c r="V27" s="770" t="s">
        <v>21</v>
      </c>
      <c r="W27" s="771">
        <f t="shared" si="14"/>
        <v>100</v>
      </c>
      <c r="X27" s="772"/>
      <c r="Y27" s="321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20"/>
      <c r="Q28" s="1810">
        <f t="shared" si="11"/>
        <v>111</v>
      </c>
      <c r="R28" s="774" t="s">
        <v>21</v>
      </c>
      <c r="S28" s="775">
        <f t="shared" si="12"/>
        <v>100</v>
      </c>
      <c r="T28" s="774" t="s">
        <v>21</v>
      </c>
      <c r="U28" s="775">
        <f t="shared" si="13"/>
        <v>100</v>
      </c>
      <c r="V28" s="774" t="s">
        <v>21</v>
      </c>
      <c r="W28" s="775">
        <f t="shared" si="14"/>
        <v>100</v>
      </c>
      <c r="X28" s="1813"/>
      <c r="Y28" s="321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20"/>
      <c r="Q29" s="1810">
        <f t="shared" si="11"/>
        <v>111</v>
      </c>
      <c r="R29" s="774" t="s">
        <v>21</v>
      </c>
      <c r="S29" s="775">
        <f t="shared" si="12"/>
        <v>100</v>
      </c>
      <c r="T29" s="774" t="s">
        <v>21</v>
      </c>
      <c r="U29" s="775">
        <f t="shared" si="13"/>
        <v>100</v>
      </c>
      <c r="V29" s="774" t="s">
        <v>21</v>
      </c>
      <c r="W29" s="775">
        <f t="shared" si="14"/>
        <v>100</v>
      </c>
      <c r="X29" s="1813"/>
      <c r="Y29" s="321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20"/>
      <c r="Q30" s="1810">
        <f t="shared" si="11"/>
        <v>111</v>
      </c>
      <c r="R30" s="774" t="s">
        <v>21</v>
      </c>
      <c r="S30" s="775">
        <f t="shared" si="12"/>
        <v>100</v>
      </c>
      <c r="T30" s="774" t="s">
        <v>21</v>
      </c>
      <c r="U30" s="775">
        <f t="shared" si="13"/>
        <v>100</v>
      </c>
      <c r="V30" s="774" t="s">
        <v>21</v>
      </c>
      <c r="W30" s="775">
        <f t="shared" si="14"/>
        <v>100</v>
      </c>
      <c r="X30" s="1813"/>
      <c r="Y30" s="321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20"/>
      <c r="Q31" s="1810">
        <f t="shared" si="11"/>
        <v>111</v>
      </c>
      <c r="R31" s="774" t="s">
        <v>21</v>
      </c>
      <c r="S31" s="775">
        <f t="shared" si="12"/>
        <v>100</v>
      </c>
      <c r="T31" s="774" t="s">
        <v>21</v>
      </c>
      <c r="U31" s="775">
        <f t="shared" si="13"/>
        <v>100</v>
      </c>
      <c r="V31" s="774" t="s">
        <v>21</v>
      </c>
      <c r="W31" s="775">
        <f t="shared" si="14"/>
        <v>100</v>
      </c>
      <c r="X31" s="1813"/>
      <c r="Y31" s="3213"/>
      <c r="Z31" s="1814">
        <f t="shared" si="18"/>
        <v>111</v>
      </c>
      <c r="AA31" s="1811">
        <f t="shared" si="15"/>
        <v>1</v>
      </c>
      <c r="AB31" s="1811">
        <f t="shared" si="16"/>
        <v>1</v>
      </c>
      <c r="AC31" s="1811">
        <f t="shared" si="17"/>
        <v>1</v>
      </c>
    </row>
    <row r="32" spans="1:29" ht="15">
      <c r="A32" s="440" t="s">
        <v>2562</v>
      </c>
      <c r="B32" s="71" t="s">
        <v>2563</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14" t="s">
        <v>2564</v>
      </c>
      <c r="Q32" s="1810" t="str">
        <f t="shared" si="11"/>
        <v>建筑类型</v>
      </c>
      <c r="R32" s="774" t="s">
        <v>21</v>
      </c>
      <c r="S32" s="775">
        <f t="shared" si="12"/>
        <v>100</v>
      </c>
      <c r="T32" s="774" t="s">
        <v>21</v>
      </c>
      <c r="U32" s="775">
        <f t="shared" si="13"/>
        <v>100</v>
      </c>
      <c r="V32" s="774" t="s">
        <v>21</v>
      </c>
      <c r="W32" s="775">
        <f t="shared" si="14"/>
        <v>100</v>
      </c>
      <c r="X32" s="1813"/>
      <c r="Y32" s="3217"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1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1" t="e">
        <f t="shared" si="15"/>
        <v>#N/A</v>
      </c>
      <c r="AB33" s="1811" t="e">
        <f t="shared" si="16"/>
        <v>#N/A</v>
      </c>
      <c r="AC33" s="1811" t="e">
        <f t="shared" si="17"/>
        <v>#N/A</v>
      </c>
    </row>
    <row r="34" spans="1:29" ht="15">
      <c r="A34" s="472"/>
      <c r="B34" s="422" t="s">
        <v>2566</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15"/>
      <c r="Q34" s="1810" t="str">
        <f t="shared" si="11"/>
        <v>建筑结构</v>
      </c>
      <c r="R34" s="774" t="s">
        <v>21</v>
      </c>
      <c r="S34" s="775">
        <f t="shared" si="12"/>
        <v>100</v>
      </c>
      <c r="T34" s="774" t="s">
        <v>21</v>
      </c>
      <c r="U34" s="775">
        <f t="shared" si="13"/>
        <v>100</v>
      </c>
      <c r="V34" s="774" t="s">
        <v>21</v>
      </c>
      <c r="W34" s="775">
        <f t="shared" si="14"/>
        <v>100</v>
      </c>
      <c r="X34" s="1813"/>
      <c r="Y34" s="3217"/>
      <c r="Z34" s="1814" t="str">
        <f t="shared" si="18"/>
        <v>建筑结构</v>
      </c>
      <c r="AA34" s="1811">
        <f t="shared" si="15"/>
        <v>1</v>
      </c>
      <c r="AB34" s="1811">
        <f t="shared" si="16"/>
        <v>1</v>
      </c>
      <c r="AC34" s="1811">
        <f t="shared" si="17"/>
        <v>1</v>
      </c>
    </row>
    <row r="35" spans="1:29" ht="15">
      <c r="A35" s="472"/>
      <c r="B35" s="422" t="s">
        <v>2567</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15"/>
      <c r="Q35" s="1810" t="str">
        <f t="shared" si="11"/>
        <v>建筑品质</v>
      </c>
      <c r="R35" s="774" t="s">
        <v>21</v>
      </c>
      <c r="S35" s="775">
        <f t="shared" si="12"/>
        <v>100</v>
      </c>
      <c r="T35" s="774" t="s">
        <v>21</v>
      </c>
      <c r="U35" s="775">
        <f t="shared" si="13"/>
        <v>100</v>
      </c>
      <c r="V35" s="774" t="s">
        <v>21</v>
      </c>
      <c r="W35" s="775">
        <f t="shared" si="14"/>
        <v>100</v>
      </c>
      <c r="X35" s="1813"/>
      <c r="Y35" s="3217"/>
      <c r="Z35" s="1814" t="str">
        <f t="shared" si="18"/>
        <v>建筑品质</v>
      </c>
      <c r="AA35" s="1811">
        <f t="shared" si="15"/>
        <v>1</v>
      </c>
      <c r="AB35" s="1811">
        <f t="shared" si="16"/>
        <v>1</v>
      </c>
      <c r="AC35" s="1811">
        <f t="shared" si="17"/>
        <v>1</v>
      </c>
    </row>
    <row r="36" spans="1:29" ht="15">
      <c r="A36" s="472"/>
      <c r="B36" s="422" t="s">
        <v>2568</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15"/>
      <c r="Q36" s="1810" t="str">
        <f t="shared" si="11"/>
        <v>公共部分装修</v>
      </c>
      <c r="R36" s="774" t="s">
        <v>21</v>
      </c>
      <c r="S36" s="775">
        <f t="shared" si="12"/>
        <v>100</v>
      </c>
      <c r="T36" s="774" t="s">
        <v>21</v>
      </c>
      <c r="U36" s="775">
        <f t="shared" si="13"/>
        <v>100</v>
      </c>
      <c r="V36" s="774" t="s">
        <v>21</v>
      </c>
      <c r="W36" s="775">
        <f t="shared" si="14"/>
        <v>100</v>
      </c>
      <c r="X36" s="1813"/>
      <c r="Y36" s="3217"/>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5"/>
      <c r="Q37" s="1795"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2570</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15" t="s">
        <v>2564</v>
      </c>
      <c r="Q38" s="1810" t="str">
        <f t="shared" si="11"/>
        <v>物业管理</v>
      </c>
      <c r="R38" s="774" t="s">
        <v>21</v>
      </c>
      <c r="S38" s="775">
        <f t="shared" si="12"/>
        <v>100</v>
      </c>
      <c r="T38" s="774" t="s">
        <v>21</v>
      </c>
      <c r="U38" s="775">
        <f t="shared" si="13"/>
        <v>100</v>
      </c>
      <c r="V38" s="774" t="s">
        <v>21</v>
      </c>
      <c r="W38" s="775">
        <f t="shared" si="14"/>
        <v>100</v>
      </c>
      <c r="X38" s="1813"/>
      <c r="Y38" s="3217" t="s">
        <v>2564</v>
      </c>
      <c r="Z38" s="1814" t="str">
        <f t="shared" si="18"/>
        <v>物业管理</v>
      </c>
      <c r="AA38" s="1811">
        <f t="shared" si="15"/>
        <v>1</v>
      </c>
      <c r="AB38" s="1811">
        <f t="shared" si="16"/>
        <v>1</v>
      </c>
      <c r="AC38" s="1811">
        <f t="shared" si="17"/>
        <v>1</v>
      </c>
    </row>
    <row r="39" spans="1:29" ht="15">
      <c r="A39" s="472"/>
      <c r="B39" s="422" t="s">
        <v>2571</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15"/>
      <c r="Q39" s="1810" t="str">
        <f t="shared" si="11"/>
        <v>市政基础设施</v>
      </c>
      <c r="R39" s="774" t="s">
        <v>21</v>
      </c>
      <c r="S39" s="775">
        <f t="shared" si="12"/>
        <v>100</v>
      </c>
      <c r="T39" s="774" t="s">
        <v>21</v>
      </c>
      <c r="U39" s="775">
        <f t="shared" si="13"/>
        <v>100</v>
      </c>
      <c r="V39" s="774" t="s">
        <v>21</v>
      </c>
      <c r="W39" s="775">
        <f t="shared" si="14"/>
        <v>100</v>
      </c>
      <c r="X39" s="1813"/>
      <c r="Y39" s="3217"/>
      <c r="Z39" s="1814" t="str">
        <f t="shared" si="18"/>
        <v>市政基础设施</v>
      </c>
      <c r="AA39" s="1811">
        <f t="shared" si="15"/>
        <v>1</v>
      </c>
      <c r="AB39" s="1811">
        <f t="shared" si="16"/>
        <v>1</v>
      </c>
      <c r="AC39" s="1811">
        <f t="shared" si="17"/>
        <v>1</v>
      </c>
    </row>
    <row r="40" spans="1:29" ht="15">
      <c r="A40" s="472"/>
      <c r="B40" s="422" t="s">
        <v>2572</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15"/>
      <c r="Q40" s="1810" t="str">
        <f t="shared" si="11"/>
        <v>房型</v>
      </c>
      <c r="R40" s="774" t="s">
        <v>21</v>
      </c>
      <c r="S40" s="775">
        <f t="shared" si="12"/>
        <v>100</v>
      </c>
      <c r="T40" s="774" t="s">
        <v>21</v>
      </c>
      <c r="U40" s="775">
        <f t="shared" si="13"/>
        <v>100</v>
      </c>
      <c r="V40" s="774" t="s">
        <v>21</v>
      </c>
      <c r="W40" s="775">
        <f t="shared" si="14"/>
        <v>100</v>
      </c>
      <c r="X40" s="1813"/>
      <c r="Y40" s="3217"/>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1">
        <f t="shared" si="15"/>
        <v>1</v>
      </c>
      <c r="AB41" s="1811">
        <f t="shared" si="16"/>
        <v>1</v>
      </c>
      <c r="AC41" s="1811">
        <f t="shared" si="17"/>
        <v>1</v>
      </c>
    </row>
    <row r="42" spans="1:29" ht="15">
      <c r="A42" s="472"/>
      <c r="B42" s="422" t="s">
        <v>2574</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15"/>
      <c r="Q42" s="1810" t="str">
        <f t="shared" si="11"/>
        <v>内部装修</v>
      </c>
      <c r="R42" s="774" t="s">
        <v>21</v>
      </c>
      <c r="S42" s="775">
        <f t="shared" si="12"/>
        <v>100</v>
      </c>
      <c r="T42" s="774" t="s">
        <v>21</v>
      </c>
      <c r="U42" s="775">
        <f t="shared" si="13"/>
        <v>100</v>
      </c>
      <c r="V42" s="774" t="s">
        <v>21</v>
      </c>
      <c r="W42" s="775">
        <f t="shared" si="14"/>
        <v>100</v>
      </c>
      <c r="X42" s="1813"/>
      <c r="Y42" s="3217"/>
      <c r="Z42" s="1814" t="str">
        <f t="shared" si="18"/>
        <v>内部装修</v>
      </c>
      <c r="AA42" s="1811">
        <f t="shared" si="15"/>
        <v>1</v>
      </c>
      <c r="AB42" s="1811">
        <f t="shared" si="16"/>
        <v>1</v>
      </c>
      <c r="AC42" s="1811">
        <f t="shared" si="17"/>
        <v>1</v>
      </c>
    </row>
    <row r="43" spans="1:29" ht="15">
      <c r="A43" s="472"/>
      <c r="B43" s="422" t="s">
        <v>2575</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15"/>
      <c r="Q43" s="1810" t="str">
        <f t="shared" si="11"/>
        <v>内部装修维护情况</v>
      </c>
      <c r="R43" s="774" t="s">
        <v>21</v>
      </c>
      <c r="S43" s="775">
        <f t="shared" si="12"/>
        <v>100</v>
      </c>
      <c r="T43" s="774" t="s">
        <v>21</v>
      </c>
      <c r="U43" s="775">
        <f t="shared" si="13"/>
        <v>100</v>
      </c>
      <c r="V43" s="774" t="s">
        <v>21</v>
      </c>
      <c r="W43" s="775">
        <f t="shared" si="14"/>
        <v>100</v>
      </c>
      <c r="X43" s="1813"/>
      <c r="Y43" s="321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15"/>
      <c r="Q44" s="1795">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15"/>
      <c r="Q45" s="1810">
        <f t="shared" si="11"/>
        <v>111</v>
      </c>
      <c r="R45" s="774" t="s">
        <v>21</v>
      </c>
      <c r="S45" s="775">
        <f t="shared" si="12"/>
        <v>100</v>
      </c>
      <c r="T45" s="774" t="s">
        <v>21</v>
      </c>
      <c r="U45" s="775">
        <f t="shared" si="13"/>
        <v>100</v>
      </c>
      <c r="V45" s="774" t="s">
        <v>21</v>
      </c>
      <c r="W45" s="775">
        <f t="shared" si="14"/>
        <v>100</v>
      </c>
      <c r="X45" s="1813"/>
      <c r="Y45" s="3217"/>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16"/>
      <c r="Q46" s="1810">
        <f t="shared" si="11"/>
        <v>111</v>
      </c>
      <c r="R46" s="774" t="s">
        <v>20</v>
      </c>
      <c r="S46" s="775">
        <f t="shared" si="12"/>
        <v>100</v>
      </c>
      <c r="T46" s="774" t="s">
        <v>20</v>
      </c>
      <c r="U46" s="775">
        <f t="shared" si="13"/>
        <v>100</v>
      </c>
      <c r="V46" s="774" t="s">
        <v>20</v>
      </c>
      <c r="W46" s="775">
        <f t="shared" si="14"/>
        <v>100</v>
      </c>
      <c r="X46" s="1813"/>
      <c r="Y46" s="3218"/>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2"/>
      <c r="L47" s="1143"/>
      <c r="M47" s="1144"/>
      <c r="N47" s="1131"/>
      <c r="O47" s="1144"/>
      <c r="P47" s="3210" t="str">
        <f>A47</f>
        <v>成交单价（元/平方米）</v>
      </c>
      <c r="Q47" s="3210"/>
      <c r="R47" s="3211">
        <f>E47</f>
        <v>0</v>
      </c>
      <c r="S47" s="3211"/>
      <c r="T47" s="3211">
        <f>G47</f>
        <v>0</v>
      </c>
      <c r="U47" s="3211"/>
      <c r="V47" s="3211">
        <f>I47</f>
        <v>0</v>
      </c>
      <c r="W47" s="3211"/>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3"/>
      <c r="L48" s="1143"/>
      <c r="M48" s="1144"/>
      <c r="N48" s="1144"/>
      <c r="O48" s="1144"/>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4"/>
      <c r="L49" s="1143"/>
      <c r="M49" s="1144"/>
      <c r="N49" s="1144"/>
      <c r="O49" s="1144"/>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7"/>
      <c r="Q57" s="504"/>
    </row>
    <row r="58" spans="1:29" s="508" customFormat="1" ht="15">
      <c r="A58" s="505" t="s">
        <v>2583</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2585</v>
      </c>
      <c r="B61" s="510"/>
      <c r="C61" s="522" t="s">
        <v>2586</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2610</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2562</v>
      </c>
      <c r="B100" s="528" t="s">
        <v>2611</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2614</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2615</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2616</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2617</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2618</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6" t="s">
        <v>2624</v>
      </c>
      <c r="D138" s="146" t="s">
        <v>2625</v>
      </c>
      <c r="E138" s="2646" t="s">
        <v>2626</v>
      </c>
      <c r="F138" s="2647" t="s">
        <v>2627</v>
      </c>
      <c r="G138" s="146" t="s">
        <v>2625</v>
      </c>
      <c r="H138" s="147" t="s">
        <v>2626</v>
      </c>
      <c r="I138" s="2648"/>
      <c r="J138" s="146" t="s">
        <v>2628</v>
      </c>
      <c r="K138" s="147" t="s">
        <v>2629</v>
      </c>
    </row>
    <row r="139" spans="1:17" ht="15">
      <c r="B139" s="1084">
        <v>6</v>
      </c>
      <c r="C139" s="1085">
        <v>96</v>
      </c>
      <c r="D139" s="2649" t="s">
        <v>2630</v>
      </c>
      <c r="E139" s="1086">
        <v>100</v>
      </c>
      <c r="F139" s="1087">
        <v>102.5</v>
      </c>
      <c r="G139" s="2649" t="s">
        <v>2630</v>
      </c>
      <c r="H139" s="1088">
        <v>105</v>
      </c>
      <c r="I139" s="2650" t="s">
        <v>2631</v>
      </c>
      <c r="J139" s="1085">
        <v>20</v>
      </c>
      <c r="K139" s="1089">
        <f>C145/(J139-2)</f>
        <v>4.0555555555555553E-3</v>
      </c>
    </row>
    <row r="140" spans="1:17" ht="15">
      <c r="B140" s="1090">
        <v>5</v>
      </c>
      <c r="C140" s="1091">
        <v>100</v>
      </c>
      <c r="D140" s="1091"/>
      <c r="E140" s="1092"/>
      <c r="F140" s="1093">
        <v>102</v>
      </c>
      <c r="G140" s="1091"/>
      <c r="H140" s="1094"/>
      <c r="I140" s="2651" t="s">
        <v>2632</v>
      </c>
      <c r="J140" s="315">
        <f>ROUNDUP((J139-1)/2,0)</f>
        <v>10</v>
      </c>
      <c r="K140" s="1095">
        <v>100</v>
      </c>
    </row>
    <row r="141" spans="1:17" ht="15">
      <c r="B141" s="1090">
        <v>4</v>
      </c>
      <c r="C141" s="1091">
        <v>102</v>
      </c>
      <c r="D141" s="1091"/>
      <c r="E141" s="1092"/>
      <c r="F141" s="1093">
        <v>101.5</v>
      </c>
      <c r="G141" s="1091"/>
      <c r="H141" s="1094"/>
      <c r="I141" s="2651" t="s">
        <v>2633</v>
      </c>
      <c r="J141" s="315">
        <v>1</v>
      </c>
      <c r="K141" s="1096">
        <f>ROUND(100+(J141-J140)*K139*100,1)</f>
        <v>96.4</v>
      </c>
    </row>
    <row r="142" spans="1:17" ht="15">
      <c r="B142" s="1090">
        <v>3</v>
      </c>
      <c r="C142" s="1091">
        <v>103</v>
      </c>
      <c r="D142" s="1091"/>
      <c r="E142" s="1092"/>
      <c r="F142" s="1093">
        <v>101</v>
      </c>
      <c r="G142" s="1091"/>
      <c r="H142" s="1094"/>
      <c r="I142" s="2651" t="s">
        <v>2634</v>
      </c>
      <c r="J142" s="315">
        <f>J139</f>
        <v>20</v>
      </c>
      <c r="K142" s="1097">
        <v>95</v>
      </c>
    </row>
    <row r="143" spans="1:17" ht="15">
      <c r="B143" s="1090">
        <v>2</v>
      </c>
      <c r="C143" s="1091">
        <v>100</v>
      </c>
      <c r="D143" s="1091"/>
      <c r="E143" s="1092"/>
      <c r="F143" s="1093">
        <v>100.5</v>
      </c>
      <c r="G143" s="1091"/>
      <c r="H143" s="1094"/>
      <c r="I143" s="2651" t="s">
        <v>2635</v>
      </c>
      <c r="J143" s="1091">
        <v>15</v>
      </c>
      <c r="K143" s="1096">
        <f>ROUND(100+(J143-J140)*K139*100,1)</f>
        <v>102</v>
      </c>
    </row>
    <row r="144" spans="1:17" ht="15">
      <c r="B144" s="1090">
        <v>1</v>
      </c>
      <c r="C144" s="1091">
        <v>98</v>
      </c>
      <c r="D144" s="2652" t="s">
        <v>2636</v>
      </c>
      <c r="E144" s="1092">
        <v>102</v>
      </c>
      <c r="F144" s="1098">
        <v>100</v>
      </c>
      <c r="G144" s="2652" t="s">
        <v>2636</v>
      </c>
      <c r="H144" s="1094">
        <v>105</v>
      </c>
      <c r="I144" s="2651" t="s">
        <v>2635</v>
      </c>
      <c r="J144" s="1091">
        <v>18</v>
      </c>
      <c r="K144" s="1096">
        <f>ROUND(100+(J144-J140)*K139*100,1)</f>
        <v>103.2</v>
      </c>
    </row>
    <row r="145" spans="2:11" ht="15.75" thickBot="1">
      <c r="B145" s="2653" t="s">
        <v>2637</v>
      </c>
      <c r="C145" s="1099">
        <f>ROUND(MAX(C139:C144)/MIN(C139:C144)-1,3)</f>
        <v>7.2999999999999995E-2</v>
      </c>
      <c r="D145" s="1100"/>
      <c r="E145" s="1100"/>
      <c r="F145" s="2654" t="s">
        <v>2638</v>
      </c>
      <c r="G145" s="2655"/>
      <c r="H145" s="2656"/>
      <c r="I145" s="2657" t="s">
        <v>2635</v>
      </c>
      <c r="J145" s="1101">
        <v>8</v>
      </c>
      <c r="K145" s="1102">
        <f>ROUND(100+(J145-J140)*K139*100,1)</f>
        <v>99.2</v>
      </c>
    </row>
    <row r="147" spans="2:11">
      <c r="B147" s="2638" t="s">
        <v>2639</v>
      </c>
    </row>
    <row r="148" spans="2:11">
      <c r="B148" s="2638"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3" t="s">
        <v>2641</v>
      </c>
      <c r="C1" s="1634" t="s">
        <v>2529</v>
      </c>
      <c r="D1" s="1621"/>
      <c r="E1" s="2658"/>
      <c r="F1" s="2585"/>
      <c r="G1" s="1631" t="s">
        <v>2642</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2643</v>
      </c>
      <c r="D3" s="399">
        <f>IF(D1="",'数据-汇总表'!E3,SUMIF('数据-汇总表'!$C19:$C33,D1,'数据-汇总表'!$E19:$E33))</f>
        <v>100326.75000000001</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205"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205"/>
      <c r="AC5" s="3176"/>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205"/>
      <c r="AC6" s="3177"/>
    </row>
    <row r="7" spans="1:29" s="117" customFormat="1" ht="15.75" thickBot="1">
      <c r="A7" s="408" t="s">
        <v>2547</v>
      </c>
      <c r="B7" s="409"/>
      <c r="C7" s="410">
        <f>'数据-取费表'!B2</f>
        <v>43899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2"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2558</v>
      </c>
      <c r="B15" s="69" t="s">
        <v>2652</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9" t="s">
        <v>2559</v>
      </c>
      <c r="Q15" s="1810" t="str">
        <f t="shared" si="6"/>
        <v>商业繁华度</v>
      </c>
      <c r="R15" s="774" t="s">
        <v>17</v>
      </c>
      <c r="S15" s="775">
        <f t="shared" si="0"/>
        <v>100</v>
      </c>
      <c r="T15" s="774" t="s">
        <v>17</v>
      </c>
      <c r="U15" s="775">
        <f t="shared" si="1"/>
        <v>100</v>
      </c>
      <c r="V15" s="774" t="s">
        <v>17</v>
      </c>
      <c r="W15" s="775">
        <f t="shared" si="2"/>
        <v>100</v>
      </c>
      <c r="X15" s="1813"/>
      <c r="Y15" s="3212"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0"/>
      <c r="Q16" s="1810"/>
      <c r="R16" s="774"/>
      <c r="S16" s="775"/>
      <c r="T16" s="774"/>
      <c r="U16" s="775"/>
      <c r="V16" s="774"/>
      <c r="W16" s="775"/>
      <c r="X16" s="1813"/>
      <c r="Y16" s="3213"/>
      <c r="Z16" s="1814"/>
      <c r="AA16" s="1811">
        <v>1</v>
      </c>
      <c r="AB16" s="1811">
        <v>1</v>
      </c>
      <c r="AC16" s="1811">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0"/>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20"/>
      <c r="Q18" s="1810"/>
      <c r="R18" s="774"/>
      <c r="S18" s="775"/>
      <c r="T18" s="774"/>
      <c r="U18" s="775"/>
      <c r="V18" s="774"/>
      <c r="W18" s="775"/>
      <c r="X18" s="1813"/>
      <c r="Y18" s="3213"/>
      <c r="Z18" s="1814"/>
      <c r="AA18" s="1811">
        <v>1</v>
      </c>
      <c r="AB18" s="1811">
        <v>1</v>
      </c>
      <c r="AC18" s="1811">
        <v>1</v>
      </c>
    </row>
    <row r="19" spans="1:29" ht="42.75">
      <c r="A19" s="428"/>
      <c r="B19" s="451" t="s">
        <v>2653</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0"/>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20"/>
      <c r="Q20" s="1810"/>
      <c r="R20" s="774"/>
      <c r="S20" s="775"/>
      <c r="T20" s="774"/>
      <c r="U20" s="775"/>
      <c r="V20" s="774"/>
      <c r="W20" s="775"/>
      <c r="X20" s="1813"/>
      <c r="Y20" s="3213"/>
      <c r="Z20" s="1814"/>
      <c r="AA20" s="1811">
        <v>1</v>
      </c>
      <c r="AB20" s="1811">
        <v>1</v>
      </c>
      <c r="AC20" s="1811">
        <v>1</v>
      </c>
    </row>
    <row r="21" spans="1:29" ht="28.5">
      <c r="A21" s="428"/>
      <c r="B21" s="1384" t="s">
        <v>2654</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20"/>
      <c r="Q22" s="1810"/>
      <c r="R22" s="774"/>
      <c r="S22" s="775"/>
      <c r="T22" s="774"/>
      <c r="U22" s="775"/>
      <c r="V22" s="774"/>
      <c r="W22" s="775"/>
      <c r="X22" s="1813"/>
      <c r="Y22" s="3213"/>
      <c r="Z22" s="1814"/>
      <c r="AA22" s="1811">
        <v>1</v>
      </c>
      <c r="AB22" s="1811">
        <v>1</v>
      </c>
      <c r="AC22" s="1811">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0"/>
      <c r="Q23" s="1810" t="str">
        <f>B23</f>
        <v>自然及人文环境</v>
      </c>
      <c r="R23" s="774" t="s">
        <v>17</v>
      </c>
      <c r="S23" s="775">
        <f>F23</f>
        <v>100</v>
      </c>
      <c r="T23" s="774" t="s">
        <v>17</v>
      </c>
      <c r="U23" s="775">
        <f>H23</f>
        <v>100</v>
      </c>
      <c r="V23" s="774" t="s">
        <v>17</v>
      </c>
      <c r="W23" s="775">
        <f>J23</f>
        <v>100</v>
      </c>
      <c r="X23" s="1813"/>
      <c r="Y23" s="3213"/>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20"/>
      <c r="Q24" s="1810"/>
      <c r="R24" s="774"/>
      <c r="S24" s="775"/>
      <c r="T24" s="774"/>
      <c r="U24" s="775"/>
      <c r="V24" s="774"/>
      <c r="W24" s="775"/>
      <c r="X24" s="1813"/>
      <c r="Y24" s="3213"/>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0"/>
      <c r="Q25" s="1810" t="str">
        <f t="shared" ref="Q25:Q46" si="11">B25</f>
        <v>临街状况</v>
      </c>
      <c r="R25" s="774" t="s">
        <v>17</v>
      </c>
      <c r="S25" s="775">
        <f>F25</f>
        <v>100</v>
      </c>
      <c r="T25" s="774" t="s">
        <v>17</v>
      </c>
      <c r="U25" s="775">
        <f>H25</f>
        <v>100</v>
      </c>
      <c r="V25" s="774" t="s">
        <v>17</v>
      </c>
      <c r="W25" s="775">
        <f>J25</f>
        <v>100</v>
      </c>
      <c r="X25" s="1813"/>
      <c r="Y25" s="3213"/>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0"/>
      <c r="Q26" s="1810" t="str">
        <f t="shared" si="11"/>
        <v>平面位置/可视性</v>
      </c>
      <c r="R26" s="774" t="s">
        <v>17</v>
      </c>
      <c r="S26" s="775">
        <f>F26</f>
        <v>100</v>
      </c>
      <c r="T26" s="774" t="s">
        <v>17</v>
      </c>
      <c r="U26" s="775">
        <f>H26</f>
        <v>100</v>
      </c>
      <c r="V26" s="774" t="s">
        <v>17</v>
      </c>
      <c r="W26" s="775">
        <f>J26</f>
        <v>100</v>
      </c>
      <c r="X26" s="1813"/>
      <c r="Y26" s="3213"/>
      <c r="Z26" s="1814" t="str">
        <f>Q26</f>
        <v>平面位置/可视性</v>
      </c>
      <c r="AA26" s="1811">
        <f t="shared" si="3"/>
        <v>1</v>
      </c>
      <c r="AB26" s="1811">
        <f t="shared" si="4"/>
        <v>1</v>
      </c>
      <c r="AC26" s="1811">
        <f t="shared" si="5"/>
        <v>1</v>
      </c>
    </row>
    <row r="27" spans="1:29" s="117" customFormat="1" ht="15">
      <c r="A27" s="431"/>
      <c r="B27" s="451" t="s">
        <v>2657</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20"/>
      <c r="Q27" s="1795" t="str">
        <f t="shared" si="11"/>
        <v>人流量</v>
      </c>
      <c r="R27" s="770" t="s">
        <v>17</v>
      </c>
      <c r="S27" s="771">
        <f>F27</f>
        <v>100</v>
      </c>
      <c r="T27" s="770" t="s">
        <v>17</v>
      </c>
      <c r="U27" s="771">
        <f>H27</f>
        <v>100</v>
      </c>
      <c r="V27" s="770" t="s">
        <v>17</v>
      </c>
      <c r="W27" s="771">
        <f>J27</f>
        <v>100</v>
      </c>
      <c r="X27" s="772"/>
      <c r="Y27" s="3213"/>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0"/>
      <c r="Q29" s="1810">
        <f t="shared" si="11"/>
        <v>111</v>
      </c>
      <c r="R29" s="774" t="s">
        <v>17</v>
      </c>
      <c r="S29" s="775">
        <f t="shared" si="12"/>
        <v>100</v>
      </c>
      <c r="T29" s="774" t="s">
        <v>17</v>
      </c>
      <c r="U29" s="775">
        <f t="shared" si="13"/>
        <v>100</v>
      </c>
      <c r="V29" s="774" t="s">
        <v>17</v>
      </c>
      <c r="W29" s="775">
        <f t="shared" si="14"/>
        <v>100</v>
      </c>
      <c r="X29" s="1813"/>
      <c r="Y29" s="321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0"/>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0"/>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1811">
        <f t="shared" si="5"/>
        <v>1</v>
      </c>
    </row>
    <row r="32" spans="1:29" ht="15">
      <c r="A32" s="440" t="s">
        <v>2562</v>
      </c>
      <c r="B32" s="71" t="s">
        <v>2659</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14" t="s">
        <v>2564</v>
      </c>
      <c r="Q32" s="1810" t="str">
        <f t="shared" si="11"/>
        <v>商业类型</v>
      </c>
      <c r="R32" s="774" t="s">
        <v>17</v>
      </c>
      <c r="S32" s="775">
        <f t="shared" si="12"/>
        <v>100</v>
      </c>
      <c r="T32" s="774" t="s">
        <v>17</v>
      </c>
      <c r="U32" s="775">
        <f t="shared" si="13"/>
        <v>100</v>
      </c>
      <c r="V32" s="774" t="s">
        <v>17</v>
      </c>
      <c r="W32" s="775">
        <f t="shared" si="14"/>
        <v>100</v>
      </c>
      <c r="X32" s="1813"/>
      <c r="Y32" s="3217"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1" t="e">
        <f t="shared" si="3"/>
        <v>#N/A</v>
      </c>
      <c r="AB33" s="1811" t="e">
        <f t="shared" si="4"/>
        <v>#N/A</v>
      </c>
      <c r="AC33" s="1811" t="e">
        <f t="shared" si="5"/>
        <v>#N/A</v>
      </c>
    </row>
    <row r="34" spans="1:29" ht="15">
      <c r="A34" s="472"/>
      <c r="B34" s="422" t="s">
        <v>2566</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15"/>
      <c r="Q34" s="1810" t="str">
        <f t="shared" si="11"/>
        <v>建筑结构</v>
      </c>
      <c r="R34" s="774" t="s">
        <v>17</v>
      </c>
      <c r="S34" s="775">
        <f t="shared" si="12"/>
        <v>100</v>
      </c>
      <c r="T34" s="774" t="s">
        <v>17</v>
      </c>
      <c r="U34" s="775">
        <f t="shared" si="13"/>
        <v>100</v>
      </c>
      <c r="V34" s="774" t="s">
        <v>17</v>
      </c>
      <c r="W34" s="775">
        <f t="shared" si="14"/>
        <v>100</v>
      </c>
      <c r="X34" s="1813"/>
      <c r="Y34" s="3217"/>
      <c r="Z34" s="1814" t="str">
        <f t="shared" si="15"/>
        <v>建筑结构</v>
      </c>
      <c r="AA34" s="1811">
        <f t="shared" si="3"/>
        <v>1</v>
      </c>
      <c r="AB34" s="1811">
        <f t="shared" si="4"/>
        <v>1</v>
      </c>
      <c r="AC34" s="1811">
        <f t="shared" si="5"/>
        <v>1</v>
      </c>
    </row>
    <row r="35" spans="1:29" ht="15">
      <c r="A35" s="472"/>
      <c r="B35" s="422" t="s">
        <v>2660</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15"/>
      <c r="Q35" s="1810" t="str">
        <f t="shared" si="11"/>
        <v>公共部分装修</v>
      </c>
      <c r="R35" s="774" t="s">
        <v>17</v>
      </c>
      <c r="S35" s="775">
        <f t="shared" si="12"/>
        <v>100</v>
      </c>
      <c r="T35" s="774" t="s">
        <v>17</v>
      </c>
      <c r="U35" s="775">
        <f t="shared" si="13"/>
        <v>100</v>
      </c>
      <c r="V35" s="774" t="s">
        <v>17</v>
      </c>
      <c r="W35" s="775">
        <f t="shared" si="14"/>
        <v>100</v>
      </c>
      <c r="X35" s="1813"/>
      <c r="Y35" s="3217"/>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5"/>
      <c r="Q36" s="1810" t="str">
        <f t="shared" si="11"/>
        <v>成新度</v>
      </c>
      <c r="R36" s="774" t="s">
        <v>17</v>
      </c>
      <c r="S36" s="775" t="e">
        <f t="shared" si="12"/>
        <v>#N/A</v>
      </c>
      <c r="T36" s="774" t="s">
        <v>17</v>
      </c>
      <c r="U36" s="775" t="e">
        <f t="shared" si="13"/>
        <v>#N/A</v>
      </c>
      <c r="V36" s="774" t="s">
        <v>17</v>
      </c>
      <c r="W36" s="775" t="e">
        <f t="shared" si="14"/>
        <v>#N/A</v>
      </c>
      <c r="X36" s="1813"/>
      <c r="Y36" s="3217"/>
      <c r="Z36" s="1814" t="str">
        <f t="shared" si="15"/>
        <v>成新度</v>
      </c>
      <c r="AA36" s="1811" t="e">
        <f t="shared" si="3"/>
        <v>#N/A</v>
      </c>
      <c r="AB36" s="1811" t="e">
        <f t="shared" si="4"/>
        <v>#N/A</v>
      </c>
      <c r="AC36" s="1811" t="e">
        <f t="shared" si="5"/>
        <v>#N/A</v>
      </c>
    </row>
    <row r="37" spans="1:29" s="117" customFormat="1" ht="15">
      <c r="A37" s="473"/>
      <c r="B37" s="422" t="s">
        <v>2662</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15"/>
      <c r="Q37" s="1795"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2663</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15" t="s">
        <v>2564</v>
      </c>
      <c r="Q38" s="1810" t="str">
        <f t="shared" si="11"/>
        <v>业态</v>
      </c>
      <c r="R38" s="774" t="s">
        <v>17</v>
      </c>
      <c r="S38" s="775">
        <f t="shared" si="12"/>
        <v>100</v>
      </c>
      <c r="T38" s="774" t="s">
        <v>17</v>
      </c>
      <c r="U38" s="775">
        <f t="shared" si="13"/>
        <v>100</v>
      </c>
      <c r="V38" s="774" t="s">
        <v>17</v>
      </c>
      <c r="W38" s="775">
        <f t="shared" si="14"/>
        <v>100</v>
      </c>
      <c r="X38" s="1813"/>
      <c r="Y38" s="3217" t="s">
        <v>2564</v>
      </c>
      <c r="Z38" s="1814" t="str">
        <f t="shared" si="15"/>
        <v>业态</v>
      </c>
      <c r="AA38" s="1811">
        <f t="shared" si="3"/>
        <v>1</v>
      </c>
      <c r="AB38" s="1811">
        <f t="shared" si="4"/>
        <v>1</v>
      </c>
      <c r="AC38" s="1811">
        <f t="shared" si="5"/>
        <v>1</v>
      </c>
    </row>
    <row r="39" spans="1:29" ht="15">
      <c r="A39" s="472"/>
      <c r="B39" s="422" t="s">
        <v>2664</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15"/>
      <c r="Q39" s="1810" t="str">
        <f t="shared" si="11"/>
        <v>层高</v>
      </c>
      <c r="R39" s="774" t="s">
        <v>17</v>
      </c>
      <c r="S39" s="775">
        <f t="shared" si="12"/>
        <v>100</v>
      </c>
      <c r="T39" s="774" t="s">
        <v>17</v>
      </c>
      <c r="U39" s="775">
        <f t="shared" si="13"/>
        <v>100</v>
      </c>
      <c r="V39" s="774" t="s">
        <v>17</v>
      </c>
      <c r="W39" s="775">
        <f t="shared" si="14"/>
        <v>100</v>
      </c>
      <c r="X39" s="1813"/>
      <c r="Y39" s="3217"/>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5"/>
      <c r="Q40" s="1810" t="str">
        <f t="shared" si="11"/>
        <v>单套建筑面积</v>
      </c>
      <c r="R40" s="774" t="s">
        <v>17</v>
      </c>
      <c r="S40" s="775">
        <f t="shared" si="12"/>
        <v>100</v>
      </c>
      <c r="T40" s="774" t="s">
        <v>17</v>
      </c>
      <c r="U40" s="775">
        <f t="shared" si="13"/>
        <v>100</v>
      </c>
      <c r="V40" s="774" t="s">
        <v>17</v>
      </c>
      <c r="W40" s="775">
        <f t="shared" si="14"/>
        <v>100</v>
      </c>
      <c r="X40" s="1813"/>
      <c r="Y40" s="3217"/>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1">
        <f t="shared" si="3"/>
        <v>1</v>
      </c>
      <c r="AB41" s="1811">
        <f t="shared" si="4"/>
        <v>1</v>
      </c>
      <c r="AC41" s="1811">
        <f t="shared" si="5"/>
        <v>1</v>
      </c>
    </row>
    <row r="42" spans="1:29" ht="15">
      <c r="A42" s="472"/>
      <c r="B42" s="422" t="s">
        <v>2667</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15"/>
      <c r="Q42" s="1810" t="str">
        <f t="shared" si="11"/>
        <v>内部装修</v>
      </c>
      <c r="R42" s="774" t="s">
        <v>17</v>
      </c>
      <c r="S42" s="775">
        <f t="shared" si="12"/>
        <v>100</v>
      </c>
      <c r="T42" s="774" t="s">
        <v>17</v>
      </c>
      <c r="U42" s="775">
        <f t="shared" si="13"/>
        <v>100</v>
      </c>
      <c r="V42" s="774" t="s">
        <v>17</v>
      </c>
      <c r="W42" s="775">
        <f t="shared" si="14"/>
        <v>100</v>
      </c>
      <c r="X42" s="1813"/>
      <c r="Y42" s="3217"/>
      <c r="Z42" s="1814" t="str">
        <f t="shared" si="15"/>
        <v>内部装修</v>
      </c>
      <c r="AA42" s="1811">
        <f t="shared" si="3"/>
        <v>1</v>
      </c>
      <c r="AB42" s="1811">
        <f t="shared" si="4"/>
        <v>1</v>
      </c>
      <c r="AC42" s="1811">
        <f t="shared" si="5"/>
        <v>1</v>
      </c>
    </row>
    <row r="43" spans="1:29" ht="15">
      <c r="A43" s="472"/>
      <c r="B43" s="422" t="s">
        <v>2575</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15"/>
      <c r="Q43" s="1810" t="str">
        <f t="shared" si="11"/>
        <v>内部装修维护情况</v>
      </c>
      <c r="R43" s="774" t="s">
        <v>17</v>
      </c>
      <c r="S43" s="775">
        <f t="shared" si="12"/>
        <v>100</v>
      </c>
      <c r="T43" s="774" t="s">
        <v>17</v>
      </c>
      <c r="U43" s="775">
        <f t="shared" si="13"/>
        <v>100</v>
      </c>
      <c r="V43" s="774" t="s">
        <v>17</v>
      </c>
      <c r="W43" s="775">
        <f t="shared" si="14"/>
        <v>100</v>
      </c>
      <c r="X43" s="1813"/>
      <c r="Y43" s="321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5"/>
      <c r="Q44" s="1795">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5"/>
      <c r="Q45" s="1810">
        <f t="shared" si="11"/>
        <v>111</v>
      </c>
      <c r="R45" s="774" t="s">
        <v>17</v>
      </c>
      <c r="S45" s="775">
        <f t="shared" si="12"/>
        <v>100</v>
      </c>
      <c r="T45" s="774" t="s">
        <v>17</v>
      </c>
      <c r="U45" s="775">
        <f t="shared" si="13"/>
        <v>100</v>
      </c>
      <c r="V45" s="774" t="s">
        <v>17</v>
      </c>
      <c r="W45" s="775">
        <f t="shared" si="14"/>
        <v>100</v>
      </c>
      <c r="X45" s="1813"/>
      <c r="Y45" s="3217"/>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6"/>
      <c r="Q46" s="1810">
        <f t="shared" si="11"/>
        <v>111</v>
      </c>
      <c r="R46" s="774" t="s">
        <v>17</v>
      </c>
      <c r="S46" s="775">
        <f t="shared" si="12"/>
        <v>100</v>
      </c>
      <c r="T46" s="774" t="s">
        <v>17</v>
      </c>
      <c r="U46" s="775">
        <f t="shared" si="13"/>
        <v>100</v>
      </c>
      <c r="V46" s="774" t="s">
        <v>17</v>
      </c>
      <c r="W46" s="775">
        <f t="shared" si="14"/>
        <v>100</v>
      </c>
      <c r="X46" s="1813"/>
      <c r="Y46" s="3218"/>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10" t="str">
        <f>A47</f>
        <v>成交单价（元/平方米）</v>
      </c>
      <c r="Q47" s="3210"/>
      <c r="R47" s="3205">
        <f>E47</f>
        <v>0</v>
      </c>
      <c r="S47" s="3205"/>
      <c r="T47" s="3205">
        <f>G47</f>
        <v>0</v>
      </c>
      <c r="U47" s="3205"/>
      <c r="V47" s="3205">
        <f>I47</f>
        <v>0</v>
      </c>
      <c r="W47" s="3205"/>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2547</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2549</v>
      </c>
      <c r="B61" s="510"/>
      <c r="C61" s="522" t="s">
        <v>2651</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2562</v>
      </c>
      <c r="B100" s="528" t="s">
        <v>2680</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2615</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2681</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2682</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2683</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0" t="s">
        <v>2685</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100326.75000000001</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227" t="s">
        <v>2650</v>
      </c>
      <c r="Q4" s="3228"/>
      <c r="R4" s="3222" t="s">
        <v>2646</v>
      </c>
      <c r="S4" s="3223"/>
      <c r="T4" s="3222" t="s">
        <v>2647</v>
      </c>
      <c r="U4" s="3223"/>
      <c r="V4" s="3231" t="s">
        <v>2648</v>
      </c>
      <c r="W4" s="3231"/>
      <c r="X4" s="2671"/>
      <c r="Y4" s="3222" t="s">
        <v>2650</v>
      </c>
      <c r="Z4" s="3223"/>
      <c r="AA4" s="3221" t="s">
        <v>2646</v>
      </c>
      <c r="AB4" s="3221" t="s">
        <v>2647</v>
      </c>
      <c r="AC4" s="3224" t="s">
        <v>2648</v>
      </c>
    </row>
    <row r="5" spans="1:29" ht="15">
      <c r="A5" s="404"/>
      <c r="B5" s="405"/>
      <c r="C5" s="3186" t="s">
        <v>2541</v>
      </c>
      <c r="D5" s="3187"/>
      <c r="E5" s="3184" t="s">
        <v>2542</v>
      </c>
      <c r="F5" s="3185"/>
      <c r="G5" s="3186" t="s">
        <v>2543</v>
      </c>
      <c r="H5" s="3187"/>
      <c r="I5" s="3186" t="s">
        <v>2544</v>
      </c>
      <c r="J5" s="3187"/>
      <c r="K5" s="610"/>
      <c r="L5" s="1130"/>
      <c r="M5" s="1131"/>
      <c r="N5" s="1131"/>
      <c r="O5" s="1131"/>
      <c r="P5" s="3229"/>
      <c r="Q5" s="3200"/>
      <c r="R5" s="3182"/>
      <c r="S5" s="3183"/>
      <c r="T5" s="3182"/>
      <c r="U5" s="3183"/>
      <c r="V5" s="3205"/>
      <c r="W5" s="3205"/>
      <c r="X5" s="1813"/>
      <c r="Y5" s="3182"/>
      <c r="Z5" s="3183"/>
      <c r="AA5" s="3176"/>
      <c r="AB5" s="3176"/>
      <c r="AC5" s="3225"/>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30"/>
      <c r="Q6" s="3202"/>
      <c r="R6" s="3182"/>
      <c r="S6" s="3183"/>
      <c r="T6" s="3203"/>
      <c r="U6" s="3204"/>
      <c r="V6" s="3205"/>
      <c r="W6" s="3205"/>
      <c r="X6" s="1813"/>
      <c r="Y6" s="3203"/>
      <c r="Z6" s="3204"/>
      <c r="AA6" s="3177"/>
      <c r="AB6" s="3177"/>
      <c r="AC6" s="3226"/>
    </row>
    <row r="7" spans="1:29" s="117" customFormat="1" ht="15.75" thickBot="1">
      <c r="A7" s="408" t="s">
        <v>2547</v>
      </c>
      <c r="B7" s="409"/>
      <c r="C7" s="410">
        <f>'数据-取费表'!B2</f>
        <v>43899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2"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2672"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2" t="s">
        <v>2551</v>
      </c>
      <c r="Q8" s="3179"/>
      <c r="R8" s="770" t="s">
        <v>17</v>
      </c>
      <c r="S8" s="771">
        <f t="shared" si="0"/>
        <v>0</v>
      </c>
      <c r="T8" s="770" t="s">
        <v>17</v>
      </c>
      <c r="U8" s="771">
        <f t="shared" si="1"/>
        <v>0</v>
      </c>
      <c r="V8" s="770" t="s">
        <v>17</v>
      </c>
      <c r="W8" s="771">
        <f t="shared" si="2"/>
        <v>0</v>
      </c>
      <c r="X8" s="772"/>
      <c r="Y8" s="3178" t="s">
        <v>2551</v>
      </c>
      <c r="Z8" s="3179"/>
      <c r="AA8" s="773" t="e">
        <f t="shared" ref="AA8:AA47" si="3">D8/F8</f>
        <v>#DIV/0!</v>
      </c>
      <c r="AB8" s="773" t="e">
        <f t="shared" ref="AB8:AB47" si="4">D8/H8</f>
        <v>#DIV/0!</v>
      </c>
      <c r="AC8" s="2672"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2"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2672">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2">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2">
        <f t="shared" si="5"/>
        <v>1</v>
      </c>
    </row>
    <row r="15" spans="1:29" ht="71.25">
      <c r="A15" s="440" t="s">
        <v>2558</v>
      </c>
      <c r="B15" s="629" t="s">
        <v>2686</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9" t="s">
        <v>2559</v>
      </c>
      <c r="Q15" s="1810" t="str">
        <f t="shared" si="6"/>
        <v>办公集聚程度</v>
      </c>
      <c r="R15" s="774" t="s">
        <v>17</v>
      </c>
      <c r="S15" s="775">
        <f t="shared" si="0"/>
        <v>100</v>
      </c>
      <c r="T15" s="774" t="s">
        <v>17</v>
      </c>
      <c r="U15" s="775">
        <f t="shared" si="1"/>
        <v>100</v>
      </c>
      <c r="V15" s="774" t="s">
        <v>17</v>
      </c>
      <c r="W15" s="775">
        <f t="shared" si="2"/>
        <v>100</v>
      </c>
      <c r="X15" s="1813"/>
      <c r="Y15" s="3212" t="s">
        <v>2559</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20"/>
      <c r="Q16" s="1810"/>
      <c r="R16" s="774"/>
      <c r="S16" s="775"/>
      <c r="T16" s="774"/>
      <c r="U16" s="775"/>
      <c r="V16" s="774"/>
      <c r="W16" s="775"/>
      <c r="X16" s="1813"/>
      <c r="Y16" s="3213"/>
      <c r="Z16" s="1814"/>
      <c r="AA16" s="1811">
        <v>1</v>
      </c>
      <c r="AB16" s="1811">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0"/>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20"/>
      <c r="Q18" s="1810"/>
      <c r="R18" s="774"/>
      <c r="S18" s="775"/>
      <c r="T18" s="774"/>
      <c r="U18" s="775"/>
      <c r="V18" s="774"/>
      <c r="W18" s="775"/>
      <c r="X18" s="1813"/>
      <c r="Y18" s="3213"/>
      <c r="Z18" s="1814"/>
      <c r="AA18" s="1811">
        <v>1</v>
      </c>
      <c r="AB18" s="1811">
        <v>1</v>
      </c>
      <c r="AC18" s="2675">
        <v>1</v>
      </c>
    </row>
    <row r="19" spans="1:29" ht="42.75">
      <c r="A19" s="428"/>
      <c r="B19" s="631" t="s">
        <v>2687</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0"/>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20"/>
      <c r="Q20" s="1810"/>
      <c r="R20" s="774"/>
      <c r="S20" s="775"/>
      <c r="T20" s="774"/>
      <c r="U20" s="775"/>
      <c r="V20" s="774"/>
      <c r="W20" s="775"/>
      <c r="X20" s="1813"/>
      <c r="Y20" s="3213"/>
      <c r="Z20" s="1814"/>
      <c r="AA20" s="1811">
        <v>1</v>
      </c>
      <c r="AB20" s="1811">
        <v>1</v>
      </c>
      <c r="AC20" s="2675">
        <v>1</v>
      </c>
    </row>
    <row r="21" spans="1:29" ht="28.5">
      <c r="A21" s="428"/>
      <c r="B21" s="633" t="s">
        <v>2688</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20"/>
      <c r="Q22" s="1810"/>
      <c r="R22" s="774"/>
      <c r="S22" s="775"/>
      <c r="T22" s="774"/>
      <c r="U22" s="775"/>
      <c r="V22" s="774"/>
      <c r="W22" s="775"/>
      <c r="X22" s="1813"/>
      <c r="Y22" s="3213"/>
      <c r="Z22" s="1814"/>
      <c r="AA22" s="1811">
        <v>1</v>
      </c>
      <c r="AB22" s="1811">
        <v>1</v>
      </c>
      <c r="AC22" s="2675">
        <v>1</v>
      </c>
    </row>
    <row r="23" spans="1:29" ht="42.75">
      <c r="A23" s="428"/>
      <c r="B23" s="631" t="s">
        <v>2689</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0"/>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20"/>
      <c r="Q24" s="1810"/>
      <c r="R24" s="774"/>
      <c r="S24" s="775"/>
      <c r="T24" s="774"/>
      <c r="U24" s="775"/>
      <c r="V24" s="774"/>
      <c r="W24" s="775"/>
      <c r="X24" s="1813"/>
      <c r="Y24" s="3213"/>
      <c r="Z24" s="1814"/>
      <c r="AA24" s="1811">
        <v>1</v>
      </c>
      <c r="AB24" s="1811">
        <v>1</v>
      </c>
      <c r="AC24" s="2675">
        <v>1</v>
      </c>
    </row>
    <row r="25" spans="1:29" ht="27">
      <c r="A25" s="404"/>
      <c r="B25" s="631" t="s">
        <v>2690</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20"/>
      <c r="Q25" s="1810" t="str">
        <f>B25</f>
        <v>毗邻道路的类型与等级</v>
      </c>
      <c r="R25" s="774" t="s">
        <v>17</v>
      </c>
      <c r="S25" s="775">
        <f>F25</f>
        <v>100</v>
      </c>
      <c r="T25" s="774" t="s">
        <v>17</v>
      </c>
      <c r="U25" s="775">
        <f>H25</f>
        <v>100</v>
      </c>
      <c r="V25" s="774" t="s">
        <v>17</v>
      </c>
      <c r="W25" s="775">
        <f>J25</f>
        <v>100</v>
      </c>
      <c r="X25" s="1813"/>
      <c r="Y25" s="3213"/>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20"/>
      <c r="Q26" s="1810"/>
      <c r="R26" s="774"/>
      <c r="S26" s="775"/>
      <c r="T26" s="774"/>
      <c r="U26" s="775"/>
      <c r="V26" s="774"/>
      <c r="W26" s="775"/>
      <c r="X26" s="1813"/>
      <c r="Y26" s="3213"/>
      <c r="Z26" s="1814"/>
      <c r="AA26" s="1811">
        <v>1</v>
      </c>
      <c r="AB26" s="1811">
        <v>1</v>
      </c>
      <c r="AC26" s="2675">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0"/>
      <c r="Q27" s="1810" t="str">
        <f t="shared" ref="Q27:Q47" si="11">B27</f>
        <v>楼层</v>
      </c>
      <c r="R27" s="774" t="s">
        <v>17</v>
      </c>
      <c r="S27" s="775">
        <f>F27</f>
        <v>100</v>
      </c>
      <c r="T27" s="774" t="s">
        <v>17</v>
      </c>
      <c r="U27" s="775">
        <f>H27</f>
        <v>100</v>
      </c>
      <c r="V27" s="774" t="s">
        <v>17</v>
      </c>
      <c r="W27" s="775">
        <f>J27</f>
        <v>100</v>
      </c>
      <c r="X27" s="1813"/>
      <c r="Y27" s="3213"/>
      <c r="Z27" s="1814" t="str">
        <f>Q27</f>
        <v>楼层</v>
      </c>
      <c r="AA27" s="1811">
        <f t="shared" si="3"/>
        <v>1</v>
      </c>
      <c r="AB27" s="1811">
        <f t="shared" si="4"/>
        <v>1</v>
      </c>
      <c r="AC27" s="2675">
        <f t="shared" si="5"/>
        <v>1</v>
      </c>
    </row>
    <row r="28" spans="1:29" s="117" customFormat="1" ht="15">
      <c r="A28" s="431"/>
      <c r="B28" s="631" t="s">
        <v>2691</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20"/>
      <c r="Q28" s="1795" t="str">
        <f t="shared" si="11"/>
        <v>朝向</v>
      </c>
      <c r="R28" s="770" t="s">
        <v>17</v>
      </c>
      <c r="S28" s="771">
        <f>F28</f>
        <v>100</v>
      </c>
      <c r="T28" s="770" t="s">
        <v>17</v>
      </c>
      <c r="U28" s="771">
        <f>H28</f>
        <v>100</v>
      </c>
      <c r="V28" s="770" t="s">
        <v>17</v>
      </c>
      <c r="W28" s="771">
        <f>J28</f>
        <v>100</v>
      </c>
      <c r="X28" s="772"/>
      <c r="Y28" s="3213"/>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20"/>
      <c r="Q29" s="1810">
        <f t="shared" si="11"/>
        <v>111</v>
      </c>
      <c r="R29" s="774" t="s">
        <v>17</v>
      </c>
      <c r="S29" s="775">
        <f t="shared" ref="S29:S47" si="12">F29</f>
        <v>100</v>
      </c>
      <c r="T29" s="774" t="s">
        <v>17</v>
      </c>
      <c r="U29" s="775">
        <f t="shared" ref="U29:U47" si="13">H29</f>
        <v>100</v>
      </c>
      <c r="V29" s="774" t="s">
        <v>17</v>
      </c>
      <c r="W29" s="775">
        <f t="shared" ref="W29:W47" si="14">J29</f>
        <v>100</v>
      </c>
      <c r="X29" s="1813"/>
      <c r="Y29" s="3213"/>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20"/>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20"/>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20"/>
      <c r="Q32" s="1810">
        <f t="shared" si="11"/>
        <v>111</v>
      </c>
      <c r="R32" s="774" t="s">
        <v>17</v>
      </c>
      <c r="S32" s="775">
        <f t="shared" si="12"/>
        <v>100</v>
      </c>
      <c r="T32" s="774" t="s">
        <v>17</v>
      </c>
      <c r="U32" s="775">
        <f t="shared" si="13"/>
        <v>100</v>
      </c>
      <c r="V32" s="774" t="s">
        <v>17</v>
      </c>
      <c r="W32" s="775">
        <f t="shared" si="14"/>
        <v>100</v>
      </c>
      <c r="X32" s="1813"/>
      <c r="Y32" s="3213"/>
      <c r="Z32" s="1814">
        <f t="shared" si="15"/>
        <v>111</v>
      </c>
      <c r="AA32" s="1811">
        <f t="shared" si="3"/>
        <v>1</v>
      </c>
      <c r="AB32" s="1811">
        <f t="shared" si="4"/>
        <v>1</v>
      </c>
      <c r="AC32" s="2675">
        <f t="shared" si="5"/>
        <v>1</v>
      </c>
    </row>
    <row r="33" spans="1:29" ht="15">
      <c r="A33" s="440" t="s">
        <v>2562</v>
      </c>
      <c r="B33" s="71" t="s">
        <v>2692</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14" t="s">
        <v>2564</v>
      </c>
      <c r="Q33" s="1810" t="str">
        <f t="shared" si="11"/>
        <v>建筑类型</v>
      </c>
      <c r="R33" s="774" t="s">
        <v>17</v>
      </c>
      <c r="S33" s="775">
        <f t="shared" si="12"/>
        <v>100</v>
      </c>
      <c r="T33" s="774" t="s">
        <v>17</v>
      </c>
      <c r="U33" s="775">
        <f t="shared" si="13"/>
        <v>100</v>
      </c>
      <c r="V33" s="774" t="s">
        <v>17</v>
      </c>
      <c r="W33" s="775">
        <f t="shared" si="14"/>
        <v>100</v>
      </c>
      <c r="X33" s="1813"/>
      <c r="Y33" s="3217" t="s">
        <v>2564</v>
      </c>
      <c r="Z33" s="1814" t="str">
        <f t="shared" si="15"/>
        <v>建筑类型</v>
      </c>
      <c r="AA33" s="1811">
        <f t="shared" si="3"/>
        <v>1</v>
      </c>
      <c r="AB33" s="1811">
        <f t="shared" si="4"/>
        <v>1</v>
      </c>
      <c r="AC33" s="2675">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5"/>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1" t="e">
        <f t="shared" si="3"/>
        <v>#N/A</v>
      </c>
      <c r="AB34" s="1811" t="e">
        <f t="shared" si="4"/>
        <v>#N/A</v>
      </c>
      <c r="AC34" s="2675"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5"/>
      <c r="Q35" s="1810" t="str">
        <f t="shared" si="11"/>
        <v>建筑结构</v>
      </c>
      <c r="R35" s="774" t="s">
        <v>17</v>
      </c>
      <c r="S35" s="775">
        <f t="shared" si="12"/>
        <v>100</v>
      </c>
      <c r="T35" s="774" t="s">
        <v>17</v>
      </c>
      <c r="U35" s="775">
        <f t="shared" si="13"/>
        <v>100</v>
      </c>
      <c r="V35" s="774" t="s">
        <v>17</v>
      </c>
      <c r="W35" s="775">
        <f t="shared" si="14"/>
        <v>100</v>
      </c>
      <c r="X35" s="1813"/>
      <c r="Y35" s="3217"/>
      <c r="Z35" s="1814" t="str">
        <f t="shared" si="15"/>
        <v>建筑结构</v>
      </c>
      <c r="AA35" s="1811">
        <f t="shared" si="3"/>
        <v>1</v>
      </c>
      <c r="AB35" s="1811">
        <f t="shared" si="4"/>
        <v>1</v>
      </c>
      <c r="AC35" s="2675">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5"/>
      <c r="Q36" s="1810" t="str">
        <f t="shared" si="11"/>
        <v>公共部分装修</v>
      </c>
      <c r="R36" s="774" t="s">
        <v>17</v>
      </c>
      <c r="S36" s="775">
        <f t="shared" si="12"/>
        <v>100</v>
      </c>
      <c r="T36" s="774" t="s">
        <v>17</v>
      </c>
      <c r="U36" s="775">
        <f t="shared" si="13"/>
        <v>100</v>
      </c>
      <c r="V36" s="774" t="s">
        <v>17</v>
      </c>
      <c r="W36" s="775">
        <f t="shared" si="14"/>
        <v>100</v>
      </c>
      <c r="X36" s="1813"/>
      <c r="Y36" s="3217"/>
      <c r="Z36" s="1814" t="str">
        <f t="shared" si="15"/>
        <v>公共部分装修</v>
      </c>
      <c r="AA36" s="1811">
        <f t="shared" si="3"/>
        <v>1</v>
      </c>
      <c r="AB36" s="1811">
        <f t="shared" si="4"/>
        <v>1</v>
      </c>
      <c r="AC36" s="2675">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5"/>
      <c r="Q37" s="1810" t="str">
        <f t="shared" si="11"/>
        <v>成新度</v>
      </c>
      <c r="R37" s="774" t="s">
        <v>17</v>
      </c>
      <c r="S37" s="775" t="e">
        <f t="shared" si="12"/>
        <v>#N/A</v>
      </c>
      <c r="T37" s="774" t="s">
        <v>17</v>
      </c>
      <c r="U37" s="775" t="e">
        <f t="shared" si="13"/>
        <v>#N/A</v>
      </c>
      <c r="V37" s="774" t="s">
        <v>17</v>
      </c>
      <c r="W37" s="775" t="e">
        <f t="shared" si="14"/>
        <v>#N/A</v>
      </c>
      <c r="X37" s="1813"/>
      <c r="Y37" s="3217"/>
      <c r="Z37" s="1814" t="str">
        <f t="shared" si="15"/>
        <v>成新度</v>
      </c>
      <c r="AA37" s="1811" t="e">
        <f t="shared" si="3"/>
        <v>#N/A</v>
      </c>
      <c r="AB37" s="1811" t="e">
        <f t="shared" si="4"/>
        <v>#N/A</v>
      </c>
      <c r="AC37" s="2675"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5"/>
      <c r="Q38" s="1795"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2">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5" t="s">
        <v>2564</v>
      </c>
      <c r="Q39" s="1810" t="str">
        <f t="shared" si="11"/>
        <v>物业管理</v>
      </c>
      <c r="R39" s="774" t="s">
        <v>17</v>
      </c>
      <c r="S39" s="775">
        <f t="shared" si="12"/>
        <v>100</v>
      </c>
      <c r="T39" s="774" t="s">
        <v>17</v>
      </c>
      <c r="U39" s="775">
        <f t="shared" si="13"/>
        <v>100</v>
      </c>
      <c r="V39" s="774" t="s">
        <v>17</v>
      </c>
      <c r="W39" s="775">
        <f t="shared" si="14"/>
        <v>100</v>
      </c>
      <c r="X39" s="1813"/>
      <c r="Y39" s="3217" t="s">
        <v>2564</v>
      </c>
      <c r="Z39" s="1814" t="str">
        <f t="shared" si="15"/>
        <v>物业管理</v>
      </c>
      <c r="AA39" s="1811">
        <f t="shared" si="3"/>
        <v>1</v>
      </c>
      <c r="AB39" s="1811">
        <f t="shared" si="4"/>
        <v>1</v>
      </c>
      <c r="AC39" s="2675">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5"/>
      <c r="Q40" s="1810" t="str">
        <f t="shared" si="11"/>
        <v>市政基础设施</v>
      </c>
      <c r="R40" s="774" t="s">
        <v>17</v>
      </c>
      <c r="S40" s="775">
        <f t="shared" si="12"/>
        <v>100</v>
      </c>
      <c r="T40" s="774" t="s">
        <v>17</v>
      </c>
      <c r="U40" s="775">
        <f t="shared" si="13"/>
        <v>100</v>
      </c>
      <c r="V40" s="774" t="s">
        <v>17</v>
      </c>
      <c r="W40" s="775">
        <f t="shared" si="14"/>
        <v>100</v>
      </c>
      <c r="X40" s="1813"/>
      <c r="Y40" s="3217"/>
      <c r="Z40" s="1814" t="str">
        <f t="shared" si="15"/>
        <v>市政基础设施</v>
      </c>
      <c r="AA40" s="1811">
        <f t="shared" si="3"/>
        <v>1</v>
      </c>
      <c r="AB40" s="1811">
        <f t="shared" si="4"/>
        <v>1</v>
      </c>
      <c r="AC40" s="2675">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5"/>
      <c r="Q41" s="1810" t="str">
        <f t="shared" si="11"/>
        <v>层高</v>
      </c>
      <c r="R41" s="774" t="s">
        <v>17</v>
      </c>
      <c r="S41" s="775">
        <f t="shared" si="12"/>
        <v>100</v>
      </c>
      <c r="T41" s="774" t="s">
        <v>17</v>
      </c>
      <c r="U41" s="775">
        <f t="shared" si="13"/>
        <v>100</v>
      </c>
      <c r="V41" s="774" t="s">
        <v>17</v>
      </c>
      <c r="W41" s="775">
        <f t="shared" si="14"/>
        <v>100</v>
      </c>
      <c r="X41" s="1813"/>
      <c r="Y41" s="3217"/>
      <c r="Z41" s="1814" t="str">
        <f t="shared" si="15"/>
        <v>层高</v>
      </c>
      <c r="AA41" s="1811">
        <f t="shared" si="3"/>
        <v>1</v>
      </c>
      <c r="AB41" s="1811">
        <f t="shared" si="4"/>
        <v>1</v>
      </c>
      <c r="AC41" s="2675">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1">
        <f t="shared" si="3"/>
        <v>1</v>
      </c>
      <c r="AB42" s="1811">
        <f t="shared" si="4"/>
        <v>1</v>
      </c>
      <c r="AC42" s="2675">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5"/>
      <c r="Q43" s="1810" t="str">
        <f t="shared" si="11"/>
        <v>内部装修</v>
      </c>
      <c r="R43" s="774" t="s">
        <v>17</v>
      </c>
      <c r="S43" s="775">
        <f t="shared" si="12"/>
        <v>100</v>
      </c>
      <c r="T43" s="774" t="s">
        <v>17</v>
      </c>
      <c r="U43" s="775">
        <f t="shared" si="13"/>
        <v>100</v>
      </c>
      <c r="V43" s="774" t="s">
        <v>17</v>
      </c>
      <c r="W43" s="775">
        <f t="shared" si="14"/>
        <v>100</v>
      </c>
      <c r="X43" s="1813"/>
      <c r="Y43" s="3217"/>
      <c r="Z43" s="1814" t="str">
        <f t="shared" si="15"/>
        <v>内部装修</v>
      </c>
      <c r="AA43" s="1811">
        <f t="shared" si="3"/>
        <v>1</v>
      </c>
      <c r="AB43" s="1811">
        <f t="shared" si="4"/>
        <v>1</v>
      </c>
      <c r="AC43" s="2675">
        <f t="shared" si="5"/>
        <v>1</v>
      </c>
    </row>
    <row r="44" spans="1:29" ht="15">
      <c r="A44" s="472"/>
      <c r="B44" s="422" t="s">
        <v>2575</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15"/>
      <c r="Q44" s="1810" t="str">
        <f t="shared" si="11"/>
        <v>内部装修维护情况</v>
      </c>
      <c r="R44" s="774" t="s">
        <v>17</v>
      </c>
      <c r="S44" s="775">
        <f t="shared" si="12"/>
        <v>100</v>
      </c>
      <c r="T44" s="774" t="s">
        <v>17</v>
      </c>
      <c r="U44" s="775">
        <f t="shared" si="13"/>
        <v>100</v>
      </c>
      <c r="V44" s="774" t="s">
        <v>17</v>
      </c>
      <c r="W44" s="775">
        <f t="shared" si="14"/>
        <v>100</v>
      </c>
      <c r="X44" s="1813"/>
      <c r="Y44" s="3217"/>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5"/>
      <c r="Q45" s="1795">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5"/>
      <c r="Q46" s="1810">
        <f t="shared" si="11"/>
        <v>111</v>
      </c>
      <c r="R46" s="774" t="s">
        <v>17</v>
      </c>
      <c r="S46" s="775">
        <f t="shared" si="12"/>
        <v>100</v>
      </c>
      <c r="T46" s="774" t="s">
        <v>17</v>
      </c>
      <c r="U46" s="775">
        <f t="shared" si="13"/>
        <v>100</v>
      </c>
      <c r="V46" s="774" t="s">
        <v>17</v>
      </c>
      <c r="W46" s="775">
        <f t="shared" si="14"/>
        <v>100</v>
      </c>
      <c r="X46" s="1813"/>
      <c r="Y46" s="3217"/>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6"/>
      <c r="Q47" s="1810">
        <f t="shared" si="11"/>
        <v>111</v>
      </c>
      <c r="R47" s="774" t="s">
        <v>17</v>
      </c>
      <c r="S47" s="775">
        <f t="shared" si="12"/>
        <v>100</v>
      </c>
      <c r="T47" s="774" t="s">
        <v>17</v>
      </c>
      <c r="U47" s="775">
        <f t="shared" si="13"/>
        <v>100</v>
      </c>
      <c r="V47" s="774" t="s">
        <v>17</v>
      </c>
      <c r="W47" s="775">
        <f t="shared" si="14"/>
        <v>100</v>
      </c>
      <c r="X47" s="1813"/>
      <c r="Y47" s="3218"/>
      <c r="Z47" s="1814">
        <f t="shared" si="15"/>
        <v>111</v>
      </c>
      <c r="AA47" s="1811">
        <f t="shared" si="3"/>
        <v>1</v>
      </c>
      <c r="AB47" s="1811">
        <f t="shared" si="4"/>
        <v>1</v>
      </c>
      <c r="AC47" s="2675">
        <f t="shared" si="5"/>
        <v>1</v>
      </c>
    </row>
    <row r="48" spans="1:29" ht="15">
      <c r="A48" s="479" t="s">
        <v>2576</v>
      </c>
      <c r="B48" s="480"/>
      <c r="C48" s="1407" t="s">
        <v>1</v>
      </c>
      <c r="D48" s="1408"/>
      <c r="E48" s="1409"/>
      <c r="F48" s="1410"/>
      <c r="G48" s="1411"/>
      <c r="H48" s="1412"/>
      <c r="I48" s="1409"/>
      <c r="J48" s="485"/>
      <c r="K48" s="783"/>
      <c r="L48" s="1143"/>
      <c r="M48" s="1131"/>
      <c r="N48" s="1131"/>
      <c r="O48" s="1131"/>
      <c r="P48" s="3192" t="str">
        <f>A48</f>
        <v>成交单价（元/平方米）</v>
      </c>
      <c r="Q48" s="3210"/>
      <c r="R48" s="3211">
        <f>E48</f>
        <v>0</v>
      </c>
      <c r="S48" s="3211"/>
      <c r="T48" s="3211">
        <f>G48</f>
        <v>0</v>
      </c>
      <c r="U48" s="3211"/>
      <c r="V48" s="3211">
        <f>I48</f>
        <v>0</v>
      </c>
      <c r="W48" s="3211"/>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33" t="str">
        <f>A50</f>
        <v>估价对象XX用房的比较价值（楼面单价，元/平方米）</v>
      </c>
      <c r="Q50" s="3234"/>
      <c r="R50" s="3235" t="e">
        <f>IF(F1="售价",ROUND(AVERAGE(R49:V49),0),ROUND(AVERAGE(R49:V49),1))</f>
        <v>#DIV/0!</v>
      </c>
      <c r="S50" s="3235"/>
      <c r="T50" s="3235"/>
      <c r="U50" s="3235"/>
      <c r="V50" s="3235"/>
      <c r="W50" s="3235"/>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2"/>
      <c r="Q58" s="504"/>
    </row>
    <row r="59" spans="1:29" s="508" customFormat="1" ht="15">
      <c r="A59" s="505" t="s">
        <v>2547</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2584</v>
      </c>
      <c r="B61" s="516"/>
      <c r="C61" s="517"/>
      <c r="D61" s="518"/>
      <c r="E61" s="518"/>
      <c r="F61" s="518"/>
      <c r="G61" s="518"/>
      <c r="H61" s="518"/>
      <c r="I61" s="518"/>
      <c r="J61" s="518"/>
      <c r="K61" s="518"/>
      <c r="L61" s="518"/>
      <c r="M61" s="519"/>
      <c r="N61" s="518"/>
      <c r="O61" s="519"/>
      <c r="P61" s="2683"/>
      <c r="Q61" s="504"/>
    </row>
    <row r="62" spans="1:29" s="117" customFormat="1" ht="15">
      <c r="A62" s="521" t="s">
        <v>2549</v>
      </c>
      <c r="B62" s="510"/>
      <c r="C62" s="522" t="s">
        <v>2651</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2587</v>
      </c>
      <c r="B64" s="528" t="s">
        <v>2553</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2698</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2562</v>
      </c>
      <c r="B101" s="528" t="s">
        <v>2611</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2613</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2615</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2616</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2617</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2700</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2619</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0" t="s">
        <v>2701</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100326.75000000001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0"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0"/>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9" t="s">
        <v>2702</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2" t="s">
        <v>2559</v>
      </c>
      <c r="Q15" s="1810" t="str">
        <f t="shared" si="6"/>
        <v>产业集聚程度</v>
      </c>
      <c r="R15" s="774" t="s">
        <v>17</v>
      </c>
      <c r="S15" s="775">
        <f t="shared" si="0"/>
        <v>100</v>
      </c>
      <c r="T15" s="774" t="s">
        <v>17</v>
      </c>
      <c r="U15" s="775">
        <f t="shared" si="1"/>
        <v>100</v>
      </c>
      <c r="V15" s="774" t="s">
        <v>17</v>
      </c>
      <c r="W15" s="775">
        <f t="shared" si="2"/>
        <v>100</v>
      </c>
      <c r="X15" s="1813"/>
      <c r="Y15" s="3212"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13"/>
      <c r="Q18" s="1810"/>
      <c r="R18" s="774"/>
      <c r="S18" s="775"/>
      <c r="T18" s="774"/>
      <c r="U18" s="775"/>
      <c r="V18" s="774"/>
      <c r="W18" s="775"/>
      <c r="X18" s="1813"/>
      <c r="Y18" s="3213"/>
      <c r="Z18" s="1814"/>
      <c r="AA18" s="1811">
        <v>1</v>
      </c>
      <c r="AB18" s="1811">
        <v>1</v>
      </c>
      <c r="AC18" s="1811">
        <v>1</v>
      </c>
    </row>
    <row r="19" spans="1:29" ht="42.75">
      <c r="A19" s="428"/>
      <c r="B19" s="451" t="s">
        <v>2687</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3"/>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13"/>
      <c r="Q20" s="1810"/>
      <c r="R20" s="774"/>
      <c r="S20" s="775"/>
      <c r="T20" s="774"/>
      <c r="U20" s="775"/>
      <c r="V20" s="774"/>
      <c r="W20" s="775"/>
      <c r="X20" s="1813"/>
      <c r="Y20" s="3213"/>
      <c r="Z20" s="1814"/>
      <c r="AA20" s="1811">
        <v>1</v>
      </c>
      <c r="AB20" s="1811">
        <v>1</v>
      </c>
      <c r="AC20" s="1811">
        <v>1</v>
      </c>
    </row>
    <row r="21" spans="1:29" ht="28.5">
      <c r="A21" s="428"/>
      <c r="B21" s="1384" t="s">
        <v>2688</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3"/>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13"/>
      <c r="Q22" s="1810"/>
      <c r="R22" s="774"/>
      <c r="S22" s="775"/>
      <c r="T22" s="774"/>
      <c r="U22" s="775"/>
      <c r="V22" s="774"/>
      <c r="W22" s="775"/>
      <c r="X22" s="1813"/>
      <c r="Y22" s="3213"/>
      <c r="Z22" s="1814"/>
      <c r="AA22" s="1811">
        <v>1</v>
      </c>
      <c r="AB22" s="1811">
        <v>1</v>
      </c>
      <c r="AC22" s="1811">
        <v>1</v>
      </c>
    </row>
    <row r="23" spans="1:29" ht="71.25">
      <c r="A23" s="428"/>
      <c r="B23" s="451" t="s">
        <v>2689</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3"/>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13"/>
      <c r="Q24" s="1810"/>
      <c r="R24" s="774"/>
      <c r="S24" s="775"/>
      <c r="T24" s="774"/>
      <c r="U24" s="775"/>
      <c r="V24" s="774"/>
      <c r="W24" s="775"/>
      <c r="X24" s="1813"/>
      <c r="Y24" s="321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3"/>
      <c r="Q25" s="1810">
        <f>B25</f>
        <v>111</v>
      </c>
      <c r="R25" s="774" t="s">
        <v>17</v>
      </c>
      <c r="S25" s="775">
        <f>F25</f>
        <v>100</v>
      </c>
      <c r="T25" s="774" t="s">
        <v>17</v>
      </c>
      <c r="U25" s="775">
        <f>H25</f>
        <v>100</v>
      </c>
      <c r="V25" s="774" t="s">
        <v>17</v>
      </c>
      <c r="W25" s="775">
        <f>J25</f>
        <v>100</v>
      </c>
      <c r="X25" s="1813"/>
      <c r="Y25" s="321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3"/>
      <c r="Q26" s="1810">
        <f t="shared" ref="Q26:Q40" si="11">B26</f>
        <v>111</v>
      </c>
      <c r="R26" s="774" t="s">
        <v>17</v>
      </c>
      <c r="S26" s="775">
        <f>F26</f>
        <v>100</v>
      </c>
      <c r="T26" s="774" t="s">
        <v>17</v>
      </c>
      <c r="U26" s="775">
        <f>H26</f>
        <v>100</v>
      </c>
      <c r="V26" s="774" t="s">
        <v>17</v>
      </c>
      <c r="W26" s="775">
        <f>J26</f>
        <v>100</v>
      </c>
      <c r="X26" s="1813"/>
      <c r="Y26" s="321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3"/>
      <c r="Q27" s="1795">
        <f t="shared" si="11"/>
        <v>111</v>
      </c>
      <c r="R27" s="770" t="s">
        <v>17</v>
      </c>
      <c r="S27" s="771">
        <f>F27</f>
        <v>100</v>
      </c>
      <c r="T27" s="770" t="s">
        <v>17</v>
      </c>
      <c r="U27" s="771">
        <f>H27</f>
        <v>100</v>
      </c>
      <c r="V27" s="770" t="s">
        <v>17</v>
      </c>
      <c r="W27" s="771">
        <f>J27</f>
        <v>100</v>
      </c>
      <c r="X27" s="772"/>
      <c r="Y27" s="321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3"/>
      <c r="Q28" s="1810">
        <f t="shared" si="11"/>
        <v>111</v>
      </c>
      <c r="R28" s="774" t="s">
        <v>17</v>
      </c>
      <c r="S28" s="775">
        <f t="shared" ref="S28:S40" si="12">F28</f>
        <v>100</v>
      </c>
      <c r="T28" s="774" t="s">
        <v>17</v>
      </c>
      <c r="U28" s="775">
        <f t="shared" ref="U28:U40" si="13">H28</f>
        <v>100</v>
      </c>
      <c r="V28" s="774" t="s">
        <v>17</v>
      </c>
      <c r="W28" s="775">
        <f t="shared" ref="W28:W40" si="14">J28</f>
        <v>100</v>
      </c>
      <c r="X28" s="1813"/>
      <c r="Y28" s="3213"/>
      <c r="Z28" s="1814">
        <f t="shared" ref="Z28:Z40" si="15">Q28</f>
        <v>111</v>
      </c>
      <c r="AA28" s="1811">
        <f t="shared" si="3"/>
        <v>1</v>
      </c>
      <c r="AB28" s="1811">
        <f t="shared" si="4"/>
        <v>1</v>
      </c>
      <c r="AC28" s="1811">
        <f t="shared" si="5"/>
        <v>1</v>
      </c>
    </row>
    <row r="29" spans="1:29" ht="28.5">
      <c r="A29" s="466" t="s">
        <v>2562</v>
      </c>
      <c r="B29" s="71" t="s">
        <v>2692</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36" t="s">
        <v>2564</v>
      </c>
      <c r="Q29" s="1810" t="str">
        <f t="shared" si="11"/>
        <v>建筑类型</v>
      </c>
      <c r="R29" s="774" t="s">
        <v>17</v>
      </c>
      <c r="S29" s="775">
        <f t="shared" si="12"/>
        <v>100</v>
      </c>
      <c r="T29" s="774" t="s">
        <v>17</v>
      </c>
      <c r="U29" s="775">
        <f t="shared" si="13"/>
        <v>100</v>
      </c>
      <c r="V29" s="774" t="s">
        <v>17</v>
      </c>
      <c r="W29" s="775">
        <f t="shared" si="14"/>
        <v>100</v>
      </c>
      <c r="X29" s="1813"/>
      <c r="Y29" s="3217"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10" t="str">
        <f t="shared" si="11"/>
        <v>建筑结构</v>
      </c>
      <c r="R31" s="774" t="s">
        <v>17</v>
      </c>
      <c r="S31" s="775">
        <f t="shared" si="12"/>
        <v>100</v>
      </c>
      <c r="T31" s="774" t="s">
        <v>17</v>
      </c>
      <c r="U31" s="775">
        <f t="shared" si="13"/>
        <v>100</v>
      </c>
      <c r="V31" s="774" t="s">
        <v>17</v>
      </c>
      <c r="W31" s="775">
        <f t="shared" si="14"/>
        <v>100</v>
      </c>
      <c r="X31" s="1813"/>
      <c r="Y31" s="3217"/>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10" t="str">
        <f t="shared" si="11"/>
        <v>公共部分装修</v>
      </c>
      <c r="R32" s="774" t="s">
        <v>17</v>
      </c>
      <c r="S32" s="775">
        <f t="shared" si="12"/>
        <v>100</v>
      </c>
      <c r="T32" s="774" t="s">
        <v>17</v>
      </c>
      <c r="U32" s="775">
        <f t="shared" si="13"/>
        <v>100</v>
      </c>
      <c r="V32" s="774" t="s">
        <v>17</v>
      </c>
      <c r="W32" s="775">
        <f t="shared" si="14"/>
        <v>100</v>
      </c>
      <c r="X32" s="1813"/>
      <c r="Y32" s="3217"/>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10" t="str">
        <f t="shared" si="11"/>
        <v>成新度</v>
      </c>
      <c r="R33" s="774" t="s">
        <v>17</v>
      </c>
      <c r="S33" s="775" t="e">
        <f t="shared" si="12"/>
        <v>#N/A</v>
      </c>
      <c r="T33" s="774" t="s">
        <v>17</v>
      </c>
      <c r="U33" s="775" t="e">
        <f t="shared" si="13"/>
        <v>#N/A</v>
      </c>
      <c r="V33" s="774" t="s">
        <v>17</v>
      </c>
      <c r="W33" s="775" t="e">
        <f t="shared" si="14"/>
        <v>#N/A</v>
      </c>
      <c r="X33" s="1813"/>
      <c r="Y33" s="3217"/>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5"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2564</v>
      </c>
      <c r="Q35" s="1810" t="str">
        <f t="shared" si="11"/>
        <v>市政基础设施</v>
      </c>
      <c r="R35" s="774" t="s">
        <v>17</v>
      </c>
      <c r="S35" s="775">
        <f t="shared" si="12"/>
        <v>100</v>
      </c>
      <c r="T35" s="774" t="s">
        <v>17</v>
      </c>
      <c r="U35" s="775">
        <f t="shared" si="13"/>
        <v>100</v>
      </c>
      <c r="V35" s="774" t="s">
        <v>17</v>
      </c>
      <c r="W35" s="775">
        <f t="shared" si="14"/>
        <v>100</v>
      </c>
      <c r="X35" s="1813"/>
      <c r="Y35" s="3217"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10" t="str">
        <f t="shared" si="11"/>
        <v>内部装修</v>
      </c>
      <c r="R36" s="774" t="s">
        <v>17</v>
      </c>
      <c r="S36" s="775">
        <f t="shared" si="12"/>
        <v>100</v>
      </c>
      <c r="T36" s="774" t="s">
        <v>17</v>
      </c>
      <c r="U36" s="775">
        <f t="shared" si="13"/>
        <v>100</v>
      </c>
      <c r="V36" s="774" t="s">
        <v>17</v>
      </c>
      <c r="W36" s="775">
        <f t="shared" si="14"/>
        <v>100</v>
      </c>
      <c r="X36" s="1813"/>
      <c r="Y36" s="3217"/>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10" t="str">
        <f t="shared" si="11"/>
        <v>内部装修状况</v>
      </c>
      <c r="R37" s="774" t="s">
        <v>17</v>
      </c>
      <c r="S37" s="775">
        <f t="shared" si="12"/>
        <v>100</v>
      </c>
      <c r="T37" s="774" t="s">
        <v>17</v>
      </c>
      <c r="U37" s="775">
        <f t="shared" si="13"/>
        <v>100</v>
      </c>
      <c r="V37" s="774" t="s">
        <v>17</v>
      </c>
      <c r="W37" s="775">
        <f t="shared" si="14"/>
        <v>100</v>
      </c>
      <c r="X37" s="1813"/>
      <c r="Y37" s="321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10">
        <f t="shared" si="11"/>
        <v>111</v>
      </c>
      <c r="R39" s="774" t="s">
        <v>17</v>
      </c>
      <c r="S39" s="775">
        <f t="shared" si="12"/>
        <v>100</v>
      </c>
      <c r="T39" s="774" t="s">
        <v>17</v>
      </c>
      <c r="U39" s="775">
        <f t="shared" si="13"/>
        <v>100</v>
      </c>
      <c r="V39" s="774" t="s">
        <v>17</v>
      </c>
      <c r="W39" s="775">
        <f t="shared" si="14"/>
        <v>100</v>
      </c>
      <c r="X39" s="1813"/>
      <c r="Y39" s="3217"/>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8"/>
      <c r="Q40" s="1810">
        <f t="shared" si="11"/>
        <v>111</v>
      </c>
      <c r="R40" s="774" t="s">
        <v>17</v>
      </c>
      <c r="S40" s="775">
        <f t="shared" si="12"/>
        <v>100</v>
      </c>
      <c r="T40" s="774" t="s">
        <v>17</v>
      </c>
      <c r="U40" s="775">
        <f t="shared" si="13"/>
        <v>100</v>
      </c>
      <c r="V40" s="774" t="s">
        <v>17</v>
      </c>
      <c r="W40" s="775">
        <f t="shared" si="14"/>
        <v>100</v>
      </c>
      <c r="X40" s="1813"/>
      <c r="Y40" s="3218"/>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10" t="str">
        <f>A41</f>
        <v>成交单价（元/平方米）</v>
      </c>
      <c r="Q41" s="3210"/>
      <c r="R41" s="3211">
        <f>E41</f>
        <v>0</v>
      </c>
      <c r="S41" s="3211"/>
      <c r="T41" s="3211">
        <f>G41</f>
        <v>0</v>
      </c>
      <c r="U41" s="3211"/>
      <c r="V41" s="3211">
        <f>I41</f>
        <v>0</v>
      </c>
      <c r="W41" s="3211"/>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7" t="str">
        <f>A43</f>
        <v>估价对象XX用房的比较价值（楼面单价，元/平方米）</v>
      </c>
      <c r="Q43" s="3208"/>
      <c r="R43" s="3209" t="e">
        <f>IF(F1="售价",ROUND(AVERAGE(R42:V42),0),ROUND(AVERAGE(R42:V42),1))</f>
        <v>#DIV/0!</v>
      </c>
      <c r="S43" s="3209"/>
      <c r="T43" s="3209"/>
      <c r="U43" s="3209"/>
      <c r="V43" s="3209"/>
      <c r="W43" s="320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受贵公司委托，我公司对北京市房地产市场价值进行了预评估。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估价对象为北京市房地产，为所有。根据《国有土地使用证》[]，估价对象（分摊）出让国有建设用地使用权面积为22104.58平方米，建筑面积为100326.75平方米。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估价对象为北京市房地产,属开发建设的，该项目尚在开发建设中。根据《国有土地使用证》[]，估价对象（分摊）出让国有建设用地使用权面积为22104.58平方米，规划建筑面积为100326.75平方米。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2020年3月9日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5"/>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8" t="s">
        <v>2548</v>
      </c>
      <c r="Q7" s="3206"/>
      <c r="R7" s="770" t="s">
        <v>17</v>
      </c>
      <c r="S7" s="771">
        <f t="shared" ref="S7:S14" si="0">F7</f>
        <v>0</v>
      </c>
      <c r="T7" s="770" t="s">
        <v>17</v>
      </c>
      <c r="U7" s="771">
        <f t="shared" ref="U7:U14" si="1">H7</f>
        <v>0</v>
      </c>
      <c r="V7" s="770" t="s">
        <v>17</v>
      </c>
      <c r="W7" s="771">
        <f t="shared" ref="W7:W14" si="2">J7</f>
        <v>0</v>
      </c>
      <c r="X7" s="772"/>
      <c r="Y7" s="3178" t="s">
        <v>2548</v>
      </c>
      <c r="Z7" s="317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0" t="s">
        <v>2554</v>
      </c>
      <c r="Q9" s="1795"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0"/>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0"/>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2558</v>
      </c>
      <c r="B14" s="629" t="s">
        <v>2708</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2" t="s">
        <v>2559</v>
      </c>
      <c r="Q14" s="1810" t="str">
        <f t="shared" si="6"/>
        <v>交通便捷度</v>
      </c>
      <c r="R14" s="774" t="s">
        <v>17</v>
      </c>
      <c r="S14" s="775">
        <f t="shared" si="0"/>
        <v>100</v>
      </c>
      <c r="T14" s="774" t="s">
        <v>17</v>
      </c>
      <c r="U14" s="775">
        <f t="shared" si="1"/>
        <v>100</v>
      </c>
      <c r="V14" s="774" t="s">
        <v>17</v>
      </c>
      <c r="W14" s="775">
        <f t="shared" si="2"/>
        <v>100</v>
      </c>
      <c r="X14" s="1813"/>
      <c r="Y14" s="3212"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3"/>
      <c r="Q15" s="1810"/>
      <c r="R15" s="774"/>
      <c r="S15" s="775"/>
      <c r="T15" s="774"/>
      <c r="U15" s="775"/>
      <c r="V15" s="774"/>
      <c r="W15" s="775"/>
      <c r="X15" s="1813"/>
      <c r="Y15" s="3213"/>
      <c r="Z15" s="1814"/>
      <c r="AA15" s="1811">
        <v>1</v>
      </c>
      <c r="AB15" s="1811">
        <v>1</v>
      </c>
      <c r="AC15" s="1811">
        <v>1</v>
      </c>
    </row>
    <row r="16" spans="1:29" ht="42.75">
      <c r="A16" s="404"/>
      <c r="B16" s="631" t="s">
        <v>2687</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13"/>
      <c r="Q17" s="1810"/>
      <c r="R17" s="774"/>
      <c r="S17" s="775"/>
      <c r="T17" s="774"/>
      <c r="U17" s="775"/>
      <c r="V17" s="774"/>
      <c r="W17" s="775"/>
      <c r="X17" s="1813"/>
      <c r="Y17" s="3213"/>
      <c r="Z17" s="1814"/>
      <c r="AA17" s="1811">
        <v>1</v>
      </c>
      <c r="AB17" s="1811">
        <v>1</v>
      </c>
      <c r="AC17" s="1811">
        <v>1</v>
      </c>
    </row>
    <row r="18" spans="1:29" ht="28.5">
      <c r="A18" s="404"/>
      <c r="B18" s="633" t="s">
        <v>2688</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13"/>
      <c r="Q19" s="1810"/>
      <c r="R19" s="774"/>
      <c r="S19" s="775"/>
      <c r="T19" s="774"/>
      <c r="U19" s="775"/>
      <c r="V19" s="774"/>
      <c r="W19" s="775"/>
      <c r="X19" s="1813"/>
      <c r="Y19" s="3213"/>
      <c r="Z19" s="1814"/>
      <c r="AA19" s="1811">
        <v>1</v>
      </c>
      <c r="AB19" s="1811">
        <v>1</v>
      </c>
      <c r="AC19" s="1811">
        <v>1</v>
      </c>
    </row>
    <row r="20" spans="1:29" ht="57">
      <c r="A20" s="404"/>
      <c r="B20" s="631" t="s">
        <v>2709</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3"/>
      <c r="Q21" s="1810"/>
      <c r="R21" s="774"/>
      <c r="S21" s="775"/>
      <c r="T21" s="774"/>
      <c r="U21" s="775"/>
      <c r="V21" s="774"/>
      <c r="W21" s="775"/>
      <c r="X21" s="1813"/>
      <c r="Y21" s="3213"/>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3"/>
      <c r="Q24" s="1810">
        <f t="shared" ref="Q24:Q36"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28.5">
      <c r="A26" s="652" t="s">
        <v>2562</v>
      </c>
      <c r="B26" s="70" t="s">
        <v>2711</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6"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7"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10" t="str">
        <f t="shared" si="11"/>
        <v>公共部分装修</v>
      </c>
      <c r="R28" s="774" t="s">
        <v>17</v>
      </c>
      <c r="S28" s="775">
        <f t="shared" si="12"/>
        <v>100</v>
      </c>
      <c r="T28" s="774" t="s">
        <v>17</v>
      </c>
      <c r="U28" s="775">
        <f t="shared" si="13"/>
        <v>100</v>
      </c>
      <c r="V28" s="774" t="s">
        <v>17</v>
      </c>
      <c r="W28" s="775">
        <f t="shared" si="14"/>
        <v>100</v>
      </c>
      <c r="X28" s="1813"/>
      <c r="Y28" s="3217"/>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10" t="str">
        <f t="shared" si="11"/>
        <v>成新率</v>
      </c>
      <c r="R29" s="774" t="s">
        <v>17</v>
      </c>
      <c r="S29" s="775" t="e">
        <f t="shared" si="12"/>
        <v>#N/A</v>
      </c>
      <c r="T29" s="774" t="s">
        <v>17</v>
      </c>
      <c r="U29" s="775" t="e">
        <f t="shared" si="13"/>
        <v>#N/A</v>
      </c>
      <c r="V29" s="774" t="s">
        <v>17</v>
      </c>
      <c r="W29" s="775" t="e">
        <f t="shared" si="14"/>
        <v>#N/A</v>
      </c>
      <c r="X29" s="1813"/>
      <c r="Y29" s="3217"/>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10" t="str">
        <f t="shared" si="11"/>
        <v>物业等级</v>
      </c>
      <c r="R30" s="774" t="s">
        <v>17</v>
      </c>
      <c r="S30" s="775">
        <f t="shared" si="12"/>
        <v>100</v>
      </c>
      <c r="T30" s="774" t="s">
        <v>17</v>
      </c>
      <c r="U30" s="775">
        <f t="shared" si="13"/>
        <v>100</v>
      </c>
      <c r="V30" s="774" t="s">
        <v>17</v>
      </c>
      <c r="W30" s="775">
        <f t="shared" si="14"/>
        <v>100</v>
      </c>
      <c r="X30" s="1813"/>
      <c r="Y30" s="3217"/>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5"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2564</v>
      </c>
      <c r="Q32" s="1810" t="str">
        <f t="shared" si="11"/>
        <v>车位类型</v>
      </c>
      <c r="R32" s="774" t="s">
        <v>17</v>
      </c>
      <c r="S32" s="775">
        <f t="shared" si="12"/>
        <v>100</v>
      </c>
      <c r="T32" s="774" t="s">
        <v>17</v>
      </c>
      <c r="U32" s="775">
        <f t="shared" si="13"/>
        <v>100</v>
      </c>
      <c r="V32" s="774" t="s">
        <v>17</v>
      </c>
      <c r="W32" s="775">
        <f t="shared" si="14"/>
        <v>100</v>
      </c>
      <c r="X32" s="1813"/>
      <c r="Y32" s="3217"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10" t="str">
        <f t="shared" si="11"/>
        <v>是否直接入户</v>
      </c>
      <c r="R33" s="774" t="s">
        <v>17</v>
      </c>
      <c r="S33" s="775">
        <f t="shared" si="12"/>
        <v>100</v>
      </c>
      <c r="T33" s="774" t="s">
        <v>17</v>
      </c>
      <c r="U33" s="775">
        <f t="shared" si="13"/>
        <v>100</v>
      </c>
      <c r="V33" s="774" t="s">
        <v>17</v>
      </c>
      <c r="W33" s="775">
        <f t="shared" si="14"/>
        <v>100</v>
      </c>
      <c r="X33" s="1813"/>
      <c r="Y33" s="321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10">
        <f t="shared" si="11"/>
        <v>111</v>
      </c>
      <c r="R36" s="774" t="s">
        <v>17</v>
      </c>
      <c r="S36" s="775">
        <f t="shared" si="12"/>
        <v>100</v>
      </c>
      <c r="T36" s="774" t="s">
        <v>17</v>
      </c>
      <c r="U36" s="775">
        <f t="shared" si="13"/>
        <v>100</v>
      </c>
      <c r="V36" s="774" t="s">
        <v>17</v>
      </c>
      <c r="W36" s="775">
        <f t="shared" si="14"/>
        <v>100</v>
      </c>
      <c r="X36" s="1813"/>
      <c r="Y36" s="3217"/>
      <c r="Z36" s="1814">
        <f t="shared" si="15"/>
        <v>111</v>
      </c>
      <c r="AA36" s="1811">
        <f t="shared" si="3"/>
        <v>1</v>
      </c>
      <c r="AB36" s="1811">
        <f t="shared" si="4"/>
        <v>1</v>
      </c>
      <c r="AC36" s="1811">
        <f t="shared" si="5"/>
        <v>1</v>
      </c>
    </row>
    <row r="37" spans="1:29" ht="15">
      <c r="A37" s="479" t="s">
        <v>2719</v>
      </c>
      <c r="B37" s="2696" t="s">
        <v>2720</v>
      </c>
      <c r="C37" s="1407" t="s">
        <v>1</v>
      </c>
      <c r="D37" s="1408"/>
      <c r="E37" s="1409"/>
      <c r="F37" s="1410"/>
      <c r="G37" s="1411"/>
      <c r="H37" s="1412"/>
      <c r="I37" s="1409"/>
      <c r="J37" s="1412"/>
      <c r="K37" s="619"/>
      <c r="L37" s="1143"/>
      <c r="M37" s="1144"/>
      <c r="N37" s="1131"/>
      <c r="O37" s="1144"/>
      <c r="P37" s="3210" t="str">
        <f>A37</f>
        <v>成交单价</v>
      </c>
      <c r="Q37" s="3210"/>
      <c r="R37" s="3211">
        <f>E37</f>
        <v>0</v>
      </c>
      <c r="S37" s="3211"/>
      <c r="T37" s="3211">
        <f>G37</f>
        <v>0</v>
      </c>
      <c r="U37" s="3211"/>
      <c r="V37" s="3211">
        <f>I37</f>
        <v>0</v>
      </c>
      <c r="W37" s="3211"/>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7" t="str">
        <f>A39</f>
        <v>估价对象XX用房的比较价值（楼面单价，元/平方米）</v>
      </c>
      <c r="Q39" s="3208"/>
      <c r="R39" s="3209" t="e">
        <f>IF(F1="售价",ROUND(AVERAGE(R38:V38),0),ROUND(AVERAGE(R38:V38),1))</f>
        <v>#DIV/0!</v>
      </c>
      <c r="S39" s="3209"/>
      <c r="T39" s="3209"/>
      <c r="U39" s="3209"/>
      <c r="V39" s="3209"/>
      <c r="W39" s="320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43899</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78" t="s">
        <v>2548</v>
      </c>
      <c r="Q7" s="3206"/>
      <c r="R7" s="770" t="s">
        <v>17</v>
      </c>
      <c r="S7" s="771">
        <f t="shared" ref="S7:S14" si="0">F7</f>
        <v>0</v>
      </c>
      <c r="T7" s="770" t="s">
        <v>17</v>
      </c>
      <c r="U7" s="771">
        <f t="shared" ref="U7:U14" si="1">H7</f>
        <v>0</v>
      </c>
      <c r="V7" s="770" t="s">
        <v>17</v>
      </c>
      <c r="W7" s="771">
        <f t="shared" ref="W7:W14" si="2">J7</f>
        <v>0</v>
      </c>
      <c r="X7" s="772"/>
      <c r="Y7" s="3178" t="s">
        <v>2548</v>
      </c>
      <c r="Z7" s="317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0" t="s">
        <v>2554</v>
      </c>
      <c r="Q9" s="1795"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0"/>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0"/>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2558</v>
      </c>
      <c r="B14" s="69" t="s">
        <v>2708</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2" t="s">
        <v>2559</v>
      </c>
      <c r="Q14" s="1810" t="str">
        <f t="shared" si="6"/>
        <v>交通便捷度</v>
      </c>
      <c r="R14" s="774" t="s">
        <v>17</v>
      </c>
      <c r="S14" s="775">
        <f t="shared" si="0"/>
        <v>100</v>
      </c>
      <c r="T14" s="774" t="s">
        <v>17</v>
      </c>
      <c r="U14" s="775">
        <f t="shared" si="1"/>
        <v>100</v>
      </c>
      <c r="V14" s="774" t="s">
        <v>17</v>
      </c>
      <c r="W14" s="775">
        <f t="shared" si="2"/>
        <v>100</v>
      </c>
      <c r="X14" s="1813"/>
      <c r="Y14" s="3212"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3"/>
      <c r="Q15" s="1810"/>
      <c r="R15" s="774"/>
      <c r="S15" s="775"/>
      <c r="T15" s="774"/>
      <c r="U15" s="775"/>
      <c r="V15" s="774"/>
      <c r="W15" s="775"/>
      <c r="X15" s="1813"/>
      <c r="Y15" s="3213"/>
      <c r="Z15" s="1814"/>
      <c r="AA15" s="1811">
        <v>1</v>
      </c>
      <c r="AB15" s="1811">
        <v>1</v>
      </c>
      <c r="AC15" s="1811">
        <v>1</v>
      </c>
    </row>
    <row r="16" spans="1:29" ht="42.75">
      <c r="A16" s="428"/>
      <c r="B16" s="451" t="s">
        <v>2687</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13"/>
      <c r="Q17" s="1810"/>
      <c r="R17" s="774"/>
      <c r="S17" s="775"/>
      <c r="T17" s="774"/>
      <c r="U17" s="775"/>
      <c r="V17" s="774"/>
      <c r="W17" s="775"/>
      <c r="X17" s="1813"/>
      <c r="Y17" s="3213"/>
      <c r="Z17" s="1814"/>
      <c r="AA17" s="1811">
        <v>1</v>
      </c>
      <c r="AB17" s="1811">
        <v>1</v>
      </c>
      <c r="AC17" s="1811">
        <v>1</v>
      </c>
    </row>
    <row r="18" spans="1:29" ht="28.5">
      <c r="A18" s="428"/>
      <c r="B18" s="1384" t="s">
        <v>2688</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13"/>
      <c r="Q19" s="1810"/>
      <c r="R19" s="774"/>
      <c r="S19" s="775"/>
      <c r="T19" s="774"/>
      <c r="U19" s="775"/>
      <c r="V19" s="774"/>
      <c r="W19" s="775"/>
      <c r="X19" s="1813"/>
      <c r="Y19" s="3213"/>
      <c r="Z19" s="1814"/>
      <c r="AA19" s="1811">
        <v>1</v>
      </c>
      <c r="AB19" s="1811">
        <v>1</v>
      </c>
      <c r="AC19" s="1811">
        <v>1</v>
      </c>
    </row>
    <row r="20" spans="1:29" ht="57">
      <c r="A20" s="428"/>
      <c r="B20" s="451" t="s">
        <v>2709</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3"/>
      <c r="Q21" s="1810"/>
      <c r="R21" s="774"/>
      <c r="S21" s="775"/>
      <c r="T21" s="774"/>
      <c r="U21" s="775"/>
      <c r="V21" s="774"/>
      <c r="W21" s="775"/>
      <c r="X21" s="1813"/>
      <c r="Y21" s="3213"/>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3"/>
      <c r="Q24" s="1810">
        <f t="shared" ref="Q24:Q34"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28.5">
      <c r="A26" s="466" t="s">
        <v>2562</v>
      </c>
      <c r="B26" s="71" t="s">
        <v>2713</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36"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7"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10" t="str">
        <f t="shared" si="11"/>
        <v>物业等级</v>
      </c>
      <c r="R28" s="774" t="s">
        <v>17</v>
      </c>
      <c r="S28" s="775">
        <f t="shared" si="12"/>
        <v>100</v>
      </c>
      <c r="T28" s="774" t="s">
        <v>17</v>
      </c>
      <c r="U28" s="775">
        <f t="shared" si="13"/>
        <v>100</v>
      </c>
      <c r="V28" s="774" t="s">
        <v>17</v>
      </c>
      <c r="W28" s="775">
        <f t="shared" si="14"/>
        <v>100</v>
      </c>
      <c r="X28" s="1813"/>
      <c r="Y28" s="3217"/>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10" t="str">
        <f t="shared" si="11"/>
        <v>有无电梯</v>
      </c>
      <c r="R29" s="774" t="s">
        <v>17</v>
      </c>
      <c r="S29" s="775">
        <f t="shared" si="12"/>
        <v>100</v>
      </c>
      <c r="T29" s="774" t="s">
        <v>17</v>
      </c>
      <c r="U29" s="775">
        <f t="shared" si="13"/>
        <v>100</v>
      </c>
      <c r="V29" s="774" t="s">
        <v>17</v>
      </c>
      <c r="W29" s="775">
        <f t="shared" si="14"/>
        <v>100</v>
      </c>
      <c r="X29" s="1813"/>
      <c r="Y29" s="3217"/>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10" t="str">
        <f t="shared" si="11"/>
        <v>建筑面积</v>
      </c>
      <c r="R30" s="774" t="s">
        <v>17</v>
      </c>
      <c r="S30" s="775" t="e">
        <f t="shared" si="12"/>
        <v>#N/A</v>
      </c>
      <c r="T30" s="774" t="s">
        <v>17</v>
      </c>
      <c r="U30" s="775" t="e">
        <f t="shared" si="13"/>
        <v>#N/A</v>
      </c>
      <c r="V30" s="774" t="s">
        <v>17</v>
      </c>
      <c r="W30" s="775" t="e">
        <f t="shared" si="14"/>
        <v>#N/A</v>
      </c>
      <c r="X30" s="1813"/>
      <c r="Y30" s="3217"/>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5"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2564</v>
      </c>
      <c r="Q32" s="1810">
        <f t="shared" si="11"/>
        <v>111</v>
      </c>
      <c r="R32" s="774" t="s">
        <v>17</v>
      </c>
      <c r="S32" s="775">
        <f t="shared" si="12"/>
        <v>100</v>
      </c>
      <c r="T32" s="774" t="s">
        <v>17</v>
      </c>
      <c r="U32" s="775">
        <f t="shared" si="13"/>
        <v>100</v>
      </c>
      <c r="V32" s="774" t="s">
        <v>17</v>
      </c>
      <c r="W32" s="775">
        <f t="shared" si="14"/>
        <v>100</v>
      </c>
      <c r="X32" s="1813"/>
      <c r="Y32" s="3217" t="s">
        <v>2564</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10">
        <f t="shared" si="11"/>
        <v>111</v>
      </c>
      <c r="R33" s="774" t="s">
        <v>17</v>
      </c>
      <c r="S33" s="775">
        <f t="shared" si="12"/>
        <v>100</v>
      </c>
      <c r="T33" s="774" t="s">
        <v>17</v>
      </c>
      <c r="U33" s="775">
        <f t="shared" si="13"/>
        <v>100</v>
      </c>
      <c r="V33" s="774" t="s">
        <v>17</v>
      </c>
      <c r="W33" s="775">
        <f t="shared" si="14"/>
        <v>100</v>
      </c>
      <c r="X33" s="1813"/>
      <c r="Y33" s="3217"/>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10" t="str">
        <f>A35</f>
        <v>成交单价（元/平方米）</v>
      </c>
      <c r="Q35" s="3210"/>
      <c r="R35" s="3211">
        <f>E35</f>
        <v>0</v>
      </c>
      <c r="S35" s="3211"/>
      <c r="T35" s="3211">
        <f>G35</f>
        <v>0</v>
      </c>
      <c r="U35" s="3211"/>
      <c r="V35" s="3211">
        <f>I35</f>
        <v>0</v>
      </c>
      <c r="W35" s="3211"/>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7" t="str">
        <f>A37</f>
        <v>估价对象XX用房的比较价值（楼面单价，元/平方米）</v>
      </c>
      <c r="Q37" s="3208"/>
      <c r="R37" s="3209" t="e">
        <f>IF(F1="售价",ROUND(AVERAGE(R36:V36),0),ROUND(AVERAGE(R36:V36),1))</f>
        <v>#DIV/0!</v>
      </c>
      <c r="S37" s="3209"/>
      <c r="T37" s="3209"/>
      <c r="U37" s="3209"/>
      <c r="V37" s="3209"/>
      <c r="W37" s="320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30"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30" ht="15.75" thickBot="1">
      <c r="A6" s="406"/>
      <c r="B6" s="407"/>
      <c r="C6" s="3188" t="s">
        <v>2545</v>
      </c>
      <c r="D6" s="3189"/>
      <c r="E6" s="3190" t="s">
        <v>2545</v>
      </c>
      <c r="F6" s="3191"/>
      <c r="G6" s="3188" t="s">
        <v>2545</v>
      </c>
      <c r="H6" s="3189"/>
      <c r="I6" s="3188" t="s">
        <v>2545</v>
      </c>
      <c r="J6" s="3189"/>
      <c r="K6" s="610" t="s">
        <v>2546</v>
      </c>
      <c r="L6" s="1130"/>
      <c r="M6" s="1131"/>
      <c r="N6" s="1131"/>
      <c r="O6" s="1131"/>
      <c r="P6" s="3201"/>
      <c r="Q6" s="3202"/>
      <c r="R6" s="3182"/>
      <c r="S6" s="3183"/>
      <c r="T6" s="3203"/>
      <c r="U6" s="3204"/>
      <c r="V6" s="3205"/>
      <c r="W6" s="3205"/>
      <c r="X6" s="1813"/>
      <c r="Y6" s="3203"/>
      <c r="Z6" s="3204"/>
      <c r="AA6" s="3177"/>
      <c r="AB6" s="3177"/>
      <c r="AC6" s="3177"/>
    </row>
    <row r="7" spans="1:30" s="117" customFormat="1" ht="15.75" thickBot="1">
      <c r="A7" s="408" t="s">
        <v>2547</v>
      </c>
      <c r="B7" s="409"/>
      <c r="C7" s="410">
        <f>'数据-取费表'!B2</f>
        <v>43899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45" si="3">D8/F8</f>
        <v>#DIV/0!</v>
      </c>
      <c r="AB8" s="773" t="e">
        <f t="shared" ref="AB8:AB45" si="4">D8/H8</f>
        <v>#DIV/0!</v>
      </c>
      <c r="AC8" s="773" t="e">
        <f t="shared" ref="AC8:AC45" si="5">D8/J8</f>
        <v>#DIV/0!</v>
      </c>
    </row>
    <row r="9" spans="1:30" s="117" customFormat="1">
      <c r="A9" s="415" t="s">
        <v>2552</v>
      </c>
      <c r="B9" s="71" t="s">
        <v>2553</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10"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136</v>
      </c>
      <c r="G10" s="463"/>
      <c r="H10" s="136">
        <f>ROUND(100/'数据-取费表'!G16,0)</f>
        <v>136</v>
      </c>
      <c r="I10" s="463"/>
      <c r="J10" s="136">
        <f>ROUND(100/'数据-取费表'!G16,0)</f>
        <v>136</v>
      </c>
      <c r="K10" s="672"/>
      <c r="L10" s="1135"/>
      <c r="M10" s="1136"/>
      <c r="N10" s="1136"/>
      <c r="O10" s="1137"/>
      <c r="P10" s="3210"/>
      <c r="Q10" s="1795" t="str">
        <f t="shared" si="6"/>
        <v>土地使用年限（年）</v>
      </c>
      <c r="R10" s="770" t="s">
        <v>17</v>
      </c>
      <c r="S10" s="771">
        <f t="shared" si="0"/>
        <v>136</v>
      </c>
      <c r="T10" s="770" t="s">
        <v>17</v>
      </c>
      <c r="U10" s="771">
        <f t="shared" si="1"/>
        <v>136</v>
      </c>
      <c r="V10" s="770" t="s">
        <v>17</v>
      </c>
      <c r="W10" s="771">
        <f t="shared" si="2"/>
        <v>136</v>
      </c>
      <c r="X10" s="772"/>
      <c r="Y10" s="3025"/>
      <c r="Z10" s="55" t="str">
        <f t="shared" si="7"/>
        <v>土地使用年限（年）</v>
      </c>
      <c r="AA10" s="773">
        <f t="shared" si="3"/>
        <v>0.73529411764705888</v>
      </c>
      <c r="AB10" s="773">
        <f t="shared" si="4"/>
        <v>0.73529411764705888</v>
      </c>
      <c r="AC10" s="773">
        <f t="shared" si="5"/>
        <v>0.73529411764705888</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601"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0"/>
      <c r="Q12" s="1795"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2558</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2" t="s">
        <v>2559</v>
      </c>
      <c r="Q15" s="1810" t="str">
        <f t="shared" si="6"/>
        <v>居住社区成熟度</v>
      </c>
      <c r="R15" s="774" t="s">
        <v>17</v>
      </c>
      <c r="S15" s="775">
        <f t="shared" si="0"/>
        <v>100</v>
      </c>
      <c r="T15" s="774" t="s">
        <v>17</v>
      </c>
      <c r="U15" s="775">
        <f t="shared" si="1"/>
        <v>100</v>
      </c>
      <c r="V15" s="774" t="s">
        <v>17</v>
      </c>
      <c r="W15" s="775">
        <f t="shared" si="2"/>
        <v>100</v>
      </c>
      <c r="X15" s="1813"/>
      <c r="Y15" s="3212" t="s">
        <v>2559</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71.25">
      <c r="A17" s="428"/>
      <c r="B17" s="451" t="s">
        <v>2652</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3"/>
      <c r="Q17" s="1810" t="str">
        <f>B17</f>
        <v>商业繁华度</v>
      </c>
      <c r="R17" s="774" t="s">
        <v>17</v>
      </c>
      <c r="S17" s="775">
        <f>F17</f>
        <v>100</v>
      </c>
      <c r="T17" s="774" t="s">
        <v>17</v>
      </c>
      <c r="U17" s="775">
        <f>H17</f>
        <v>100</v>
      </c>
      <c r="V17" s="774" t="s">
        <v>17</v>
      </c>
      <c r="W17" s="775">
        <f>J17</f>
        <v>100</v>
      </c>
      <c r="X17" s="1813"/>
      <c r="Y17" s="3213"/>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71.25">
      <c r="A19" s="428"/>
      <c r="B19" s="451" t="s">
        <v>2686</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3"/>
      <c r="Q19" s="1810" t="str">
        <f>B19</f>
        <v>办公集聚程度</v>
      </c>
      <c r="R19" s="774" t="s">
        <v>17</v>
      </c>
      <c r="S19" s="775">
        <f>F19</f>
        <v>100</v>
      </c>
      <c r="T19" s="774" t="s">
        <v>17</v>
      </c>
      <c r="U19" s="775">
        <f>H19</f>
        <v>100</v>
      </c>
      <c r="V19" s="774" t="s">
        <v>17</v>
      </c>
      <c r="W19" s="775">
        <f>J19</f>
        <v>100</v>
      </c>
      <c r="X19" s="1813"/>
      <c r="Y19" s="3213"/>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13"/>
      <c r="Q20" s="1810"/>
      <c r="R20" s="774"/>
      <c r="S20" s="775"/>
      <c r="T20" s="774"/>
      <c r="U20" s="775"/>
      <c r="V20" s="774"/>
      <c r="W20" s="775"/>
      <c r="X20" s="1813"/>
      <c r="Y20" s="3213"/>
      <c r="Z20" s="1814"/>
      <c r="AA20" s="1811">
        <v>1</v>
      </c>
      <c r="AB20" s="1811">
        <v>1</v>
      </c>
      <c r="AC20" s="1811">
        <v>1</v>
      </c>
    </row>
    <row r="21" spans="1:29" ht="85.5">
      <c r="A21" s="428"/>
      <c r="B21" s="451" t="s">
        <v>2708</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3"/>
      <c r="Q21" s="1810" t="str">
        <f>B21</f>
        <v>交通便捷度</v>
      </c>
      <c r="R21" s="774" t="s">
        <v>17</v>
      </c>
      <c r="S21" s="775">
        <f>F21</f>
        <v>100</v>
      </c>
      <c r="T21" s="774" t="s">
        <v>17</v>
      </c>
      <c r="U21" s="775">
        <f>H21</f>
        <v>100</v>
      </c>
      <c r="V21" s="774" t="s">
        <v>17</v>
      </c>
      <c r="W21" s="775">
        <f>J21</f>
        <v>100</v>
      </c>
      <c r="X21" s="1813"/>
      <c r="Y21" s="3213"/>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3"/>
      <c r="Q23" s="1810" t="str">
        <f t="shared" ref="Q23:Q37" si="8">B23</f>
        <v>区域土地利用方向</v>
      </c>
      <c r="R23" s="774" t="s">
        <v>17</v>
      </c>
      <c r="S23" s="775">
        <f>F23</f>
        <v>100</v>
      </c>
      <c r="T23" s="774" t="s">
        <v>17</v>
      </c>
      <c r="U23" s="775">
        <f>H23</f>
        <v>100</v>
      </c>
      <c r="V23" s="774" t="s">
        <v>17</v>
      </c>
      <c r="W23" s="775">
        <f>J23</f>
        <v>100</v>
      </c>
      <c r="X23" s="1813"/>
      <c r="Y23" s="3213"/>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13"/>
      <c r="Q24" s="1810"/>
      <c r="R24" s="774"/>
      <c r="S24" s="775"/>
      <c r="T24" s="774"/>
      <c r="U24" s="775"/>
      <c r="V24" s="774"/>
      <c r="W24" s="775"/>
      <c r="X24" s="1813"/>
      <c r="Y24" s="3213"/>
      <c r="Z24" s="1814"/>
      <c r="AA24" s="1811"/>
      <c r="AB24" s="1811"/>
      <c r="AC24" s="1811"/>
    </row>
    <row r="25" spans="1:29" ht="57">
      <c r="A25" s="404"/>
      <c r="B25" s="1384" t="s">
        <v>2748</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3"/>
      <c r="Q25" s="1810" t="str">
        <f t="shared" si="8"/>
        <v>自然及人文环境状况</v>
      </c>
      <c r="R25" s="774" t="s">
        <v>17</v>
      </c>
      <c r="S25" s="775">
        <f>F25</f>
        <v>100</v>
      </c>
      <c r="T25" s="774" t="s">
        <v>17</v>
      </c>
      <c r="U25" s="775">
        <f>H25</f>
        <v>100</v>
      </c>
      <c r="V25" s="774" t="s">
        <v>17</v>
      </c>
      <c r="W25" s="775">
        <f>J25</f>
        <v>100</v>
      </c>
      <c r="X25" s="1813"/>
      <c r="Y25" s="3213"/>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13"/>
      <c r="Q26" s="1810"/>
      <c r="R26" s="774"/>
      <c r="S26" s="775"/>
      <c r="T26" s="774"/>
      <c r="U26" s="775"/>
      <c r="V26" s="774"/>
      <c r="W26" s="775"/>
      <c r="X26" s="1813"/>
      <c r="Y26" s="3213"/>
      <c r="Z26" s="1814"/>
      <c r="AA26" s="1811">
        <v>1</v>
      </c>
      <c r="AB26" s="1811">
        <v>1</v>
      </c>
      <c r="AC26" s="1811">
        <v>1</v>
      </c>
    </row>
    <row r="27" spans="1:29" s="117" customFormat="1" ht="42.75">
      <c r="A27" s="649"/>
      <c r="B27" s="1384" t="s">
        <v>2653</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3"/>
      <c r="Q27" s="1795" t="str">
        <f t="shared" si="8"/>
        <v>公共配套设施</v>
      </c>
      <c r="R27" s="770" t="s">
        <v>17</v>
      </c>
      <c r="S27" s="771">
        <f>F27</f>
        <v>100</v>
      </c>
      <c r="T27" s="770" t="s">
        <v>17</v>
      </c>
      <c r="U27" s="771">
        <f>H27</f>
        <v>100</v>
      </c>
      <c r="V27" s="770" t="s">
        <v>17</v>
      </c>
      <c r="W27" s="771">
        <f>J27</f>
        <v>100</v>
      </c>
      <c r="X27" s="772"/>
      <c r="Y27" s="3213"/>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13"/>
      <c r="Q28" s="1795"/>
      <c r="R28" s="770"/>
      <c r="S28" s="771"/>
      <c r="T28" s="770"/>
      <c r="U28" s="771"/>
      <c r="V28" s="770"/>
      <c r="W28" s="771"/>
      <c r="X28" s="772"/>
      <c r="Y28" s="3213"/>
      <c r="Z28" s="55"/>
      <c r="AA28" s="1811">
        <v>1</v>
      </c>
      <c r="AB28" s="1811">
        <v>1</v>
      </c>
      <c r="AC28" s="1811">
        <v>1</v>
      </c>
    </row>
    <row r="29" spans="1:29" s="117" customFormat="1" ht="28.5">
      <c r="A29" s="649"/>
      <c r="B29" s="1384" t="s">
        <v>2654</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3"/>
      <c r="Q29" s="1795"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13"/>
      <c r="Q30" s="1795"/>
      <c r="R30" s="770"/>
      <c r="S30" s="771"/>
      <c r="T30" s="770"/>
      <c r="U30" s="771"/>
      <c r="V30" s="770"/>
      <c r="W30" s="771"/>
      <c r="X30" s="772"/>
      <c r="Y30" s="3213"/>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3"/>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3"/>
      <c r="Q32" s="1810" t="str">
        <f t="shared" si="8"/>
        <v>毗邻道路的类型与等级</v>
      </c>
      <c r="R32" s="774" t="s">
        <v>17</v>
      </c>
      <c r="S32" s="775">
        <f t="shared" si="10"/>
        <v>100</v>
      </c>
      <c r="T32" s="774" t="s">
        <v>17</v>
      </c>
      <c r="U32" s="775">
        <f t="shared" si="11"/>
        <v>100</v>
      </c>
      <c r="V32" s="774" t="s">
        <v>17</v>
      </c>
      <c r="W32" s="775">
        <f t="shared" si="12"/>
        <v>100</v>
      </c>
      <c r="X32" s="1813"/>
      <c r="Y32" s="3213"/>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13"/>
      <c r="Q33" s="1810"/>
      <c r="R33" s="774"/>
      <c r="S33" s="775"/>
      <c r="T33" s="774"/>
      <c r="U33" s="775"/>
      <c r="V33" s="774"/>
      <c r="W33" s="775"/>
      <c r="X33" s="1813"/>
      <c r="Y33" s="3213"/>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3"/>
      <c r="Q34" s="1810" t="str">
        <f t="shared" si="8"/>
        <v>土地级别</v>
      </c>
      <c r="R34" s="774" t="s">
        <v>17</v>
      </c>
      <c r="S34" s="775">
        <f t="shared" si="10"/>
        <v>100</v>
      </c>
      <c r="T34" s="774" t="s">
        <v>17</v>
      </c>
      <c r="U34" s="775">
        <f t="shared" si="11"/>
        <v>100</v>
      </c>
      <c r="V34" s="774" t="s">
        <v>17</v>
      </c>
      <c r="W34" s="775">
        <f t="shared" si="12"/>
        <v>100</v>
      </c>
      <c r="X34" s="1813"/>
      <c r="Y34" s="321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3"/>
      <c r="Q35" s="1810">
        <f t="shared" si="8"/>
        <v>111</v>
      </c>
      <c r="R35" s="774" t="s">
        <v>17</v>
      </c>
      <c r="S35" s="775">
        <f t="shared" si="10"/>
        <v>100</v>
      </c>
      <c r="T35" s="774" t="s">
        <v>17</v>
      </c>
      <c r="U35" s="775">
        <f t="shared" si="11"/>
        <v>100</v>
      </c>
      <c r="V35" s="774" t="s">
        <v>17</v>
      </c>
      <c r="W35" s="775">
        <f t="shared" si="12"/>
        <v>100</v>
      </c>
      <c r="X35" s="1813"/>
      <c r="Y35" s="321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6" t="s">
        <v>2564</v>
      </c>
      <c r="Q36" s="1810">
        <f t="shared" si="8"/>
        <v>111</v>
      </c>
      <c r="R36" s="774" t="s">
        <v>17</v>
      </c>
      <c r="S36" s="775">
        <f t="shared" si="10"/>
        <v>100</v>
      </c>
      <c r="T36" s="774" t="s">
        <v>17</v>
      </c>
      <c r="U36" s="775">
        <f t="shared" si="11"/>
        <v>100</v>
      </c>
      <c r="V36" s="774" t="s">
        <v>17</v>
      </c>
      <c r="W36" s="775">
        <f t="shared" si="12"/>
        <v>100</v>
      </c>
      <c r="X36" s="1813"/>
      <c r="Y36" s="3217"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10">
        <f t="shared" si="8"/>
        <v>111</v>
      </c>
      <c r="R37" s="777" t="s">
        <v>17</v>
      </c>
      <c r="S37" s="778">
        <f t="shared" si="10"/>
        <v>100</v>
      </c>
      <c r="T37" s="777" t="s">
        <v>17</v>
      </c>
      <c r="U37" s="778">
        <f t="shared" si="11"/>
        <v>100</v>
      </c>
      <c r="V37" s="777" t="s">
        <v>17</v>
      </c>
      <c r="W37" s="778">
        <f t="shared" si="12"/>
        <v>100</v>
      </c>
      <c r="X37" s="779"/>
      <c r="Y37" s="3217"/>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7"/>
      <c r="Q38" s="1810" t="str">
        <f>B38</f>
        <v>宗地面积</v>
      </c>
      <c r="R38" s="774" t="s">
        <v>17</v>
      </c>
      <c r="S38" s="775" t="e">
        <f t="shared" si="10"/>
        <v>#N/A</v>
      </c>
      <c r="T38" s="774" t="s">
        <v>17</v>
      </c>
      <c r="U38" s="775" t="e">
        <f t="shared" si="11"/>
        <v>#N/A</v>
      </c>
      <c r="V38" s="774" t="s">
        <v>17</v>
      </c>
      <c r="W38" s="775" t="e">
        <f t="shared" si="12"/>
        <v>#N/A</v>
      </c>
      <c r="X38" s="1813"/>
      <c r="Y38" s="3217"/>
      <c r="Z38" s="1814" t="str">
        <f t="shared" si="13"/>
        <v>宗地面积</v>
      </c>
      <c r="AA38" s="1811" t="e">
        <f t="shared" si="3"/>
        <v>#N/A</v>
      </c>
      <c r="AB38" s="1811" t="e">
        <f t="shared" si="4"/>
        <v>#N/A</v>
      </c>
      <c r="AC38" s="1811" t="e">
        <f t="shared" si="5"/>
        <v>#N/A</v>
      </c>
    </row>
    <row r="39" spans="1:29" ht="15">
      <c r="A39" s="472"/>
      <c r="B39" s="422" t="s">
        <v>2751</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17"/>
      <c r="Q39" s="1810" t="str">
        <f t="shared" ref="Q39:Q45" si="14">B39</f>
        <v>宗地形状</v>
      </c>
      <c r="R39" s="774" t="s">
        <v>17</v>
      </c>
      <c r="S39" s="775">
        <f t="shared" si="10"/>
        <v>100</v>
      </c>
      <c r="T39" s="774" t="s">
        <v>17</v>
      </c>
      <c r="U39" s="775">
        <f t="shared" si="11"/>
        <v>100</v>
      </c>
      <c r="V39" s="774" t="s">
        <v>17</v>
      </c>
      <c r="W39" s="775">
        <f t="shared" si="12"/>
        <v>100</v>
      </c>
      <c r="X39" s="1813"/>
      <c r="Y39" s="3217"/>
      <c r="Z39" s="1814" t="str">
        <f t="shared" si="13"/>
        <v>宗地形状</v>
      </c>
      <c r="AA39" s="1811">
        <f t="shared" si="3"/>
        <v>1</v>
      </c>
      <c r="AB39" s="1811">
        <f t="shared" si="4"/>
        <v>1</v>
      </c>
      <c r="AC39" s="1811">
        <f t="shared" si="5"/>
        <v>1</v>
      </c>
    </row>
    <row r="40" spans="1:29" ht="15">
      <c r="A40" s="472"/>
      <c r="B40" s="422" t="s">
        <v>2752</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17"/>
      <c r="Q40" s="1810" t="str">
        <f t="shared" si="14"/>
        <v>临街宽度及深度</v>
      </c>
      <c r="R40" s="774" t="s">
        <v>17</v>
      </c>
      <c r="S40" s="775">
        <f t="shared" si="10"/>
        <v>100</v>
      </c>
      <c r="T40" s="774" t="s">
        <v>17</v>
      </c>
      <c r="U40" s="775">
        <f t="shared" si="11"/>
        <v>100</v>
      </c>
      <c r="V40" s="774" t="s">
        <v>17</v>
      </c>
      <c r="W40" s="775">
        <f t="shared" si="12"/>
        <v>100</v>
      </c>
      <c r="X40" s="1813"/>
      <c r="Y40" s="3217"/>
      <c r="Z40" s="1814" t="str">
        <f t="shared" si="13"/>
        <v>临街宽度及深度</v>
      </c>
      <c r="AA40" s="1811">
        <f t="shared" si="3"/>
        <v>1</v>
      </c>
      <c r="AB40" s="1811">
        <f t="shared" si="4"/>
        <v>1</v>
      </c>
      <c r="AC40" s="1811">
        <f t="shared" si="5"/>
        <v>1</v>
      </c>
    </row>
    <row r="41" spans="1:29" s="117" customFormat="1" ht="15">
      <c r="A41" s="473"/>
      <c r="B41" s="422" t="s">
        <v>2753</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17"/>
      <c r="Q41" s="1810"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2754</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17" t="s">
        <v>2564</v>
      </c>
      <c r="Q42" s="1810" t="str">
        <f t="shared" si="14"/>
        <v>工程地质条件</v>
      </c>
      <c r="R42" s="774" t="s">
        <v>17</v>
      </c>
      <c r="S42" s="775">
        <f t="shared" si="10"/>
        <v>100</v>
      </c>
      <c r="T42" s="774" t="s">
        <v>17</v>
      </c>
      <c r="U42" s="775">
        <f t="shared" si="11"/>
        <v>100</v>
      </c>
      <c r="V42" s="774" t="s">
        <v>17</v>
      </c>
      <c r="W42" s="775">
        <f t="shared" si="12"/>
        <v>100</v>
      </c>
      <c r="X42" s="1813"/>
      <c r="Y42" s="3217"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10">
        <f t="shared" si="14"/>
        <v>111</v>
      </c>
      <c r="R43" s="774" t="s">
        <v>17</v>
      </c>
      <c r="S43" s="775">
        <f t="shared" si="10"/>
        <v>100</v>
      </c>
      <c r="T43" s="774" t="s">
        <v>17</v>
      </c>
      <c r="U43" s="775">
        <f t="shared" si="11"/>
        <v>100</v>
      </c>
      <c r="V43" s="774" t="s">
        <v>17</v>
      </c>
      <c r="W43" s="775">
        <f t="shared" si="12"/>
        <v>100</v>
      </c>
      <c r="X43" s="1813"/>
      <c r="Y43" s="321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10">
        <f t="shared" si="14"/>
        <v>111</v>
      </c>
      <c r="R44" s="774" t="s">
        <v>17</v>
      </c>
      <c r="S44" s="775">
        <f t="shared" si="10"/>
        <v>100</v>
      </c>
      <c r="T44" s="774" t="s">
        <v>17</v>
      </c>
      <c r="U44" s="775">
        <f t="shared" si="11"/>
        <v>100</v>
      </c>
      <c r="V44" s="774" t="s">
        <v>17</v>
      </c>
      <c r="W44" s="775">
        <f t="shared" si="12"/>
        <v>100</v>
      </c>
      <c r="X44" s="1813"/>
      <c r="Y44" s="3217"/>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10">
        <f t="shared" si="14"/>
        <v>111</v>
      </c>
      <c r="R45" s="777" t="s">
        <v>17</v>
      </c>
      <c r="S45" s="778">
        <f t="shared" si="10"/>
        <v>100</v>
      </c>
      <c r="T45" s="777" t="s">
        <v>17</v>
      </c>
      <c r="U45" s="778">
        <f t="shared" si="11"/>
        <v>100</v>
      </c>
      <c r="V45" s="777" t="s">
        <v>17</v>
      </c>
      <c r="W45" s="778">
        <f t="shared" si="12"/>
        <v>100</v>
      </c>
      <c r="X45" s="779"/>
      <c r="Y45" s="3217"/>
      <c r="Z45" s="780">
        <f t="shared" si="13"/>
        <v>111</v>
      </c>
      <c r="AA45" s="1811">
        <f t="shared" si="3"/>
        <v>1</v>
      </c>
      <c r="AB45" s="1811">
        <f t="shared" si="4"/>
        <v>1</v>
      </c>
      <c r="AC45" s="1811">
        <f t="shared" si="5"/>
        <v>1</v>
      </c>
    </row>
    <row r="46" spans="1:29" ht="15">
      <c r="A46" s="479" t="s">
        <v>2719</v>
      </c>
      <c r="B46" s="2705" t="s">
        <v>2755</v>
      </c>
      <c r="C46" s="682" t="s">
        <v>1</v>
      </c>
      <c r="D46" s="481"/>
      <c r="E46" s="482"/>
      <c r="F46" s="483"/>
      <c r="G46" s="484"/>
      <c r="H46" s="485"/>
      <c r="I46" s="482"/>
      <c r="J46" s="485"/>
      <c r="K46" s="783"/>
      <c r="L46" s="1143"/>
      <c r="M46" s="1144"/>
      <c r="N46" s="1131"/>
      <c r="O46" s="1144"/>
      <c r="P46" s="3210" t="str">
        <f>A46</f>
        <v>成交单价</v>
      </c>
      <c r="Q46" s="3210"/>
      <c r="R46" s="3205">
        <f>E46</f>
        <v>0</v>
      </c>
      <c r="S46" s="3205"/>
      <c r="T46" s="3205">
        <f>G46</f>
        <v>0</v>
      </c>
      <c r="U46" s="3205"/>
      <c r="V46" s="3205">
        <f>I46</f>
        <v>0</v>
      </c>
      <c r="W46" s="3205"/>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10" t="str">
        <f>A47</f>
        <v>比较价值（元/平方米）</v>
      </c>
      <c r="Q47" s="3210"/>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7" t="str">
        <f>A48</f>
        <v>估价对象XX用房的比较价值（楼面单价，元/平方米）</v>
      </c>
      <c r="Q48" s="3208"/>
      <c r="R48" s="3238" t="e">
        <f>ROUND(AVERAGE(R47:V47),0)</f>
        <v>#DIV/0!</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6" t="s">
        <v>2759</v>
      </c>
      <c r="D55" s="2707" t="s">
        <v>2760</v>
      </c>
      <c r="E55" s="686" t="s">
        <v>2761</v>
      </c>
      <c r="F55" s="1107" t="s">
        <v>2762</v>
      </c>
      <c r="G55" s="3193" t="s">
        <v>2763</v>
      </c>
      <c r="H55" s="3239"/>
      <c r="I55" s="144" t="s">
        <v>2764</v>
      </c>
      <c r="J55" s="2708" t="str">
        <f>项目基本情况!F35</f>
        <v>朝阳区东三环中路65号</v>
      </c>
      <c r="K55" s="2709" t="s">
        <v>2765</v>
      </c>
      <c r="L55" s="1106"/>
      <c r="M55" s="1144"/>
      <c r="N55" s="1144"/>
      <c r="O55" s="1144"/>
    </row>
    <row r="56" spans="1:15" s="692" customFormat="1">
      <c r="A56" s="688" t="s">
        <v>2766</v>
      </c>
      <c r="B56" s="689" t="e">
        <f>C48</f>
        <v>#DIV/0!</v>
      </c>
      <c r="C56" s="690">
        <v>1</v>
      </c>
      <c r="D56" s="1163">
        <v>1</v>
      </c>
      <c r="E56" s="690">
        <f>'数据-汇总表'!E8+'数据-汇总表'!E9</f>
        <v>100326.75000000001</v>
      </c>
      <c r="F56" s="1103" t="e">
        <f t="shared" ref="F56:F65" si="15">ROUND(B56*E56/10000,0)</f>
        <v>#DIV/0!</v>
      </c>
      <c r="G56" s="3192"/>
      <c r="H56" s="3210"/>
      <c r="I56" s="1108">
        <v>1</v>
      </c>
      <c r="J56" s="1111">
        <v>1</v>
      </c>
      <c r="K56" s="1145"/>
      <c r="L56" s="941"/>
      <c r="M56" s="941"/>
      <c r="N56" s="941"/>
      <c r="O56" s="941"/>
    </row>
    <row r="57" spans="1:15" s="692" customFormat="1">
      <c r="A57" s="693" t="s">
        <v>2767</v>
      </c>
      <c r="B57" s="262" t="e">
        <f>ROUND($C$48*C57*D57,0)</f>
        <v>#DIV/0!</v>
      </c>
      <c r="C57" s="200">
        <f t="shared" ref="C57:C65" si="16">IF($C$55="北京市系数",I57,J57)</f>
        <v>0.8</v>
      </c>
      <c r="D57" s="1164">
        <v>0.25</v>
      </c>
      <c r="E57" s="694"/>
      <c r="F57" s="1103" t="e">
        <f t="shared" si="15"/>
        <v>#DIV/0!</v>
      </c>
      <c r="G57" s="3240" t="s">
        <v>2768</v>
      </c>
      <c r="H57" s="1104" t="str">
        <f>项目基本情况!B37</f>
        <v>二级</v>
      </c>
      <c r="I57" s="1108">
        <f>SUMIF(修正!A45:A56,H57,修正!B45:B56)</f>
        <v>0.8</v>
      </c>
      <c r="J57" s="1112"/>
      <c r="K57" s="1144"/>
      <c r="L57" s="941"/>
      <c r="M57" s="941"/>
      <c r="N57" s="941"/>
      <c r="O57" s="941"/>
    </row>
    <row r="58" spans="1:15" s="692" customFormat="1">
      <c r="A58" s="693" t="s">
        <v>2769</v>
      </c>
      <c r="B58" s="262" t="e">
        <f t="shared" ref="B58:B65" si="17">ROUND($C$48*C58*D58,0)</f>
        <v>#DIV/0!</v>
      </c>
      <c r="C58" s="200">
        <f t="shared" si="16"/>
        <v>0.5</v>
      </c>
      <c r="D58" s="1164">
        <v>0.25</v>
      </c>
      <c r="E58" s="694"/>
      <c r="F58" s="1103" t="e">
        <f t="shared" si="15"/>
        <v>#DIV/0!</v>
      </c>
      <c r="G58" s="3240"/>
      <c r="H58" s="1104" t="str">
        <f>项目基本情况!B37</f>
        <v>二级</v>
      </c>
      <c r="I58" s="1108">
        <f>SUMIF(修正!A45:A56,H58,修正!C45:C56)</f>
        <v>0.5</v>
      </c>
      <c r="J58" s="1112"/>
      <c r="K58" s="1145"/>
      <c r="L58" s="941"/>
      <c r="M58" s="941"/>
      <c r="N58" s="941"/>
      <c r="O58" s="941"/>
    </row>
    <row r="59" spans="1:15" s="692" customFormat="1">
      <c r="A59" s="693" t="s">
        <v>2770</v>
      </c>
      <c r="B59" s="262" t="e">
        <f t="shared" si="17"/>
        <v>#DIV/0!</v>
      </c>
      <c r="C59" s="200">
        <f t="shared" si="16"/>
        <v>0.36</v>
      </c>
      <c r="D59" s="1164">
        <v>0.25</v>
      </c>
      <c r="E59" s="694"/>
      <c r="F59" s="1103" t="e">
        <f t="shared" si="15"/>
        <v>#DIV/0!</v>
      </c>
      <c r="G59" s="3240"/>
      <c r="H59" s="1104" t="str">
        <f>项目基本情况!B37</f>
        <v>二级</v>
      </c>
      <c r="I59" s="1108">
        <f>SUMIF(修正!A45:A56,H59,修正!D45:D56)</f>
        <v>0.36</v>
      </c>
      <c r="J59" s="1112"/>
      <c r="K59" s="1144"/>
      <c r="L59" s="941"/>
      <c r="M59" s="941"/>
      <c r="N59" s="941"/>
      <c r="O59" s="941"/>
    </row>
    <row r="60" spans="1:15" s="692" customFormat="1">
      <c r="A60" s="693" t="s">
        <v>2771</v>
      </c>
      <c r="B60" s="262" t="e">
        <f t="shared" si="17"/>
        <v>#DIV/0!</v>
      </c>
      <c r="C60" s="200">
        <f t="shared" si="16"/>
        <v>0.3</v>
      </c>
      <c r="D60" s="1164">
        <v>0.25</v>
      </c>
      <c r="E60" s="694"/>
      <c r="F60" s="1103" t="e">
        <f t="shared" si="15"/>
        <v>#DIV/0!</v>
      </c>
      <c r="G60" s="3240"/>
      <c r="H60" s="1104" t="str">
        <f>项目基本情况!B37</f>
        <v>二级</v>
      </c>
      <c r="I60" s="1108">
        <f>SUMIF(修正!A45:A56,H60,修正!E45:E56)</f>
        <v>0.3</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0"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0.25</v>
      </c>
      <c r="D64" s="1164">
        <v>0.25</v>
      </c>
      <c r="E64" s="261">
        <f>'数据-汇总表'!E14</f>
        <v>0</v>
      </c>
      <c r="F64" s="1103" t="e">
        <f t="shared" si="15"/>
        <v>#DIV/0!</v>
      </c>
      <c r="G64" s="2710" t="s">
        <v>2768</v>
      </c>
      <c r="H64" s="1104" t="str">
        <f>项目基本情况!B37</f>
        <v>二级</v>
      </c>
      <c r="I64" s="1108">
        <f>SUMIF(修正!A45:A56,H64,修正!H45:H56)</f>
        <v>0.25</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1"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100326.75000000001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2"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3"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180" t="s">
        <v>2646</v>
      </c>
      <c r="S4" s="3181"/>
      <c r="T4" s="3180" t="s">
        <v>2647</v>
      </c>
      <c r="U4" s="3181"/>
      <c r="V4" s="3205" t="s">
        <v>2648</v>
      </c>
      <c r="W4" s="3205"/>
      <c r="X4" s="1813"/>
      <c r="Y4" s="3180" t="s">
        <v>2650</v>
      </c>
      <c r="Z4" s="3181"/>
      <c r="AA4" s="3175" t="s">
        <v>2646</v>
      </c>
      <c r="AB4" s="3176" t="s">
        <v>2647</v>
      </c>
      <c r="AC4" s="3175" t="s">
        <v>2648</v>
      </c>
    </row>
    <row r="5" spans="1:29" ht="15">
      <c r="A5" s="404"/>
      <c r="B5" s="405"/>
      <c r="C5" s="3186" t="s">
        <v>2541</v>
      </c>
      <c r="D5" s="3187"/>
      <c r="E5" s="3184" t="s">
        <v>2542</v>
      </c>
      <c r="F5" s="3185"/>
      <c r="G5" s="3186" t="s">
        <v>2543</v>
      </c>
      <c r="H5" s="3187"/>
      <c r="I5" s="3186" t="s">
        <v>2544</v>
      </c>
      <c r="J5" s="3187"/>
      <c r="K5" s="610"/>
      <c r="L5" s="1130"/>
      <c r="M5" s="1131"/>
      <c r="N5" s="1131"/>
      <c r="O5" s="1131"/>
      <c r="P5" s="3199"/>
      <c r="Q5" s="3200"/>
      <c r="R5" s="3182"/>
      <c r="S5" s="3183"/>
      <c r="T5" s="3182"/>
      <c r="U5" s="3183"/>
      <c r="V5" s="3205"/>
      <c r="W5" s="3205"/>
      <c r="X5" s="1813"/>
      <c r="Y5" s="3182"/>
      <c r="Z5" s="3183"/>
      <c r="AA5" s="3176"/>
      <c r="AB5" s="3176"/>
      <c r="AC5" s="3176"/>
    </row>
    <row r="6" spans="1:29" ht="15.75" thickBot="1">
      <c r="A6" s="406"/>
      <c r="B6" s="407"/>
      <c r="C6" s="3241" t="s">
        <v>2796</v>
      </c>
      <c r="D6" s="3242"/>
      <c r="E6" s="3243" t="s">
        <v>2796</v>
      </c>
      <c r="F6" s="3244"/>
      <c r="G6" s="3241" t="s">
        <v>2796</v>
      </c>
      <c r="H6" s="3242"/>
      <c r="I6" s="3241" t="s">
        <v>2796</v>
      </c>
      <c r="J6" s="3242"/>
      <c r="K6" s="610" t="s">
        <v>2546</v>
      </c>
      <c r="L6" s="1130"/>
      <c r="M6" s="1131"/>
      <c r="N6" s="1131"/>
      <c r="O6" s="1131"/>
      <c r="P6" s="3201"/>
      <c r="Q6" s="3202"/>
      <c r="R6" s="3182"/>
      <c r="S6" s="3183"/>
      <c r="T6" s="3203"/>
      <c r="U6" s="3204"/>
      <c r="V6" s="3205"/>
      <c r="W6" s="3205"/>
      <c r="X6" s="1813"/>
      <c r="Y6" s="3203"/>
      <c r="Z6" s="3204"/>
      <c r="AA6" s="3177"/>
      <c r="AB6" s="3177"/>
      <c r="AC6" s="3177"/>
    </row>
    <row r="7" spans="1:29" s="117" customFormat="1" ht="15.75" thickBot="1">
      <c r="A7" s="408" t="s">
        <v>2547</v>
      </c>
      <c r="B7" s="409"/>
      <c r="C7" s="410">
        <f>'数据-取费表'!B2</f>
        <v>43899</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8" t="s">
        <v>2551</v>
      </c>
      <c r="Q8" s="3179"/>
      <c r="R8" s="770" t="s">
        <v>17</v>
      </c>
      <c r="S8" s="771">
        <f t="shared" si="0"/>
        <v>0</v>
      </c>
      <c r="T8" s="770" t="s">
        <v>17</v>
      </c>
      <c r="U8" s="771">
        <f t="shared" si="1"/>
        <v>0</v>
      </c>
      <c r="V8" s="770" t="s">
        <v>17</v>
      </c>
      <c r="W8" s="771">
        <f t="shared" si="2"/>
        <v>0</v>
      </c>
      <c r="X8" s="772"/>
      <c r="Y8" s="3178" t="s">
        <v>2551</v>
      </c>
      <c r="Z8" s="3179"/>
      <c r="AA8" s="773" t="e">
        <f t="shared" ref="AA8:AA40" si="3">D8/F8</f>
        <v>#DIV/0!</v>
      </c>
      <c r="AB8" s="773" t="e">
        <f t="shared" ref="AB8:AB40" si="4">D8/H8</f>
        <v>#DIV/0!</v>
      </c>
      <c r="AC8" s="773" t="e">
        <f t="shared" ref="AC8:AC40" si="5">D8/J8</f>
        <v>#DIV/0!</v>
      </c>
    </row>
    <row r="9" spans="1:29" s="117" customFormat="1">
      <c r="A9" s="415" t="s">
        <v>2552</v>
      </c>
      <c r="B9" s="71" t="s">
        <v>2553</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10" t="s">
        <v>2554</v>
      </c>
      <c r="Q9" s="1795"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136</v>
      </c>
      <c r="G10" s="432"/>
      <c r="H10" s="136">
        <f>ROUND(100/'数据-取费表'!G16,0)</f>
        <v>136</v>
      </c>
      <c r="I10" s="432"/>
      <c r="J10" s="136">
        <f>ROUND(100/'数据-取费表'!G16,0)</f>
        <v>136</v>
      </c>
      <c r="K10" s="672"/>
      <c r="L10" s="1135"/>
      <c r="M10" s="1136"/>
      <c r="N10" s="1136"/>
      <c r="O10" s="1137"/>
      <c r="P10" s="3210"/>
      <c r="Q10" s="1795" t="str">
        <f t="shared" si="6"/>
        <v>土地使用年限（年）</v>
      </c>
      <c r="R10" s="770" t="s">
        <v>17</v>
      </c>
      <c r="S10" s="771">
        <f t="shared" si="0"/>
        <v>136</v>
      </c>
      <c r="T10" s="770" t="s">
        <v>17</v>
      </c>
      <c r="U10" s="771">
        <f t="shared" si="1"/>
        <v>136</v>
      </c>
      <c r="V10" s="770" t="s">
        <v>17</v>
      </c>
      <c r="W10" s="771">
        <f t="shared" si="2"/>
        <v>136</v>
      </c>
      <c r="X10" s="772"/>
      <c r="Y10" s="3025"/>
      <c r="Z10" s="55" t="str">
        <f t="shared" si="7"/>
        <v>土地使用年限（年）</v>
      </c>
      <c r="AA10" s="773">
        <f t="shared" si="3"/>
        <v>0.73529411764705888</v>
      </c>
      <c r="AB10" s="773">
        <f t="shared" si="4"/>
        <v>0.73529411764705888</v>
      </c>
      <c r="AC10" s="773">
        <f t="shared" si="5"/>
        <v>0.73529411764705888</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29" t="s">
        <v>2797</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2" t="s">
        <v>2559</v>
      </c>
      <c r="Q15" s="1810" t="str">
        <f t="shared" si="6"/>
        <v>产业集聚程度</v>
      </c>
      <c r="R15" s="774" t="s">
        <v>17</v>
      </c>
      <c r="S15" s="775">
        <f t="shared" si="0"/>
        <v>100</v>
      </c>
      <c r="T15" s="774" t="s">
        <v>17</v>
      </c>
      <c r="U15" s="775">
        <f t="shared" si="1"/>
        <v>100</v>
      </c>
      <c r="V15" s="774" t="s">
        <v>17</v>
      </c>
      <c r="W15" s="775">
        <f t="shared" si="2"/>
        <v>100</v>
      </c>
      <c r="X15" s="1813"/>
      <c r="Y15" s="3212" t="s">
        <v>2559</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631" t="s">
        <v>2708</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15">
      <c r="A19" s="428"/>
      <c r="B19" s="631" t="s">
        <v>2747</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3"/>
      <c r="Q19" s="1810" t="str">
        <f t="shared" ref="Q19:Q33" si="8">B19</f>
        <v>区域土地利用方向</v>
      </c>
      <c r="R19" s="774" t="s">
        <v>17</v>
      </c>
      <c r="S19" s="775">
        <f>F19</f>
        <v>100</v>
      </c>
      <c r="T19" s="774" t="s">
        <v>17</v>
      </c>
      <c r="U19" s="775">
        <f>H19</f>
        <v>100</v>
      </c>
      <c r="V19" s="774" t="s">
        <v>17</v>
      </c>
      <c r="W19" s="775">
        <f>J19</f>
        <v>100</v>
      </c>
      <c r="X19" s="1813"/>
      <c r="Y19" s="3213"/>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13"/>
      <c r="Q20" s="1810"/>
      <c r="R20" s="774"/>
      <c r="S20" s="775"/>
      <c r="T20" s="774"/>
      <c r="U20" s="775"/>
      <c r="V20" s="774"/>
      <c r="W20" s="775"/>
      <c r="X20" s="1813"/>
      <c r="Y20" s="3213"/>
      <c r="Z20" s="1814"/>
      <c r="AA20" s="1811"/>
      <c r="AB20" s="1811"/>
      <c r="AC20" s="1811"/>
    </row>
    <row r="21" spans="1:29" ht="71.25">
      <c r="A21" s="404"/>
      <c r="B21" s="631" t="s">
        <v>2798</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3"/>
      <c r="Q21" s="1810" t="str">
        <f t="shared" si="8"/>
        <v>环境状况</v>
      </c>
      <c r="R21" s="774" t="s">
        <v>17</v>
      </c>
      <c r="S21" s="775">
        <f>F21</f>
        <v>100</v>
      </c>
      <c r="T21" s="774" t="s">
        <v>17</v>
      </c>
      <c r="U21" s="775">
        <f>H21</f>
        <v>100</v>
      </c>
      <c r="V21" s="774" t="s">
        <v>17</v>
      </c>
      <c r="W21" s="775">
        <f>J21</f>
        <v>100</v>
      </c>
      <c r="X21" s="1813"/>
      <c r="Y21" s="3213"/>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s="117" customFormat="1" ht="42.75">
      <c r="A23" s="649"/>
      <c r="B23" s="633" t="s">
        <v>2653</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3"/>
      <c r="Q23" s="1795" t="str">
        <f t="shared" si="8"/>
        <v>公共配套设施</v>
      </c>
      <c r="R23" s="770" t="s">
        <v>17</v>
      </c>
      <c r="S23" s="771">
        <f>F23</f>
        <v>100</v>
      </c>
      <c r="T23" s="770" t="s">
        <v>17</v>
      </c>
      <c r="U23" s="771">
        <f>H23</f>
        <v>100</v>
      </c>
      <c r="V23" s="770" t="s">
        <v>17</v>
      </c>
      <c r="W23" s="771">
        <f>J23</f>
        <v>100</v>
      </c>
      <c r="X23" s="772"/>
      <c r="Y23" s="3213"/>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13"/>
      <c r="Q24" s="1795"/>
      <c r="R24" s="770"/>
      <c r="S24" s="771"/>
      <c r="T24" s="770"/>
      <c r="U24" s="771"/>
      <c r="V24" s="770"/>
      <c r="W24" s="771"/>
      <c r="X24" s="772"/>
      <c r="Y24" s="3213"/>
      <c r="Z24" s="55"/>
      <c r="AA24" s="773">
        <v>1</v>
      </c>
      <c r="AB24" s="773">
        <v>1</v>
      </c>
      <c r="AC24" s="773">
        <v>1</v>
      </c>
    </row>
    <row r="25" spans="1:29" s="117" customFormat="1" ht="28.5">
      <c r="A25" s="649"/>
      <c r="B25" s="633" t="s">
        <v>2654</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3"/>
      <c r="Q25" s="1795"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13"/>
      <c r="Q26" s="1795"/>
      <c r="R26" s="770"/>
      <c r="S26" s="771"/>
      <c r="T26" s="770"/>
      <c r="U26" s="771"/>
      <c r="V26" s="770"/>
      <c r="W26" s="771"/>
      <c r="X26" s="772"/>
      <c r="Y26" s="321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3"/>
      <c r="Z27" s="1814" t="str">
        <f t="shared" ref="Z27:Z40" si="13">Q27</f>
        <v>临街状况</v>
      </c>
      <c r="AA27" s="1811">
        <f t="shared" si="3"/>
        <v>1</v>
      </c>
      <c r="AB27" s="1811">
        <f t="shared" si="4"/>
        <v>1</v>
      </c>
      <c r="AC27" s="1811">
        <f t="shared" si="5"/>
        <v>1</v>
      </c>
    </row>
    <row r="28" spans="1:29" ht="27">
      <c r="A28" s="428"/>
      <c r="B28" s="633" t="s">
        <v>2690</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3"/>
      <c r="Q28" s="1810" t="str">
        <f t="shared" si="8"/>
        <v>毗邻道路的类型与等级</v>
      </c>
      <c r="R28" s="774" t="s">
        <v>17</v>
      </c>
      <c r="S28" s="775">
        <f t="shared" si="10"/>
        <v>100</v>
      </c>
      <c r="T28" s="774" t="s">
        <v>17</v>
      </c>
      <c r="U28" s="775">
        <f t="shared" si="11"/>
        <v>100</v>
      </c>
      <c r="V28" s="774" t="s">
        <v>17</v>
      </c>
      <c r="W28" s="775">
        <f t="shared" si="12"/>
        <v>100</v>
      </c>
      <c r="X28" s="1813"/>
      <c r="Y28" s="3213"/>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13"/>
      <c r="Q29" s="1810"/>
      <c r="R29" s="774"/>
      <c r="S29" s="775"/>
      <c r="T29" s="774"/>
      <c r="U29" s="775"/>
      <c r="V29" s="774"/>
      <c r="W29" s="775"/>
      <c r="X29" s="1813"/>
      <c r="Y29" s="3213"/>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3"/>
      <c r="Q30" s="1810" t="str">
        <f t="shared" si="8"/>
        <v>土地级别</v>
      </c>
      <c r="R30" s="774" t="s">
        <v>17</v>
      </c>
      <c r="S30" s="775">
        <f t="shared" si="10"/>
        <v>100</v>
      </c>
      <c r="T30" s="774" t="s">
        <v>17</v>
      </c>
      <c r="U30" s="775">
        <f t="shared" si="11"/>
        <v>100</v>
      </c>
      <c r="V30" s="774" t="s">
        <v>17</v>
      </c>
      <c r="W30" s="775">
        <f t="shared" si="12"/>
        <v>100</v>
      </c>
      <c r="X30" s="1813"/>
      <c r="Y30" s="3213"/>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3"/>
      <c r="Q31" s="1810">
        <f t="shared" si="8"/>
        <v>111</v>
      </c>
      <c r="R31" s="774" t="s">
        <v>17</v>
      </c>
      <c r="S31" s="775">
        <f t="shared" si="10"/>
        <v>100</v>
      </c>
      <c r="T31" s="774" t="s">
        <v>17</v>
      </c>
      <c r="U31" s="775">
        <f t="shared" si="11"/>
        <v>100</v>
      </c>
      <c r="V31" s="774" t="s">
        <v>17</v>
      </c>
      <c r="W31" s="775">
        <f t="shared" si="12"/>
        <v>100</v>
      </c>
      <c r="X31" s="1813"/>
      <c r="Y31" s="3213"/>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6" t="s">
        <v>2564</v>
      </c>
      <c r="Q32" s="1810">
        <f t="shared" si="8"/>
        <v>111</v>
      </c>
      <c r="R32" s="774" t="s">
        <v>17</v>
      </c>
      <c r="S32" s="775">
        <f t="shared" si="10"/>
        <v>100</v>
      </c>
      <c r="T32" s="774" t="s">
        <v>17</v>
      </c>
      <c r="U32" s="775">
        <f t="shared" si="11"/>
        <v>100</v>
      </c>
      <c r="V32" s="774" t="s">
        <v>17</v>
      </c>
      <c r="W32" s="775">
        <f t="shared" si="12"/>
        <v>100</v>
      </c>
      <c r="X32" s="1813"/>
      <c r="Y32" s="3217" t="s">
        <v>2564</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10">
        <f t="shared" si="8"/>
        <v>111</v>
      </c>
      <c r="R33" s="777" t="s">
        <v>17</v>
      </c>
      <c r="S33" s="778">
        <f t="shared" si="10"/>
        <v>100</v>
      </c>
      <c r="T33" s="777" t="s">
        <v>17</v>
      </c>
      <c r="U33" s="778">
        <f t="shared" si="11"/>
        <v>100</v>
      </c>
      <c r="V33" s="777" t="s">
        <v>17</v>
      </c>
      <c r="W33" s="778">
        <f t="shared" si="12"/>
        <v>100</v>
      </c>
      <c r="X33" s="779"/>
      <c r="Y33" s="3217"/>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10" t="str">
        <f>B34</f>
        <v>宗地面积</v>
      </c>
      <c r="R34" s="774" t="s">
        <v>17</v>
      </c>
      <c r="S34" s="775" t="e">
        <f t="shared" si="10"/>
        <v>#N/A</v>
      </c>
      <c r="T34" s="774" t="s">
        <v>17</v>
      </c>
      <c r="U34" s="775" t="e">
        <f t="shared" si="11"/>
        <v>#N/A</v>
      </c>
      <c r="V34" s="774" t="s">
        <v>17</v>
      </c>
      <c r="W34" s="775" t="e">
        <f t="shared" si="12"/>
        <v>#N/A</v>
      </c>
      <c r="X34" s="1813"/>
      <c r="Y34" s="3217"/>
      <c r="Z34" s="1814" t="str">
        <f t="shared" si="13"/>
        <v>宗地面积</v>
      </c>
      <c r="AA34" s="1811" t="e">
        <f t="shared" si="3"/>
        <v>#N/A</v>
      </c>
      <c r="AB34" s="1811" t="e">
        <f t="shared" si="4"/>
        <v>#N/A</v>
      </c>
      <c r="AC34" s="1811" t="e">
        <f t="shared" si="5"/>
        <v>#N/A</v>
      </c>
    </row>
    <row r="35" spans="1:29" ht="15">
      <c r="A35" s="472"/>
      <c r="B35" s="422" t="s">
        <v>2751</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17"/>
      <c r="Q35" s="1810" t="str">
        <f t="shared" ref="Q35:Q40" si="14">B35</f>
        <v>宗地形状</v>
      </c>
      <c r="R35" s="774" t="s">
        <v>17</v>
      </c>
      <c r="S35" s="775">
        <f t="shared" si="10"/>
        <v>100</v>
      </c>
      <c r="T35" s="774" t="s">
        <v>17</v>
      </c>
      <c r="U35" s="775">
        <f t="shared" si="11"/>
        <v>100</v>
      </c>
      <c r="V35" s="774" t="s">
        <v>17</v>
      </c>
      <c r="W35" s="775">
        <f t="shared" si="12"/>
        <v>100</v>
      </c>
      <c r="X35" s="1813"/>
      <c r="Y35" s="3217"/>
      <c r="Z35" s="1814" t="str">
        <f t="shared" si="13"/>
        <v>宗地形状</v>
      </c>
      <c r="AA35" s="1811">
        <f t="shared" si="3"/>
        <v>1</v>
      </c>
      <c r="AB35" s="1811">
        <f t="shared" si="4"/>
        <v>1</v>
      </c>
      <c r="AC35" s="1811">
        <f t="shared" si="5"/>
        <v>1</v>
      </c>
    </row>
    <row r="36" spans="1:29" s="117" customFormat="1" ht="15">
      <c r="A36" s="473"/>
      <c r="B36" s="422" t="s">
        <v>2753</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17"/>
      <c r="Q36" s="1810"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2754</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17" t="s">
        <v>2564</v>
      </c>
      <c r="Q37" s="1810" t="str">
        <f t="shared" si="14"/>
        <v>工程地质条件</v>
      </c>
      <c r="R37" s="774" t="s">
        <v>17</v>
      </c>
      <c r="S37" s="775">
        <f t="shared" si="10"/>
        <v>100</v>
      </c>
      <c r="T37" s="774" t="s">
        <v>17</v>
      </c>
      <c r="U37" s="775">
        <f t="shared" si="11"/>
        <v>100</v>
      </c>
      <c r="V37" s="774" t="s">
        <v>17</v>
      </c>
      <c r="W37" s="775">
        <f t="shared" si="12"/>
        <v>100</v>
      </c>
      <c r="X37" s="1813"/>
      <c r="Y37" s="3217"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10">
        <f t="shared" si="14"/>
        <v>111</v>
      </c>
      <c r="R38" s="774" t="s">
        <v>17</v>
      </c>
      <c r="S38" s="775">
        <f t="shared" si="10"/>
        <v>100</v>
      </c>
      <c r="T38" s="774" t="s">
        <v>17</v>
      </c>
      <c r="U38" s="775">
        <f t="shared" si="11"/>
        <v>100</v>
      </c>
      <c r="V38" s="774" t="s">
        <v>17</v>
      </c>
      <c r="W38" s="775">
        <f t="shared" si="12"/>
        <v>100</v>
      </c>
      <c r="X38" s="1813"/>
      <c r="Y38" s="321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10">
        <f t="shared" si="14"/>
        <v>111</v>
      </c>
      <c r="R39" s="774" t="s">
        <v>17</v>
      </c>
      <c r="S39" s="775">
        <f t="shared" si="10"/>
        <v>100</v>
      </c>
      <c r="T39" s="774" t="s">
        <v>17</v>
      </c>
      <c r="U39" s="775">
        <f t="shared" si="11"/>
        <v>100</v>
      </c>
      <c r="V39" s="774" t="s">
        <v>17</v>
      </c>
      <c r="W39" s="775">
        <f t="shared" si="12"/>
        <v>100</v>
      </c>
      <c r="X39" s="1813"/>
      <c r="Y39" s="3217"/>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10">
        <f t="shared" si="14"/>
        <v>111</v>
      </c>
      <c r="R40" s="777" t="s">
        <v>17</v>
      </c>
      <c r="S40" s="778">
        <f t="shared" si="10"/>
        <v>100</v>
      </c>
      <c r="T40" s="777" t="s">
        <v>17</v>
      </c>
      <c r="U40" s="778">
        <f t="shared" si="11"/>
        <v>100</v>
      </c>
      <c r="V40" s="777" t="s">
        <v>17</v>
      </c>
      <c r="W40" s="778">
        <f t="shared" si="12"/>
        <v>100</v>
      </c>
      <c r="X40" s="779"/>
      <c r="Y40" s="3217"/>
      <c r="Z40" s="780">
        <f t="shared" si="13"/>
        <v>111</v>
      </c>
      <c r="AA40" s="1811">
        <f t="shared" si="3"/>
        <v>1</v>
      </c>
      <c r="AB40" s="1811">
        <f t="shared" si="4"/>
        <v>1</v>
      </c>
      <c r="AC40" s="1811">
        <f t="shared" si="5"/>
        <v>1</v>
      </c>
    </row>
    <row r="41" spans="1:29" ht="15">
      <c r="A41" s="479" t="s">
        <v>2719</v>
      </c>
      <c r="B41" s="2705" t="s">
        <v>2799</v>
      </c>
      <c r="C41" s="682" t="s">
        <v>1</v>
      </c>
      <c r="D41" s="481"/>
      <c r="E41" s="482"/>
      <c r="F41" s="483"/>
      <c r="G41" s="484"/>
      <c r="H41" s="485"/>
      <c r="I41" s="482"/>
      <c r="J41" s="485"/>
      <c r="K41" s="783"/>
      <c r="L41" s="1143"/>
      <c r="M41" s="1131"/>
      <c r="N41" s="1131"/>
      <c r="O41" s="1144"/>
      <c r="P41" s="3210" t="str">
        <f>A41</f>
        <v>成交单价</v>
      </c>
      <c r="Q41" s="3210"/>
      <c r="R41" s="3205">
        <f>E41</f>
        <v>0</v>
      </c>
      <c r="S41" s="3205"/>
      <c r="T41" s="3205">
        <f>G41</f>
        <v>0</v>
      </c>
      <c r="U41" s="3205"/>
      <c r="V41" s="3205">
        <f>I41</f>
        <v>0</v>
      </c>
      <c r="W41" s="320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10" t="str">
        <f>A42</f>
        <v>比较价值（元/平方米）</v>
      </c>
      <c r="Q42" s="3210"/>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7" t="str">
        <f>A43</f>
        <v>估价对象XX用房的比较价值（楼面单价，元/平方米）</v>
      </c>
      <c r="Q43" s="3208"/>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6" t="s">
        <v>2759</v>
      </c>
      <c r="D50" s="2707" t="s">
        <v>2760</v>
      </c>
      <c r="E50" s="686" t="s">
        <v>2761</v>
      </c>
      <c r="F50" s="687" t="s">
        <v>2762</v>
      </c>
      <c r="G50" s="3193" t="s">
        <v>2763</v>
      </c>
      <c r="H50" s="3239"/>
      <c r="I50" s="1814" t="s">
        <v>2800</v>
      </c>
      <c r="J50" s="1814" t="str">
        <f>项目基本情况!F35</f>
        <v>朝阳区东三环中路65号</v>
      </c>
      <c r="K50" s="2709" t="s">
        <v>2765</v>
      </c>
      <c r="L50" s="1106"/>
      <c r="M50" s="1144"/>
      <c r="N50" s="1144"/>
      <c r="O50" s="1144"/>
    </row>
    <row r="51" spans="1:17" s="692" customFormat="1">
      <c r="A51" s="688" t="s">
        <v>2766</v>
      </c>
      <c r="B51" s="689" t="e">
        <f>C43</f>
        <v>#DIV/0!</v>
      </c>
      <c r="C51" s="690">
        <v>1</v>
      </c>
      <c r="D51" s="1163">
        <v>1</v>
      </c>
      <c r="E51" s="690">
        <f>'数据-汇总表'!E8+'数据-汇总表'!E9</f>
        <v>100326.75000000001</v>
      </c>
      <c r="F51" s="691" t="e">
        <f t="shared" ref="F51:F60" si="15">ROUND(B51*E51/10000,0)</f>
        <v>#DIV/0!</v>
      </c>
      <c r="G51" s="3192"/>
      <c r="H51" s="3210"/>
      <c r="I51" s="942">
        <v>1</v>
      </c>
      <c r="J51" s="942">
        <v>1</v>
      </c>
      <c r="K51" s="1145"/>
      <c r="L51" s="941"/>
      <c r="M51" s="941"/>
      <c r="N51" s="941"/>
      <c r="O51" s="941"/>
    </row>
    <row r="52" spans="1:17" s="692" customFormat="1">
      <c r="A52" s="693" t="s">
        <v>2767</v>
      </c>
      <c r="B52" s="262" t="e">
        <f>ROUND($C$43*C52*D52,0)</f>
        <v>#DIV/0!</v>
      </c>
      <c r="C52" s="200">
        <f t="shared" ref="C52:C60" si="16">IF($C$50="北京市系数",I52,J52)</f>
        <v>0.8</v>
      </c>
      <c r="D52" s="1164">
        <v>0.25</v>
      </c>
      <c r="E52" s="694"/>
      <c r="F52" s="691" t="e">
        <f t="shared" si="15"/>
        <v>#DIV/0!</v>
      </c>
      <c r="G52" s="3240" t="s">
        <v>2768</v>
      </c>
      <c r="H52" s="1104" t="str">
        <f>项目基本情况!B37</f>
        <v>二级</v>
      </c>
      <c r="I52" s="942">
        <f>SUMIF(修正!A45:A56,H52,修正!B45:B56)</f>
        <v>0.8</v>
      </c>
      <c r="J52" s="943"/>
      <c r="K52" s="1144"/>
      <c r="L52" s="941"/>
      <c r="M52" s="941"/>
      <c r="N52" s="941"/>
      <c r="O52" s="941"/>
    </row>
    <row r="53" spans="1:17" s="692" customFormat="1">
      <c r="A53" s="693" t="s">
        <v>2769</v>
      </c>
      <c r="B53" s="262" t="e">
        <f t="shared" ref="B53:B60" si="17">ROUND($C$43*C53*D53,0)</f>
        <v>#DIV/0!</v>
      </c>
      <c r="C53" s="200">
        <f t="shared" si="16"/>
        <v>0.5</v>
      </c>
      <c r="D53" s="1164">
        <v>0.25</v>
      </c>
      <c r="E53" s="694"/>
      <c r="F53" s="691" t="e">
        <f t="shared" si="15"/>
        <v>#DIV/0!</v>
      </c>
      <c r="G53" s="3240"/>
      <c r="H53" s="1104" t="str">
        <f>项目基本情况!B37</f>
        <v>二级</v>
      </c>
      <c r="I53" s="942">
        <f>SUMIF(修正!A45:A56,H53,修正!C45:C56)</f>
        <v>0.5</v>
      </c>
      <c r="J53" s="943"/>
      <c r="K53" s="1145"/>
      <c r="L53" s="941"/>
      <c r="M53" s="941"/>
      <c r="N53" s="941"/>
      <c r="O53" s="941"/>
    </row>
    <row r="54" spans="1:17" s="692" customFormat="1">
      <c r="A54" s="693" t="s">
        <v>2770</v>
      </c>
      <c r="B54" s="262" t="e">
        <f t="shared" si="17"/>
        <v>#DIV/0!</v>
      </c>
      <c r="C54" s="200">
        <f t="shared" si="16"/>
        <v>0.36</v>
      </c>
      <c r="D54" s="1164">
        <v>0.25</v>
      </c>
      <c r="E54" s="694"/>
      <c r="F54" s="691" t="e">
        <f t="shared" si="15"/>
        <v>#DIV/0!</v>
      </c>
      <c r="G54" s="3240"/>
      <c r="H54" s="1104" t="str">
        <f>项目基本情况!B37</f>
        <v>二级</v>
      </c>
      <c r="I54" s="942">
        <f>SUMIF(修正!A45:A56,H54,修正!D45:D56)</f>
        <v>0.36</v>
      </c>
      <c r="J54" s="943"/>
      <c r="K54" s="1144"/>
      <c r="L54" s="941"/>
      <c r="M54" s="941"/>
      <c r="N54" s="941"/>
      <c r="O54" s="941"/>
    </row>
    <row r="55" spans="1:17" s="692" customFormat="1">
      <c r="A55" s="693" t="s">
        <v>2771</v>
      </c>
      <c r="B55" s="262" t="e">
        <f t="shared" si="17"/>
        <v>#DIV/0!</v>
      </c>
      <c r="C55" s="200">
        <f t="shared" si="16"/>
        <v>0.3</v>
      </c>
      <c r="D55" s="1164">
        <v>0.25</v>
      </c>
      <c r="E55" s="694"/>
      <c r="F55" s="691" t="e">
        <f t="shared" si="15"/>
        <v>#DIV/0!</v>
      </c>
      <c r="G55" s="3240"/>
      <c r="H55" s="1104" t="str">
        <f>项目基本情况!B37</f>
        <v>二级</v>
      </c>
      <c r="I55" s="942">
        <f>SUMIF(修正!A45:A56,H55,修正!E45:E56)</f>
        <v>0.3</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0"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0.25</v>
      </c>
      <c r="D59" s="1164">
        <v>0.25</v>
      </c>
      <c r="E59" s="261">
        <f>'数据-汇总表'!E14</f>
        <v>0</v>
      </c>
      <c r="F59" s="691" t="e">
        <f t="shared" si="15"/>
        <v>#DIV/0!</v>
      </c>
      <c r="G59" s="2710" t="s">
        <v>2768</v>
      </c>
      <c r="H59" s="1104" t="str">
        <f>项目基本情况!B37</f>
        <v>二级</v>
      </c>
      <c r="I59" s="942">
        <f>SUMIF(修正!A45:A56,H59,修正!H45:H56)</f>
        <v>0.25</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1"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22104.58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2"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7"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3" zoomScale="80" zoomScaleNormal="80" zoomScaleSheetLayoutView="96" workbookViewId="0">
      <selection activeCell="E3" sqref="E3"/>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2803</v>
      </c>
      <c r="B1" s="241"/>
      <c r="C1" s="245" t="s">
        <v>2804</v>
      </c>
      <c r="D1" s="388">
        <f>SUM(D29:D30,D33:D39)</f>
        <v>0</v>
      </c>
      <c r="E1" s="2718"/>
      <c r="F1" s="2718"/>
      <c r="G1" s="2718"/>
      <c r="H1" s="2718"/>
      <c r="I1" s="2718"/>
      <c r="J1" s="2718"/>
      <c r="K1" s="1370"/>
      <c r="L1" s="2719" t="s">
        <v>2805</v>
      </c>
      <c r="M1" s="1080">
        <f>SUMPRODUCT((区片价!B5:B9=I2)*(区片价!C3:F3=E2)*(区片价!C5:F9))</f>
        <v>0</v>
      </c>
      <c r="N1" s="1083">
        <f>SUMPRODUCT((因素修正幅度!B5:B9=I2)*(因素修正幅度!C3:F3=E2)*(因素修正幅度!C5:F9))</f>
        <v>0</v>
      </c>
      <c r="O1" s="2720"/>
      <c r="P1" s="2720"/>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0</v>
      </c>
      <c r="C2" s="2722" t="s">
        <v>2812</v>
      </c>
      <c r="D2" s="2723" t="s">
        <v>2813</v>
      </c>
      <c r="E2" s="2724" t="s">
        <v>1372</v>
      </c>
      <c r="F2" s="2723" t="s">
        <v>2814</v>
      </c>
      <c r="G2" s="2725" t="str">
        <f>IF(E2="商业",项目基本情况!B37,IF(E2="办公",项目基本情况!C37,IF(E2="住宅",项目基本情况!D37,项目基本情况!E37)))</f>
        <v>二级</v>
      </c>
      <c r="H2" s="2723" t="s">
        <v>2815</v>
      </c>
      <c r="I2" s="2725" t="str">
        <f>IF(E2="商业",项目基本情况!B38,IF(E2="办公",项目基本情况!C38,IF(E2="住宅",项目基本情况!D38,项目基本情况!E38)))</f>
        <v>Ⅱ—10</v>
      </c>
      <c r="J2" s="2726"/>
      <c r="K2" s="1370"/>
      <c r="L2" s="2727" t="s">
        <v>2816</v>
      </c>
      <c r="M2" s="1081">
        <f>SUMPRODUCT((区片价!B10:B28=I2)*(区片价!C3:F3=E2)*(区片价!C10:F28))</f>
        <v>23430</v>
      </c>
      <c r="N2" s="1083">
        <f>SUMPRODUCT((因素修正幅度!B10:B28=I2)*(因素修正幅度!C3:F3=E2)*(因素修正幅度!C10:F28))</f>
        <v>9.9000000000000005E-2</v>
      </c>
      <c r="O2" s="1370"/>
      <c r="P2" s="1370"/>
      <c r="Q2" s="1370"/>
      <c r="R2" s="1602">
        <v>1</v>
      </c>
      <c r="S2" s="1602">
        <f>ROUND(IF(G3&gt;1,IF(R2&lt;7,SUMPRODUCT((B93:B98=R2)*(C92:N92=G2)*(C93:N98)),SUMIF(C92:N92,G2,C100:N100)),IF(R2&lt;7,SUMPRODUCT((B102:B107=R2)*(C92:N92=G2)*(C102:N107)),SUMIF(C92:N92,G2,C109:N109))),4)</f>
        <v>1.9361999999999999</v>
      </c>
      <c r="T2" s="1602">
        <f ca="1">ROUND($C$5*$C$18*$C$19*$C$20*S2*$C$24,0)</f>
        <v>53351</v>
      </c>
      <c r="U2" s="1603"/>
      <c r="V2" s="1602">
        <f ca="1">ROUND(T2*U2/10000,0)</f>
        <v>0</v>
      </c>
      <c r="W2" s="1606"/>
      <c r="X2" s="1606"/>
      <c r="Y2" s="1606"/>
      <c r="Z2" s="1606"/>
      <c r="AA2" s="1606"/>
      <c r="AB2" s="1606"/>
      <c r="AC2" s="1607"/>
      <c r="AD2" s="1608"/>
      <c r="AE2" s="1608"/>
      <c r="AF2" s="1608"/>
      <c r="AG2" s="1608"/>
      <c r="AH2" s="1608"/>
      <c r="AI2" s="1608"/>
      <c r="AJ2" s="1609"/>
    </row>
    <row r="3" spans="1:36" ht="25.5">
      <c r="A3" s="247" t="s">
        <v>2817</v>
      </c>
      <c r="B3" s="248" t="e">
        <f ca="1">ROUND(B2*10000/D1,0)</f>
        <v>#DIV/0!</v>
      </c>
      <c r="C3" s="2722" t="s">
        <v>2818</v>
      </c>
      <c r="D3" s="2723" t="s">
        <v>2819</v>
      </c>
      <c r="E3" s="2728" t="s">
        <v>3128</v>
      </c>
      <c r="F3" s="2729" t="s">
        <v>2820</v>
      </c>
      <c r="G3" s="916">
        <f>IF(F3="宗地容积率",'数据-汇总表'!I4,IF(F3="估价对象容积率",'数据-汇总表'!I6,'数据-汇总表'!I7))</f>
        <v>4.54</v>
      </c>
      <c r="H3" s="198" t="s">
        <v>2821</v>
      </c>
      <c r="I3" s="944"/>
      <c r="J3" s="2726" t="s">
        <v>2822</v>
      </c>
      <c r="K3" s="1370"/>
      <c r="L3" s="2727"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39122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1"/>
      <c r="B4" s="3262"/>
      <c r="C4" s="3262"/>
      <c r="D4" s="3263"/>
      <c r="E4" s="3263"/>
      <c r="F4" s="3263"/>
      <c r="G4" s="3263"/>
      <c r="H4" s="3263"/>
      <c r="I4" s="3263"/>
      <c r="J4" s="3264"/>
      <c r="K4" s="1370"/>
      <c r="L4" s="2727"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31947</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2825</v>
      </c>
      <c r="C5" s="917">
        <f>ROUND(IF(E2="商业",C6*C7+C16,(IF(E2="住宅",C6*C12+C16,C6+C16))),0)</f>
        <v>23430</v>
      </c>
      <c r="D5" s="1787">
        <f>ROUND(C6+C16,0)</f>
        <v>23430</v>
      </c>
      <c r="E5" s="1787"/>
      <c r="F5" s="2732"/>
      <c r="G5" s="2733"/>
      <c r="H5" s="2733"/>
      <c r="I5" s="2733"/>
      <c r="J5" s="2734"/>
      <c r="K5" s="2735"/>
      <c r="L5" s="2727"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26513</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2827</v>
      </c>
      <c r="B6" s="2741" t="s">
        <v>2828</v>
      </c>
      <c r="C6" s="918">
        <f>SUMIF(L1:L12,G2,M1:M12)</f>
        <v>23430</v>
      </c>
      <c r="D6" s="2742" t="s">
        <v>2829</v>
      </c>
      <c r="E6" s="2743"/>
      <c r="F6" s="2743"/>
      <c r="G6" s="2744"/>
      <c r="H6" s="2744"/>
      <c r="I6" s="2744"/>
      <c r="J6" s="2745"/>
      <c r="K6" s="1842"/>
      <c r="L6" s="2727"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23193</v>
      </c>
      <c r="U6" s="1603"/>
      <c r="V6" s="1602">
        <f t="shared" ca="1" si="1"/>
        <v>0</v>
      </c>
      <c r="W6" s="1606"/>
      <c r="X6" s="1606"/>
      <c r="Y6" s="1606"/>
      <c r="Z6" s="1606"/>
      <c r="AA6" s="1606"/>
      <c r="AB6" s="1606"/>
      <c r="AC6" s="2736"/>
      <c r="AD6" s="2737"/>
      <c r="AE6" s="2737"/>
      <c r="AF6" s="2737"/>
      <c r="AG6" s="2737"/>
      <c r="AH6" s="2737"/>
      <c r="AI6" s="2737"/>
      <c r="AJ6" s="2738"/>
    </row>
    <row r="7" spans="1:36" ht="24">
      <c r="A7" s="3245" t="str">
        <f>IF(E2="商业",IF(C8="不临58条商业街","",2),"")</f>
        <v/>
      </c>
      <c r="B7" s="2746" t="s">
        <v>2831</v>
      </c>
      <c r="C7" s="919">
        <f>IF(C8="不临58条商业街",1,ROUND(1+(1.6*E8+1.2*E9+0.8*E10+0.4*E11)*C9,4))</f>
        <v>1</v>
      </c>
      <c r="D7" s="2747" t="s">
        <v>2832</v>
      </c>
      <c r="E7" s="945"/>
      <c r="F7" s="2748"/>
      <c r="G7" s="2749"/>
      <c r="H7" s="2749"/>
      <c r="I7" s="2749"/>
      <c r="J7" s="2750"/>
      <c r="K7" s="1842"/>
      <c r="L7" s="2727"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20964</v>
      </c>
      <c r="U7" s="1603"/>
      <c r="V7" s="1602">
        <f t="shared" ca="1" si="1"/>
        <v>0</v>
      </c>
      <c r="W7" s="1816" t="s">
        <v>2834</v>
      </c>
      <c r="X7" s="1604" t="str">
        <f>G2</f>
        <v>二级</v>
      </c>
      <c r="Y7" s="1604" t="s">
        <v>2835</v>
      </c>
      <c r="Z7" s="1605">
        <f>G3</f>
        <v>4.54</v>
      </c>
      <c r="AA7" s="1606"/>
      <c r="AB7" s="1606"/>
      <c r="AC7" s="1607"/>
      <c r="AD7" s="1608"/>
      <c r="AE7" s="1608"/>
      <c r="AF7" s="1608"/>
      <c r="AG7" s="1608"/>
      <c r="AH7" s="1608"/>
      <c r="AI7" s="1608"/>
      <c r="AJ7" s="1609"/>
    </row>
    <row r="8" spans="1:36" ht="25.5">
      <c r="A8" s="3265"/>
      <c r="B8" s="198" t="s">
        <v>2836</v>
      </c>
      <c r="C8" s="2751" t="s">
        <v>3066</v>
      </c>
      <c r="D8" s="920" t="s">
        <v>139</v>
      </c>
      <c r="E8" s="921" t="e">
        <f>ROUND(C11/E7,4)</f>
        <v>#DIV/0!</v>
      </c>
      <c r="F8" s="2752" t="s">
        <v>2837</v>
      </c>
      <c r="G8" s="2753"/>
      <c r="H8" s="2753"/>
      <c r="I8" s="2753"/>
      <c r="J8" s="2754"/>
      <c r="K8" s="1370"/>
      <c r="L8" s="2727"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8" t="s">
        <v>2839</v>
      </c>
      <c r="X8" s="3259"/>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65"/>
      <c r="B9" s="198" t="s">
        <v>2852</v>
      </c>
      <c r="C9" s="922">
        <f>SUMIF(修正!C59:C119,C8,修正!E59:E119)</f>
        <v>0</v>
      </c>
      <c r="D9" s="200" t="s">
        <v>140</v>
      </c>
      <c r="E9" s="200" t="e">
        <f>ROUND(C11/E7,4)</f>
        <v>#DIV/0!</v>
      </c>
      <c r="F9" s="2752" t="s">
        <v>2853</v>
      </c>
      <c r="G9" s="2753"/>
      <c r="H9" s="2753"/>
      <c r="I9" s="2753"/>
      <c r="J9" s="2754"/>
      <c r="K9" s="1370"/>
      <c r="L9" s="2727"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0"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5"/>
      <c r="B10" s="198" t="s">
        <v>2857</v>
      </c>
      <c r="C10" s="200">
        <f>SUMIF(修正!C59:C119,C8,修正!F59:F119)</f>
        <v>0</v>
      </c>
      <c r="D10" s="200" t="s">
        <v>141</v>
      </c>
      <c r="E10" s="200" t="e">
        <f>ROUND(C11/E7,4)</f>
        <v>#DIV/0!</v>
      </c>
      <c r="F10" s="2752" t="s">
        <v>2858</v>
      </c>
      <c r="G10" s="2753"/>
      <c r="H10" s="2753"/>
      <c r="I10" s="2753"/>
      <c r="J10" s="2754"/>
      <c r="K10" s="1370"/>
      <c r="L10" s="2727"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5"/>
      <c r="B11" s="2755" t="s">
        <v>2860</v>
      </c>
      <c r="C11" s="923">
        <f>C10/4</f>
        <v>0</v>
      </c>
      <c r="D11" s="923" t="s">
        <v>142</v>
      </c>
      <c r="E11" s="923" t="e">
        <f>ROUND(C11/E7,4)</f>
        <v>#DIV/0!</v>
      </c>
      <c r="F11" s="2756" t="s">
        <v>2861</v>
      </c>
      <c r="G11" s="2757"/>
      <c r="H11" s="2757"/>
      <c r="I11" s="2757"/>
      <c r="J11" s="2758"/>
      <c r="K11" s="1370"/>
      <c r="L11" s="2727"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0" t="s">
        <v>2863</v>
      </c>
      <c r="X11" s="1614" t="s">
        <v>2864</v>
      </c>
      <c r="Y11" s="1615">
        <f>$G$3</f>
        <v>4.54</v>
      </c>
      <c r="Z11" s="1615">
        <f t="shared" ref="Z11:AJ11" si="3">$G$3</f>
        <v>4.54</v>
      </c>
      <c r="AA11" s="1615">
        <f t="shared" si="3"/>
        <v>4.54</v>
      </c>
      <c r="AB11" s="1615">
        <f t="shared" si="3"/>
        <v>4.54</v>
      </c>
      <c r="AC11" s="1615">
        <f t="shared" si="3"/>
        <v>4.54</v>
      </c>
      <c r="AD11" s="1615">
        <f t="shared" si="3"/>
        <v>4.54</v>
      </c>
      <c r="AE11" s="1615">
        <f t="shared" si="3"/>
        <v>4.54</v>
      </c>
      <c r="AF11" s="1615">
        <f t="shared" si="3"/>
        <v>4.54</v>
      </c>
      <c r="AG11" s="1615">
        <f t="shared" si="3"/>
        <v>4.54</v>
      </c>
      <c r="AH11" s="1615">
        <f t="shared" si="3"/>
        <v>4.54</v>
      </c>
      <c r="AI11" s="1615">
        <f t="shared" si="3"/>
        <v>4.54</v>
      </c>
      <c r="AJ11" s="1615">
        <f t="shared" si="3"/>
        <v>4.54</v>
      </c>
    </row>
    <row r="12" spans="1:36" ht="25.5" thickBot="1">
      <c r="A12" s="3245" t="s">
        <v>2865</v>
      </c>
      <c r="B12" s="2759" t="s">
        <v>2866</v>
      </c>
      <c r="C12" s="919">
        <f>ROUND(C15*D15*E15*F15*G15*H15*I15*J15,4)</f>
        <v>1</v>
      </c>
      <c r="D12" s="2760" t="s">
        <v>2867</v>
      </c>
      <c r="E12" s="2761"/>
      <c r="F12" s="2761"/>
      <c r="G12" s="2762"/>
      <c r="H12" s="2762"/>
      <c r="I12" s="2762"/>
      <c r="J12" s="2763"/>
      <c r="K12" s="1370"/>
      <c r="L12" s="2764"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0"/>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6"/>
      <c r="B13" s="2765" t="s">
        <v>2870</v>
      </c>
      <c r="C13" s="2766" t="s">
        <v>2871</v>
      </c>
      <c r="D13" s="1808" t="s">
        <v>2872</v>
      </c>
      <c r="E13" s="1808" t="s">
        <v>2873</v>
      </c>
      <c r="F13" s="30" t="s">
        <v>2874</v>
      </c>
      <c r="G13" s="2767" t="s">
        <v>2875</v>
      </c>
      <c r="H13" s="2767" t="s">
        <v>2875</v>
      </c>
      <c r="I13" s="2767" t="s">
        <v>2875</v>
      </c>
      <c r="J13" s="2768" t="s">
        <v>2875</v>
      </c>
      <c r="K13" s="1370"/>
      <c r="L13" s="1370"/>
      <c r="M13" s="1370"/>
      <c r="N13" s="1370"/>
      <c r="O13" s="1370"/>
      <c r="P13" s="1370"/>
      <c r="Q13" s="1370"/>
      <c r="R13" s="1602">
        <v>12</v>
      </c>
      <c r="S13" s="1603"/>
      <c r="T13" s="1602">
        <f t="shared" ca="1" si="0"/>
        <v>0</v>
      </c>
      <c r="U13" s="1603"/>
      <c r="V13" s="1602">
        <f t="shared" ca="1" si="1"/>
        <v>0</v>
      </c>
      <c r="W13" s="3260"/>
      <c r="X13" s="1616"/>
      <c r="Y13" s="1613">
        <f>(-0.163*(Y12^2)-0.59*Y12+7617)*(10^(-4))/Y11</f>
        <v>0.16777533039647577</v>
      </c>
      <c r="Z13" s="1613">
        <f t="shared" ref="Z13:AJ13" si="5">(-0.163*(Z12^2)-0.59*Z12+7617)*(10^(-4))/Z11</f>
        <v>0.16777533039647577</v>
      </c>
      <c r="AA13" s="1613">
        <f t="shared" si="5"/>
        <v>0.16777533039647577</v>
      </c>
      <c r="AB13" s="1613">
        <f t="shared" si="5"/>
        <v>0.16777533039647577</v>
      </c>
      <c r="AC13" s="1613">
        <f t="shared" si="5"/>
        <v>0.16777533039647577</v>
      </c>
      <c r="AD13" s="1613">
        <f t="shared" si="5"/>
        <v>0.16777533039647577</v>
      </c>
      <c r="AE13" s="1613">
        <f t="shared" si="5"/>
        <v>0.16777533039647577</v>
      </c>
      <c r="AF13" s="1613">
        <f t="shared" si="5"/>
        <v>0.16777533039647577</v>
      </c>
      <c r="AG13" s="1613">
        <f t="shared" si="5"/>
        <v>0.16777533039647577</v>
      </c>
      <c r="AH13" s="1613">
        <f t="shared" si="5"/>
        <v>0.16777533039647577</v>
      </c>
      <c r="AI13" s="1613">
        <f t="shared" si="5"/>
        <v>0.16777533039647577</v>
      </c>
      <c r="AJ13" s="1613">
        <f t="shared" si="5"/>
        <v>0.16777533039647577</v>
      </c>
    </row>
    <row r="14" spans="1:36" ht="15">
      <c r="A14" s="3266"/>
      <c r="B14" s="2769"/>
      <c r="C14" s="2770"/>
      <c r="D14" s="2771"/>
      <c r="E14" s="2771"/>
      <c r="F14" s="2772"/>
      <c r="G14" s="2773" t="s">
        <v>2876</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7"/>
      <c r="B15" s="2777"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5" t="s">
        <v>2882</v>
      </c>
      <c r="B16" s="2746" t="s">
        <v>2883</v>
      </c>
      <c r="C16" s="2933">
        <f>ROUND(IF(F17="与级别开发程度一致",0,(G17-E17)/C17),0)</f>
        <v>0</v>
      </c>
      <c r="D16" s="3256" t="s">
        <v>2887</v>
      </c>
      <c r="E16" s="3257"/>
      <c r="F16" s="3256" t="s">
        <v>2884</v>
      </c>
      <c r="G16" s="3257"/>
      <c r="H16" s="2780"/>
      <c r="I16" s="2780"/>
      <c r="J16" s="2937"/>
      <c r="K16" s="2780"/>
      <c r="L16" s="2780"/>
      <c r="M16" s="2780"/>
      <c r="N16" s="2780"/>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6"/>
      <c r="B17" s="2944" t="s">
        <v>2886</v>
      </c>
      <c r="C17" s="2945">
        <f>SUMPRODUCT((修正!A2:A5=E2)*(修正!B1:M1=G2)*(修正!B2:M5))</f>
        <v>3.5</v>
      </c>
      <c r="D17" s="229" t="str">
        <f>IF(OR(G2="八级",G2="九级",G2="十级",G2="十一级",G2="十二级"),"五通一平","七通一平")</f>
        <v>七通一平</v>
      </c>
      <c r="E17" s="2934">
        <f>SUMPRODUCT((修正!B1:M1=G2)*(修正!B15:M15))</f>
        <v>375</v>
      </c>
      <c r="F17" s="2935" t="s">
        <v>3067</v>
      </c>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2889</v>
      </c>
      <c r="C18" s="2940">
        <f>SUMIF(修正!C18:C39,E3,修正!E18:E39)</f>
        <v>1.1000000000000001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2890</v>
      </c>
      <c r="C19" s="924">
        <f>ROUND(IF(H19="按公示增长率计算",SUMPRODUCT((地价!A3:A29=YEAR(G19)&amp;"-"&amp;ROUNDUP(MONTH(G19)/3,0))*(地价!X2:AB2=E2)*(地价!X3:AB29)),IF(H19="地价指数",M20/M19,(1+I19)^O19)),4)</f>
        <v>1.3649</v>
      </c>
      <c r="D19" s="2790" t="s">
        <v>2891</v>
      </c>
      <c r="E19" s="925">
        <v>41640</v>
      </c>
      <c r="F19" s="2790" t="s">
        <v>2892</v>
      </c>
      <c r="G19" s="926">
        <f>'数据-取费表'!B2</f>
        <v>43899</v>
      </c>
      <c r="H19" s="2791" t="s">
        <v>3068</v>
      </c>
      <c r="I19" s="927" t="str">
        <f>IF(H19="季度增幅（自定义）",SUMIF(N21:N24,E2,O21:O24),"")</f>
        <v/>
      </c>
      <c r="J19" s="2788"/>
      <c r="K19" s="1377"/>
      <c r="L19" s="2792" t="s">
        <v>2893</v>
      </c>
      <c r="M19" s="1734">
        <f>ROUND(SUMIF(地价!B2:F2,E2,地价!B29:F29),0)</f>
        <v>258</v>
      </c>
      <c r="N19" s="2793"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2895</v>
      </c>
      <c r="C20" s="929">
        <f ca="1">ROUND(POWER(1+G20,J20-I20)*(POWER(1+G20,I20)-1)/(POWER(1+G20,J20)-1),4)</f>
        <v>0.7833</v>
      </c>
      <c r="D20" s="2799" t="s">
        <v>2896</v>
      </c>
      <c r="E20" s="1768">
        <f ca="1">存贷款利率!D4/100</f>
        <v>4.3499999999999997E-2</v>
      </c>
      <c r="F20" s="2799" t="s">
        <v>2888</v>
      </c>
      <c r="G20" s="934">
        <f ca="1">SUMIF(M26:P26,E2,M28:P28)</f>
        <v>5.3999999999999999E-2</v>
      </c>
      <c r="H20" s="2799" t="s">
        <v>2897</v>
      </c>
      <c r="I20" s="935">
        <f>SUMIF('数据-取费表'!C6:C15,E2,'数据-取费表'!F6:F15)/COUNTIF('数据-取费表'!C6:C15,E2)</f>
        <v>22.13</v>
      </c>
      <c r="J20" s="936">
        <f>IF(E2="住宅",70,IF(E2="商业",40,50))</f>
        <v>40</v>
      </c>
      <c r="K20" s="1377"/>
      <c r="L20" s="2800" t="s">
        <v>2898</v>
      </c>
      <c r="M20" s="1735">
        <f>ROUND(SUMPRODUCT((地价!A4:A29=YEAR(G19)&amp;"-"&amp;ROUNDUP(MONTH(G19)/3,0))*(地价!B2:F2=E2)*(地价!B4:F29)),0)</f>
        <v>352</v>
      </c>
      <c r="N20" s="2801" t="s">
        <v>2899</v>
      </c>
      <c r="O20" s="2802" t="s">
        <v>2900</v>
      </c>
      <c r="P20" s="2803" t="s">
        <v>2901</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3069</v>
      </c>
      <c r="C21" s="937">
        <f>IF(B21="容积率修正",IF(G3&lt;=10,D22,J22),C23)</f>
        <v>0.94479999999999997</v>
      </c>
      <c r="D21" s="2806"/>
      <c r="E21" s="2806"/>
      <c r="F21" s="2806"/>
      <c r="G21" s="2806"/>
      <c r="H21" s="2806"/>
      <c r="I21" s="2806"/>
      <c r="J21" s="2807"/>
      <c r="K21" s="1377"/>
      <c r="N21" s="2808" t="s">
        <v>2902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9" customFormat="1" ht="14.25">
      <c r="A22" s="2665" t="s">
        <v>2903</v>
      </c>
      <c r="B22" s="2809" t="s">
        <v>2904</v>
      </c>
      <c r="C22" s="1810" t="s">
        <v>2905</v>
      </c>
      <c r="D22" s="1810">
        <f>IF(E22=G22,F22,IF(G3&lt;=10,ROUND(F22+(H22-F22)*(G3-E22)/(G22-E22),4),"——"))</f>
        <v>0.94479999999999997</v>
      </c>
      <c r="E22" s="916">
        <f>ROUNDDOWN(G3,1)</f>
        <v>4.5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0.94640000000000002</v>
      </c>
      <c r="G22" s="916">
        <f>ROUNDUP(G3,1)</f>
        <v>4.5999999999999996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0.94230000000000003</v>
      </c>
      <c r="I22" s="1810" t="s">
        <v>155</v>
      </c>
      <c r="J22" s="938" t="str">
        <f>IF(G3&gt;10,D113,"——")</f>
        <v>——</v>
      </c>
      <c r="K22" s="1377"/>
      <c r="N22" s="2808" t="s">
        <v>2906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5" t="s">
        <v>2907</v>
      </c>
      <c r="B23" s="2810" t="s">
        <v>2908</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2910</v>
      </c>
      <c r="C24" s="924">
        <f>SUMIF(A45:A88,E2,B45:B88)</f>
        <v>1</v>
      </c>
      <c r="D24" s="2787"/>
      <c r="E24" s="2816"/>
      <c r="F24" s="2816"/>
      <c r="G24" s="2816"/>
      <c r="H24" s="2816"/>
      <c r="I24" s="2816"/>
      <c r="J24" s="2817"/>
      <c r="K24" s="1377"/>
      <c r="N24" s="2818" t="s">
        <v>2911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2912</v>
      </c>
      <c r="C25" s="930"/>
      <c r="D25" s="2749"/>
      <c r="E25" s="2749"/>
      <c r="F25" s="2820"/>
      <c r="G25" s="2749"/>
      <c r="H25" s="2749"/>
      <c r="I25" s="2749"/>
      <c r="J25" s="2750"/>
      <c r="K25" s="1370"/>
      <c r="N25" s="2821" t="s">
        <v>2913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2"/>
      <c r="B26" s="2809" t="s">
        <v>2914</v>
      </c>
      <c r="C26" s="206">
        <f ca="1">E29+SUM(E33:E39)</f>
        <v>0</v>
      </c>
      <c r="D26" s="2823"/>
      <c r="E26" s="2774"/>
      <c r="F26" s="2824"/>
      <c r="G26" s="2774"/>
      <c r="H26" s="2774"/>
      <c r="I26" s="2774"/>
      <c r="J26" s="2825"/>
      <c r="K26" s="1370"/>
      <c r="L26" s="2778" t="s">
        <v>2813</v>
      </c>
      <c r="M26" s="920" t="s">
        <v>2878</v>
      </c>
      <c r="N26" s="920" t="s">
        <v>2879</v>
      </c>
      <c r="O26" s="920" t="s">
        <v>2880</v>
      </c>
      <c r="P26" s="2779" t="s">
        <v>2881</v>
      </c>
      <c r="R26" s="1376"/>
      <c r="S26" s="1376"/>
      <c r="T26" s="1371"/>
      <c r="U26" s="1371"/>
      <c r="V26" s="1371"/>
      <c r="W26" s="1370"/>
      <c r="X26" s="1370"/>
      <c r="Y26" s="1370"/>
      <c r="Z26" s="1377"/>
      <c r="AA26" s="1378"/>
      <c r="AB26" s="1378"/>
      <c r="AC26" s="1378"/>
      <c r="AD26" s="1378"/>
    </row>
    <row r="27" spans="1:37" ht="15.75" thickBot="1">
      <c r="A27" s="2822"/>
      <c r="B27" s="2826" t="s">
        <v>2915</v>
      </c>
      <c r="C27" s="931">
        <f ca="1">E30+SUM(I33:I39)</f>
        <v>0</v>
      </c>
      <c r="D27" s="2827"/>
      <c r="E27" s="2828"/>
      <c r="F27" s="2829"/>
      <c r="G27" s="2828"/>
      <c r="H27" s="2828"/>
      <c r="I27" s="2828"/>
      <c r="J27" s="2830"/>
      <c r="K27" s="1370"/>
      <c r="L27" s="2782"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2916</v>
      </c>
      <c r="C28" s="2833" t="s">
        <v>2917</v>
      </c>
      <c r="D28" s="2833" t="s">
        <v>2918</v>
      </c>
      <c r="E28" s="2834" t="s">
        <v>2919</v>
      </c>
      <c r="F28" s="2835"/>
      <c r="G28" s="2762"/>
      <c r="H28" s="2762"/>
      <c r="I28" s="2762"/>
      <c r="J28" s="2763"/>
      <c r="K28" s="1370"/>
      <c r="L28" s="2783"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2920</v>
      </c>
      <c r="C29" s="206">
        <f ca="1">ROUND(C5*C18*C19*C20*C21*C24,0)</f>
        <v>26034</v>
      </c>
      <c r="D29" s="2838"/>
      <c r="E29" s="942">
        <f ca="1">ROUND(C29*D29/10000,0)</f>
        <v>0</v>
      </c>
      <c r="F29" s="2839" t="s">
        <v>2921</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2922</v>
      </c>
      <c r="C30" s="229">
        <f ca="1">ROUND(IF(E2="工业",C29*M39,C29*M38),0)</f>
        <v>6509</v>
      </c>
      <c r="D30" s="2844"/>
      <c r="E30" s="942">
        <f ca="1">ROUND(C30*D30/10000,0)</f>
        <v>0</v>
      </c>
      <c r="F30" s="2845" t="s">
        <v>2923</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2924</v>
      </c>
      <c r="C31" s="2850" t="s">
        <v>2925</v>
      </c>
      <c r="D31" s="2762"/>
      <c r="E31" s="2850"/>
      <c r="F31" s="2850"/>
      <c r="G31" s="2760" t="s">
        <v>2926</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2917</v>
      </c>
      <c r="D32" s="498" t="s">
        <v>2918</v>
      </c>
      <c r="E32" s="498" t="s">
        <v>2919</v>
      </c>
      <c r="F32" s="388" t="s">
        <v>2927</v>
      </c>
      <c r="G32" s="2853" t="s">
        <v>2917</v>
      </c>
      <c r="H32" s="2853" t="s">
        <v>2918</v>
      </c>
      <c r="I32" s="2853"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53" t="s">
        <v>2928</v>
      </c>
      <c r="B33" s="2854" t="s">
        <v>2929</v>
      </c>
      <c r="C33" s="206">
        <f ca="1">ROUND(D5*C19*C20*C24*F33,0)</f>
        <v>20040</v>
      </c>
      <c r="D33" s="2838"/>
      <c r="E33" s="200">
        <f ca="1">ROUND(C33*D33/10000,0)</f>
        <v>0</v>
      </c>
      <c r="F33" s="200">
        <f>SUMIF(修正!A45:A56,G2,修正!B45:B56)</f>
        <v>0.8</v>
      </c>
      <c r="G33" s="200">
        <f t="shared" ref="G33" ca="1" si="6">ROUND(IF(E2="工业",C33*$M$39,C33*$M$38),0)</f>
        <v>5010</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4"/>
      <c r="B34" s="2766" t="s">
        <v>2930</v>
      </c>
      <c r="C34" s="206">
        <f ca="1">ROUND(D5*C19*C20*C24*F34,0)</f>
        <v>12525</v>
      </c>
      <c r="D34" s="2838"/>
      <c r="E34" s="200">
        <f t="shared" ref="E34:E39" ca="1" si="7">ROUND(C34*D34/10000,0)</f>
        <v>0</v>
      </c>
      <c r="F34" s="200">
        <f>SUMIF(修正!A45:A56,G2,修正!C45:C56)</f>
        <v>0.5</v>
      </c>
      <c r="G34" s="200">
        <f ca="1">ROUND(IF(E2="工业",C34*$M$39,C34*$M$38),0)</f>
        <v>3131</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4"/>
      <c r="B35" s="2766" t="s">
        <v>2931</v>
      </c>
      <c r="C35" s="206">
        <f ca="1">ROUND(D5*C19*C20*C24*F35,0)</f>
        <v>9018</v>
      </c>
      <c r="D35" s="2838"/>
      <c r="E35" s="200">
        <f t="shared" ca="1" si="7"/>
        <v>0</v>
      </c>
      <c r="F35" s="200">
        <f>SUMIF(修正!A45:A56,G2,修正!D45:D56)</f>
        <v>0.36</v>
      </c>
      <c r="G35" s="200">
        <f ca="1">ROUND(IF(E2="工业",C35*$M$39,C35*$M$38),0)</f>
        <v>2255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55"/>
      <c r="B36" s="2766" t="s">
        <v>2932</v>
      </c>
      <c r="C36" s="206">
        <f ca="1">ROUND(D5*C19*C20*C24*F36,0)</f>
        <v>7515</v>
      </c>
      <c r="D36" s="2838"/>
      <c r="E36" s="200">
        <f t="shared" ca="1" si="7"/>
        <v>0</v>
      </c>
      <c r="F36" s="200">
        <f>SUMIF(修正!A45:A56,G2,修正!E45:E56)</f>
        <v>0.3</v>
      </c>
      <c r="G36" s="200">
        <f ca="1">ROUND(IF(E2="工业",C36*$M$39,C36*$M$38),0)</f>
        <v>1879</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2933</v>
      </c>
      <c r="C37" s="200">
        <f ca="1">ROUND(D5*C19*C20*C24*F37,0)</f>
        <v>7515</v>
      </c>
      <c r="D37" s="2838"/>
      <c r="E37" s="200">
        <f t="shared" ca="1" si="7"/>
        <v>0</v>
      </c>
      <c r="F37" s="206">
        <f>SUMIF(修正!A45:A56,G2,修正!F45:F56)</f>
        <v>0.3</v>
      </c>
      <c r="G37" s="200">
        <f ca="1">ROUND(IF(E2="工业",C37*$M$39,C37*$M$38),0)</f>
        <v>1879</v>
      </c>
      <c r="H37" s="200">
        <f t="shared" si="8"/>
        <v>0</v>
      </c>
      <c r="I37" s="200">
        <f t="shared" ca="1" si="9"/>
        <v>0</v>
      </c>
      <c r="J37" s="2855"/>
      <c r="K37" s="1370"/>
      <c r="L37" s="2857" t="s">
        <v>2934</v>
      </c>
      <c r="M37" s="2858"/>
      <c r="N37" s="1370"/>
      <c r="O37" s="1370"/>
      <c r="P37" s="1370"/>
      <c r="Q37" s="1370"/>
      <c r="R37" s="1370"/>
      <c r="S37" s="1370"/>
      <c r="T37" s="1370"/>
      <c r="U37" s="1370"/>
      <c r="V37" s="1370"/>
      <c r="W37" s="1370"/>
      <c r="X37" s="1370"/>
      <c r="Y37" s="1370"/>
      <c r="Z37" s="1371"/>
    </row>
    <row r="38" spans="1:37">
      <c r="A38" s="2856"/>
      <c r="B38" s="2766" t="s">
        <v>2935</v>
      </c>
      <c r="C38" s="200">
        <f ca="1">ROUND(D5*C19*C41*C24*F38,0)</f>
        <v>0</v>
      </c>
      <c r="D38" s="2838"/>
      <c r="E38" s="200">
        <f t="shared" ca="1" si="7"/>
        <v>0</v>
      </c>
      <c r="F38" s="206">
        <f>SUMIF(修正!A45:A56,G2,修正!G45:G56)</f>
        <v>0.3</v>
      </c>
      <c r="G38" s="200">
        <f ca="1">ROUND(IF(E2="工业",C38*$M$39,C38*$M$38),0)</f>
        <v>0</v>
      </c>
      <c r="H38" s="200">
        <f t="shared" si="8"/>
        <v>0</v>
      </c>
      <c r="I38" s="200">
        <f t="shared" ca="1" si="9"/>
        <v>0</v>
      </c>
      <c r="J38" s="2855"/>
      <c r="K38" s="1370"/>
      <c r="L38" s="1887" t="s">
        <v>2936</v>
      </c>
      <c r="M38" s="2859">
        <v>0.25</v>
      </c>
      <c r="N38" s="1370"/>
      <c r="O38" s="1370"/>
      <c r="P38" s="1370"/>
      <c r="Q38" s="1370"/>
      <c r="R38" s="1370"/>
      <c r="S38" s="1370"/>
      <c r="T38" s="1370"/>
      <c r="U38" s="1370"/>
      <c r="V38" s="1370"/>
      <c r="W38" s="1370"/>
      <c r="X38" s="1370"/>
      <c r="Y38" s="1370"/>
      <c r="Z38" s="1371"/>
    </row>
    <row r="39" spans="1:37" ht="13.5" thickBot="1">
      <c r="A39" s="2842"/>
      <c r="B39" s="2860" t="s">
        <v>2937</v>
      </c>
      <c r="C39" s="229">
        <f ca="1">ROUND(D5*C19*C41*C24*F39,0)</f>
        <v>0</v>
      </c>
      <c r="D39" s="2844"/>
      <c r="E39" s="229">
        <f t="shared" ca="1" si="7"/>
        <v>0</v>
      </c>
      <c r="F39" s="932">
        <f>SUMIF(修正!A45:A56,G2,修正!H45:H56)</f>
        <v>0.25</v>
      </c>
      <c r="G39" s="229">
        <f ca="1">ROUND(IF(E2="工业",C39*$M$39,C39*$M$38),0)</f>
        <v>0</v>
      </c>
      <c r="H39" s="229">
        <f t="shared" si="8"/>
        <v>0</v>
      </c>
      <c r="I39" s="229">
        <f t="shared" ca="1" si="9"/>
        <v>0</v>
      </c>
      <c r="J39" s="2861"/>
      <c r="K39" s="1370"/>
      <c r="L39" s="2862" t="s">
        <v>2881</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v>
      </c>
      <c r="D41" s="200" t="s">
        <v>2888</v>
      </c>
      <c r="E41" s="2930">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2938</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2939</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2940</v>
      </c>
      <c r="B47" s="1809" t="s">
        <v>2941</v>
      </c>
      <c r="C47" s="1809" t="s">
        <v>2942</v>
      </c>
      <c r="D47" s="1809" t="s">
        <v>2943</v>
      </c>
      <c r="E47" s="819" t="s">
        <v>2944</v>
      </c>
      <c r="F47" s="2872" t="s">
        <v>2945</v>
      </c>
      <c r="G47" s="1809" t="s">
        <v>754</v>
      </c>
      <c r="H47" s="2873" t="s">
        <v>2946</v>
      </c>
      <c r="I47" s="1809"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1" t="s">
        <v>2948</v>
      </c>
      <c r="B48" s="2874" t="str">
        <f>估价对象房地状况!C4</f>
        <v>估价对象位于XX商圈，周边商业氛围成熟，人流量大，商业繁华度好</v>
      </c>
      <c r="C48" s="2771"/>
      <c r="D48" s="1286">
        <f t="shared" ref="D48:D56" si="10">SUMIF($J$47:$N$47,C48,J48:N48)</f>
        <v>0</v>
      </c>
      <c r="E48" s="821">
        <f>ROUND(SUM(D48:D56),4)</f>
        <v>0</v>
      </c>
      <c r="F48" s="2502">
        <f>IF(E2="商业",SUMIF(L1:L12,G2,N1:N12),"——")</f>
        <v>9.9000000000000005E-2</v>
      </c>
      <c r="G48" s="1284"/>
      <c r="H48" s="1288">
        <f t="shared" ref="H48:H56" si="11">IFERROR(ROUNDDOWN($F$48*I48/2,4),"——")</f>
        <v>1.6299999999999999E-2</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2949</v>
      </c>
      <c r="B49" s="2875" t="str">
        <f>估价对象房地状况!C18</f>
        <v>估价对象周边道路状况、公共交通通达情况、停车便捷程度，综合评价交通便捷度较好</v>
      </c>
      <c r="C49" s="2771"/>
      <c r="D49" s="1286">
        <f t="shared" si="10"/>
        <v>0</v>
      </c>
      <c r="E49" s="822"/>
      <c r="F49" s="2502"/>
      <c r="G49" s="1284"/>
      <c r="H49" s="1288">
        <f t="shared" si="11"/>
        <v>1.23E-2</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2950</v>
      </c>
      <c r="B50" s="2875">
        <f>估价对象房地状况!C19</f>
        <v>0</v>
      </c>
      <c r="C50" s="2771"/>
      <c r="D50" s="1286">
        <f t="shared" si="10"/>
        <v>0</v>
      </c>
      <c r="E50" s="822"/>
      <c r="F50" s="2502"/>
      <c r="G50" s="1284"/>
      <c r="H50" s="1288">
        <f t="shared" si="11"/>
        <v>2.3999999999999998E-3</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2951</v>
      </c>
      <c r="B51" s="2876" t="s">
        <v>2952</v>
      </c>
      <c r="C51" s="2771"/>
      <c r="D51" s="1286">
        <f t="shared" si="10"/>
        <v>0</v>
      </c>
      <c r="E51" s="822"/>
      <c r="F51" s="2502"/>
      <c r="G51" s="1284"/>
      <c r="H51" s="1288">
        <f t="shared" si="11"/>
        <v>2.3999999999999998E-3</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2953</v>
      </c>
      <c r="B52" s="2875">
        <f>估价对象房地状况!C24</f>
        <v>0</v>
      </c>
      <c r="C52" s="2771"/>
      <c r="D52" s="1286">
        <f t="shared" si="10"/>
        <v>0</v>
      </c>
      <c r="E52" s="822"/>
      <c r="F52" s="2502"/>
      <c r="G52" s="1284"/>
      <c r="H52" s="1288">
        <f t="shared" si="11"/>
        <v>3.8999999999999998E-3</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2954</v>
      </c>
      <c r="B53" s="2877" t="s">
        <v>2955</v>
      </c>
      <c r="C53" s="2771"/>
      <c r="D53" s="1286">
        <f t="shared" si="10"/>
        <v>0</v>
      </c>
      <c r="E53" s="822"/>
      <c r="F53" s="2502"/>
      <c r="G53" s="1284"/>
      <c r="H53" s="1288">
        <f t="shared" si="11"/>
        <v>1.4E-3</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2956</v>
      </c>
      <c r="B54" s="1725" t="str">
        <f>估价对象房地状况!C21</f>
        <v>估价对象所在区域公共配套设施齐备情况</v>
      </c>
      <c r="C54" s="2771"/>
      <c r="D54" s="1286">
        <f t="shared" si="10"/>
        <v>0</v>
      </c>
      <c r="E54" s="822"/>
      <c r="F54" s="2502"/>
      <c r="G54" s="1284"/>
      <c r="H54" s="1288">
        <f t="shared" si="11"/>
        <v>2.3999999999999998E-3</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2957</v>
      </c>
      <c r="B55" s="2875" t="str">
        <f>估价对象房地状况!C22</f>
        <v>估价对象所在区域基础设施水平</v>
      </c>
      <c r="C55" s="2771"/>
      <c r="D55" s="1286">
        <f t="shared" si="10"/>
        <v>0</v>
      </c>
      <c r="E55" s="822"/>
      <c r="F55" s="2502"/>
      <c r="G55" s="1284"/>
      <c r="H55" s="1288">
        <f t="shared" si="11"/>
        <v>4.8999999999999998E-3</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2958</v>
      </c>
      <c r="B56" s="2880" t="str">
        <f>估价对象房地状况!C20</f>
        <v>区域自然环境：；人文环境；综合评价环境状况一般</v>
      </c>
      <c r="C56" s="2771"/>
      <c r="D56" s="1286">
        <f t="shared" si="10"/>
        <v>0</v>
      </c>
      <c r="E56" s="825"/>
      <c r="F56" s="2502"/>
      <c r="G56" s="1284"/>
      <c r="H56" s="1288">
        <f t="shared" si="11"/>
        <v>2.8999999999999998E-3</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2959</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2940</v>
      </c>
      <c r="B58" s="1809"/>
      <c r="C58" s="1809" t="s">
        <v>2942</v>
      </c>
      <c r="D58" s="1809" t="s">
        <v>2943</v>
      </c>
      <c r="E58" s="819" t="s">
        <v>2944</v>
      </c>
      <c r="F58" s="2872" t="s">
        <v>2960</v>
      </c>
      <c r="G58" s="1809" t="s">
        <v>754</v>
      </c>
      <c r="H58" s="2873" t="s">
        <v>2946</v>
      </c>
      <c r="I58" s="1809"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1" t="s">
        <v>2961</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1" t="s">
        <v>2949</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2950</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2951</v>
      </c>
      <c r="B62" s="2876" t="s">
        <v>2952</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2953</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2954</v>
      </c>
      <c r="B64" s="2877" t="s">
        <v>2955</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1" t="s">
        <v>2956</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1" t="s">
        <v>2957</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9" t="s">
        <v>2958</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2962</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2940</v>
      </c>
      <c r="B69" s="1809"/>
      <c r="C69" s="1809" t="s">
        <v>2942</v>
      </c>
      <c r="D69" s="1809" t="s">
        <v>2943</v>
      </c>
      <c r="E69" s="819" t="s">
        <v>2944</v>
      </c>
      <c r="F69" s="2872" t="s">
        <v>2960</v>
      </c>
      <c r="G69" s="1809" t="s">
        <v>754</v>
      </c>
      <c r="H69" s="2873" t="s">
        <v>2946</v>
      </c>
      <c r="I69" s="1809"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1" t="s">
        <v>2963</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2949</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2950</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2964</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2956</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2957</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2954</v>
      </c>
      <c r="B76" s="2877" t="s">
        <v>2955</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2958</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2965</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2966</v>
      </c>
      <c r="B79" s="2868">
        <f>1+E81</f>
        <v>1</v>
      </c>
      <c r="C79" s="814"/>
      <c r="D79" s="814"/>
      <c r="E79" s="815"/>
      <c r="F79" s="2870"/>
      <c r="G79" s="6"/>
      <c r="H79" s="6"/>
      <c r="I79" s="6"/>
      <c r="J79" s="7"/>
      <c r="K79" s="7"/>
      <c r="L79" s="7"/>
      <c r="M79" s="7"/>
      <c r="N79" s="7"/>
      <c r="Z79" s="2721"/>
      <c r="AA79" s="2789"/>
      <c r="AG79" s="1372"/>
      <c r="AK79" s="2789"/>
    </row>
    <row r="80" spans="1:37" ht="24.75">
      <c r="A80" s="2871" t="s">
        <v>2940</v>
      </c>
      <c r="B80" s="1809"/>
      <c r="C80" s="1809" t="s">
        <v>2942</v>
      </c>
      <c r="D80" s="1809" t="s">
        <v>2943</v>
      </c>
      <c r="E80" s="819" t="s">
        <v>2944</v>
      </c>
      <c r="F80" s="2872" t="s">
        <v>2960</v>
      </c>
      <c r="G80" s="1809" t="s">
        <v>754</v>
      </c>
      <c r="H80" s="2873" t="s">
        <v>2946</v>
      </c>
      <c r="I80" s="1809" t="s">
        <v>2947</v>
      </c>
      <c r="J80" s="603" t="s">
        <v>2596</v>
      </c>
      <c r="K80" s="603" t="s">
        <v>2597</v>
      </c>
      <c r="L80" s="603" t="s">
        <v>2598</v>
      </c>
      <c r="M80" s="603" t="s">
        <v>2599</v>
      </c>
      <c r="N80" s="603" t="s">
        <v>2600</v>
      </c>
      <c r="Z80" s="2721"/>
      <c r="AA80" s="2789"/>
      <c r="AG80" s="1372"/>
      <c r="AK80" s="2789"/>
    </row>
    <row r="81" spans="1:37" ht="38.25">
      <c r="A81" s="2871" t="s">
        <v>2967</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2949</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2950</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2964</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2956</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2957</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2954</v>
      </c>
      <c r="B87" s="2877" t="s">
        <v>2968</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2969</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47" t="s">
        <v>2970</v>
      </c>
      <c r="B90" s="3247"/>
      <c r="C90" s="3247"/>
      <c r="D90" s="3247"/>
      <c r="E90" s="3247"/>
      <c r="F90" s="3247"/>
      <c r="G90" s="3247"/>
      <c r="H90" s="3247"/>
      <c r="I90" s="3247"/>
      <c r="J90" s="3247"/>
      <c r="K90" s="2885"/>
      <c r="L90" s="2885"/>
      <c r="M90" s="2885"/>
      <c r="N90" s="2885"/>
    </row>
    <row r="91" spans="1:37">
      <c r="A91" s="3249" t="s">
        <v>2971</v>
      </c>
      <c r="B91" s="3249" t="s">
        <v>2972</v>
      </c>
      <c r="C91" s="2839" t="s">
        <v>2973</v>
      </c>
      <c r="D91" s="2840"/>
      <c r="E91" s="2840"/>
      <c r="F91" s="2840"/>
      <c r="G91" s="2840"/>
      <c r="H91" s="2840"/>
      <c r="I91" s="2840"/>
      <c r="J91" s="2886"/>
      <c r="K91" s="2887"/>
      <c r="L91" s="2887"/>
      <c r="M91" s="2887"/>
      <c r="N91" s="2887"/>
    </row>
    <row r="92" spans="1:37">
      <c r="A92" s="3249"/>
      <c r="B92" s="324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50" t="s">
        <v>2974</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1"/>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1"/>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1"/>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1"/>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1"/>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1"/>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52"/>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50" t="s">
        <v>2975</v>
      </c>
      <c r="B101" s="2892" t="s">
        <v>2976</v>
      </c>
      <c r="C101" s="2893">
        <f>$G$3</f>
        <v>4.54</v>
      </c>
      <c r="D101" s="2893">
        <f t="shared" ref="D101:N101" si="31">$G$3</f>
        <v>4.54</v>
      </c>
      <c r="E101" s="2893">
        <f t="shared" si="31"/>
        <v>4.54</v>
      </c>
      <c r="F101" s="2893">
        <f t="shared" si="31"/>
        <v>4.54</v>
      </c>
      <c r="G101" s="2893">
        <f t="shared" si="31"/>
        <v>4.54</v>
      </c>
      <c r="H101" s="2893">
        <f t="shared" si="31"/>
        <v>4.54</v>
      </c>
      <c r="I101" s="2893">
        <f t="shared" si="31"/>
        <v>4.54</v>
      </c>
      <c r="J101" s="2893">
        <f t="shared" si="31"/>
        <v>4.54</v>
      </c>
      <c r="K101" s="2893">
        <f t="shared" si="31"/>
        <v>4.54</v>
      </c>
      <c r="L101" s="2893">
        <f t="shared" si="31"/>
        <v>4.54</v>
      </c>
      <c r="M101" s="2893">
        <f t="shared" si="31"/>
        <v>4.54</v>
      </c>
      <c r="N101" s="2893">
        <f t="shared" si="31"/>
        <v>4.54</v>
      </c>
    </row>
    <row r="102" spans="1:14">
      <c r="A102" s="3251"/>
      <c r="B102" s="2888">
        <v>1</v>
      </c>
      <c r="C102" s="2889">
        <f>1.9362/C101</f>
        <v>0.42647577092511013</v>
      </c>
      <c r="D102" s="2889">
        <f>1.9362/D101</f>
        <v>0.42647577092511013</v>
      </c>
      <c r="E102" s="2889">
        <f>1.8629/E101</f>
        <v>0.41033039647577091</v>
      </c>
      <c r="F102" s="2889">
        <f>1.8629/F101</f>
        <v>0.41033039647577091</v>
      </c>
      <c r="G102" s="2889">
        <f>1.8629/G101</f>
        <v>0.41033039647577091</v>
      </c>
      <c r="H102" s="2889">
        <f>1.8629/H101</f>
        <v>0.41033039647577091</v>
      </c>
      <c r="I102" s="2889">
        <f>1.8629/I101</f>
        <v>0.41033039647577091</v>
      </c>
      <c r="J102" s="2889">
        <f>1.942/J101</f>
        <v>0.42775330396475769</v>
      </c>
      <c r="K102" s="2889">
        <f>1.942/K101</f>
        <v>0.42775330396475769</v>
      </c>
      <c r="L102" s="2889">
        <f>1.942/L101</f>
        <v>0.42775330396475769</v>
      </c>
      <c r="M102" s="2889">
        <f>1.942/M101</f>
        <v>0.42775330396475769</v>
      </c>
      <c r="N102" s="2889">
        <f>1.942/N101</f>
        <v>0.42775330396475769</v>
      </c>
    </row>
    <row r="103" spans="1:14">
      <c r="A103" s="3251"/>
      <c r="B103" s="2888">
        <v>2</v>
      </c>
      <c r="C103" s="2889">
        <f>1.4198/C101</f>
        <v>0.31273127753303964</v>
      </c>
      <c r="D103" s="2889">
        <f>1.4198/D101</f>
        <v>0.31273127753303964</v>
      </c>
      <c r="E103" s="2889">
        <f>1.3372/E101</f>
        <v>0.2945374449339207</v>
      </c>
      <c r="F103" s="2889">
        <f>1.3372/F101</f>
        <v>0.2945374449339207</v>
      </c>
      <c r="G103" s="2889">
        <f>1.3372/G101</f>
        <v>0.2945374449339207</v>
      </c>
      <c r="H103" s="2889">
        <f>1.3372/H101</f>
        <v>0.2945374449339207</v>
      </c>
      <c r="I103" s="2889">
        <f>1.3372/I101</f>
        <v>0.2945374449339207</v>
      </c>
      <c r="J103" s="2889">
        <f>1.2799/J101</f>
        <v>0.28191629955947139</v>
      </c>
      <c r="K103" s="2889">
        <f>1.2799/K101</f>
        <v>0.28191629955947139</v>
      </c>
      <c r="L103" s="2889">
        <f>1.2799/L101</f>
        <v>0.28191629955947139</v>
      </c>
      <c r="M103" s="2889">
        <f>1.2799/M101</f>
        <v>0.28191629955947139</v>
      </c>
      <c r="N103" s="2889">
        <f>1.2799/N101</f>
        <v>0.28191629955947139</v>
      </c>
    </row>
    <row r="104" spans="1:14">
      <c r="A104" s="3251"/>
      <c r="B104" s="2888">
        <v>3</v>
      </c>
      <c r="C104" s="2889">
        <f>1.1594/C101</f>
        <v>0.25537444933920705</v>
      </c>
      <c r="D104" s="2889">
        <f>1.1594/D101</f>
        <v>0.25537444933920705</v>
      </c>
      <c r="E104" s="2889">
        <f>1.0788/E101</f>
        <v>0.23762114537444934</v>
      </c>
      <c r="F104" s="2889">
        <f>1.0788/F101</f>
        <v>0.23762114537444934</v>
      </c>
      <c r="G104" s="2889">
        <f>1.0788/G101</f>
        <v>0.23762114537444934</v>
      </c>
      <c r="H104" s="2889">
        <f>1.0788/H101</f>
        <v>0.23762114537444934</v>
      </c>
      <c r="I104" s="2889">
        <f>1.0788/I101</f>
        <v>0.23762114537444934</v>
      </c>
      <c r="J104" s="2889">
        <f>1.0072/J101</f>
        <v>0.22185022026431719</v>
      </c>
      <c r="K104" s="2889">
        <f>1.0072/K101</f>
        <v>0.22185022026431719</v>
      </c>
      <c r="L104" s="2889">
        <f>1.0072/L101</f>
        <v>0.22185022026431719</v>
      </c>
      <c r="M104" s="2889">
        <f>1.0072/M101</f>
        <v>0.22185022026431719</v>
      </c>
      <c r="N104" s="2889">
        <f>1.0072/N101</f>
        <v>0.22185022026431719</v>
      </c>
    </row>
    <row r="105" spans="1:14">
      <c r="A105" s="3251"/>
      <c r="B105" s="2888">
        <v>4</v>
      </c>
      <c r="C105" s="2889">
        <f>0.9622/C101</f>
        <v>0.21193832599118945</v>
      </c>
      <c r="D105" s="2889">
        <f>0.9622/D101</f>
        <v>0.21193832599118945</v>
      </c>
      <c r="E105" s="2889">
        <f>0.8656/E101</f>
        <v>0.19066079295154187</v>
      </c>
      <c r="F105" s="2889">
        <f>0.8656/F101</f>
        <v>0.19066079295154187</v>
      </c>
      <c r="G105" s="2889">
        <f>0.8656/G101</f>
        <v>0.19066079295154187</v>
      </c>
      <c r="H105" s="2889">
        <f>0.8656/H101</f>
        <v>0.19066079295154187</v>
      </c>
      <c r="I105" s="2889">
        <f>0.8656/I101</f>
        <v>0.19066079295154187</v>
      </c>
      <c r="J105" s="2889">
        <f>0.7525/J101</f>
        <v>0.16574889867841408</v>
      </c>
      <c r="K105" s="2889">
        <f>0.7525/K101</f>
        <v>0.16574889867841408</v>
      </c>
      <c r="L105" s="2889">
        <f>0.7525/L101</f>
        <v>0.16574889867841408</v>
      </c>
      <c r="M105" s="2889">
        <f>0.7525/M101</f>
        <v>0.16574889867841408</v>
      </c>
      <c r="N105" s="2889">
        <f>0.7525/N101</f>
        <v>0.16574889867841408</v>
      </c>
    </row>
    <row r="106" spans="1:14">
      <c r="A106" s="3251"/>
      <c r="B106" s="2888">
        <v>5</v>
      </c>
      <c r="C106" s="2889">
        <f>0.8417/C101</f>
        <v>0.18539647577092511</v>
      </c>
      <c r="D106" s="2889">
        <f>0.8417/D101</f>
        <v>0.18539647577092511</v>
      </c>
      <c r="E106" s="2889">
        <f>0.7371/E101</f>
        <v>0.1623568281938326</v>
      </c>
      <c r="F106" s="2889">
        <f>0.7371/F101</f>
        <v>0.1623568281938326</v>
      </c>
      <c r="G106" s="2889">
        <f>0.7371/G101</f>
        <v>0.1623568281938326</v>
      </c>
      <c r="H106" s="2889">
        <f>0.7371/H101</f>
        <v>0.1623568281938326</v>
      </c>
      <c r="I106" s="2889">
        <f>0.7371/I101</f>
        <v>0.1623568281938326</v>
      </c>
      <c r="J106" s="2889">
        <f>0.5659/J101</f>
        <v>0.12464757709251101</v>
      </c>
      <c r="K106" s="2889">
        <f>0.5659/K101</f>
        <v>0.12464757709251101</v>
      </c>
      <c r="L106" s="2889">
        <f>0.5659/L101</f>
        <v>0.12464757709251101</v>
      </c>
      <c r="M106" s="2889">
        <f>0.5659/M101</f>
        <v>0.12464757709251101</v>
      </c>
      <c r="N106" s="2889">
        <f>0.5659/N101</f>
        <v>0.12464757709251101</v>
      </c>
    </row>
    <row r="107" spans="1:14">
      <c r="A107" s="3251"/>
      <c r="B107" s="2888">
        <v>6</v>
      </c>
      <c r="C107" s="2889">
        <f>0.7608/C101</f>
        <v>0.16757709251101321</v>
      </c>
      <c r="D107" s="2889">
        <f>0.7608/D101</f>
        <v>0.16757709251101321</v>
      </c>
      <c r="E107" s="2889">
        <f>0.6482/E101</f>
        <v>0.14277533039647577</v>
      </c>
      <c r="F107" s="2889">
        <f>0.6482/F101</f>
        <v>0.14277533039647577</v>
      </c>
      <c r="G107" s="2889">
        <f>0.6482/G101</f>
        <v>0.14277533039647577</v>
      </c>
      <c r="H107" s="2889">
        <f>0.6482/H101</f>
        <v>0.14277533039647577</v>
      </c>
      <c r="I107" s="2889">
        <f>0.6482/I101</f>
        <v>0.14277533039647577</v>
      </c>
      <c r="J107" s="2889">
        <f>0.4525/J101</f>
        <v>9.9669603524229072E-2</v>
      </c>
      <c r="K107" s="2889">
        <f>0.4525/K101</f>
        <v>9.9669603524229072E-2</v>
      </c>
      <c r="L107" s="2889">
        <f>0.4525/L101</f>
        <v>9.9669603524229072E-2</v>
      </c>
      <c r="M107" s="2889">
        <f>0.4525/M101</f>
        <v>9.9669603524229072E-2</v>
      </c>
      <c r="N107" s="2889">
        <f>0.4525/N101</f>
        <v>9.9669603524229072E-2</v>
      </c>
    </row>
    <row r="108" spans="1:14">
      <c r="A108" s="3251"/>
      <c r="B108" s="3079" t="s">
        <v>2977</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52"/>
      <c r="B109" s="3080"/>
      <c r="C109" s="2891">
        <f>(-0.163*(C108^2)-0.59*C108+7617)*(10^(-4))/C101</f>
        <v>0.16777533039647577</v>
      </c>
      <c r="D109" s="2891">
        <f>(-0.163*(D108^2)-0.59*D108+7617)*(10^(-4))/D101</f>
        <v>0.16777533039647577</v>
      </c>
      <c r="E109" s="2891">
        <f>(-0.161*(E108^2)-7.509*E108+6533)*(10^(-4))/E101</f>
        <v>0.14389867841409693</v>
      </c>
      <c r="F109" s="2891">
        <f>(-0.161*(F108^2)-7.509*F108+6533)*(10^(-4))/F101</f>
        <v>0.14389867841409693</v>
      </c>
      <c r="G109" s="2891">
        <f>(-0.161*(G108^2)-7.509*G108+6533)*(10^(-4))/G101</f>
        <v>0.14389867841409693</v>
      </c>
      <c r="H109" s="2891">
        <f>(-0.161*(H108^2)-7.509*H108+6533)*(10^(-4))/H101</f>
        <v>0.14389867841409693</v>
      </c>
      <c r="I109" s="2891">
        <f>(-0.161*(I108^2)-7.509*I108+6533)*(10^(-4))/I101</f>
        <v>0.14389867841409693</v>
      </c>
      <c r="J109" s="2891">
        <f>(-0.214*(J108^2)-21.991*J108+4665)*(10^(-4))/J101</f>
        <v>0.10275330396475771</v>
      </c>
      <c r="K109" s="2891">
        <f>(-0.214*(K108^2)-21.991*K108+4665)*(10^(-4))/K101</f>
        <v>0.10275330396475771</v>
      </c>
      <c r="L109" s="2891">
        <f>(-0.214*(L108^2)-21.991*L108+4665)*(10^(-4))/L101</f>
        <v>0.10275330396475771</v>
      </c>
      <c r="M109" s="2891">
        <f>(-0.214*(M108^2)-21.991*M108+4665)*(10^(-4))/M101</f>
        <v>0.10275330396475771</v>
      </c>
      <c r="N109" s="2891">
        <f>(-0.214*(N108^2)-21.991*N108+4665)*(10^(-4))/N101</f>
        <v>0.10275330396475771</v>
      </c>
    </row>
    <row r="110" spans="1:14">
      <c r="A110" s="3248" t="s">
        <v>2978</v>
      </c>
      <c r="B110" s="3248"/>
      <c r="C110" s="3248"/>
      <c r="D110" s="3248"/>
      <c r="E110" s="3248"/>
      <c r="F110" s="3248"/>
      <c r="G110" s="3248"/>
      <c r="H110" s="3248"/>
      <c r="I110" s="3248"/>
      <c r="J110" s="3248"/>
      <c r="K110" s="2894"/>
      <c r="L110" s="2894"/>
      <c r="M110" s="2894"/>
      <c r="N110" s="2894"/>
    </row>
    <row r="112" spans="1:14" ht="13.5" thickBot="1"/>
    <row r="113" spans="1:13" ht="25.5" thickBot="1">
      <c r="A113" s="903" t="s">
        <v>2979</v>
      </c>
      <c r="B113" s="1287">
        <f>G3</f>
        <v>4.54</v>
      </c>
      <c r="C113" s="904" t="s">
        <v>2980</v>
      </c>
      <c r="D113" s="905">
        <f>SUMPRODUCT((A115:A118=F113)*(B114:M114=H113)*B115:M118)</f>
        <v>0.89080000000000004</v>
      </c>
      <c r="E113" s="2725" t="s">
        <v>2813</v>
      </c>
      <c r="F113" s="2896" t="str">
        <f>E2</f>
        <v>商业</v>
      </c>
      <c r="G113" s="2725" t="s">
        <v>2814</v>
      </c>
      <c r="H113" s="2896" t="str">
        <f>G2</f>
        <v>二级</v>
      </c>
      <c r="I113" s="2725"/>
      <c r="J113" s="2897"/>
      <c r="K113" s="2897"/>
      <c r="L113" s="2897"/>
      <c r="M113" s="2897"/>
    </row>
    <row r="114" spans="1:13">
      <c r="A114" s="908"/>
      <c r="B114" s="2898" t="s">
        <v>2981</v>
      </c>
      <c r="C114" s="2898" t="s">
        <v>2982</v>
      </c>
      <c r="D114" s="2898" t="s">
        <v>2983</v>
      </c>
      <c r="E114" s="2899" t="s">
        <v>2984</v>
      </c>
      <c r="F114" s="2899" t="s">
        <v>2985</v>
      </c>
      <c r="G114" s="2899" t="s">
        <v>2986</v>
      </c>
      <c r="H114" s="2900" t="s">
        <v>2987</v>
      </c>
      <c r="I114" s="2900" t="s">
        <v>2988</v>
      </c>
      <c r="J114" s="2901" t="s">
        <v>2989</v>
      </c>
      <c r="K114" s="2901" t="s">
        <v>2990</v>
      </c>
      <c r="L114" s="2901" t="s">
        <v>2991</v>
      </c>
      <c r="M114" s="2902" t="s">
        <v>2992</v>
      </c>
    </row>
    <row r="115" spans="1:13">
      <c r="A115" s="909" t="s">
        <v>2878</v>
      </c>
      <c r="B115" s="910">
        <f>ROUND(0.9335-0.0094*B113,4)</f>
        <v>0.89080000000000004</v>
      </c>
      <c r="C115" s="910">
        <f>B115</f>
        <v>0.89080000000000004</v>
      </c>
      <c r="D115" s="910">
        <f>ROUND(0.8331-0.0109*B113,4)</f>
        <v>0.78359999999999996</v>
      </c>
      <c r="E115" s="910">
        <f>D115</f>
        <v>0.78359999999999996</v>
      </c>
      <c r="F115" s="910">
        <f>E115</f>
        <v>0.78359999999999996</v>
      </c>
      <c r="G115" s="910">
        <f>F115</f>
        <v>0.78359999999999996</v>
      </c>
      <c r="H115" s="910">
        <f>G115</f>
        <v>0.78359999999999996</v>
      </c>
      <c r="I115" s="910">
        <f>ROUND(0.689-0.0155*B113,4)</f>
        <v>0.61860000000000004</v>
      </c>
      <c r="J115" s="910">
        <f t="shared" ref="J115:M118" si="33">I115</f>
        <v>0.61860000000000004</v>
      </c>
      <c r="K115" s="910">
        <f t="shared" si="33"/>
        <v>0.61860000000000004</v>
      </c>
      <c r="L115" s="910">
        <f t="shared" si="33"/>
        <v>0.61860000000000004</v>
      </c>
      <c r="M115" s="911">
        <f t="shared" si="33"/>
        <v>0.61860000000000004</v>
      </c>
    </row>
    <row r="116" spans="1:13">
      <c r="A116" s="909" t="s">
        <v>2879</v>
      </c>
      <c r="B116" s="910">
        <f>ROUND(0.949-0.012*B113,4)</f>
        <v>0.89449999999999996</v>
      </c>
      <c r="C116" s="910">
        <f>B116</f>
        <v>0.89449999999999996</v>
      </c>
      <c r="D116" s="910">
        <f>ROUND(0.8567-0.013*B113,4)</f>
        <v>0.79769999999999996</v>
      </c>
      <c r="E116" s="910">
        <f t="shared" ref="E116:H117" si="34">D116</f>
        <v>0.79769999999999996</v>
      </c>
      <c r="F116" s="910">
        <f t="shared" si="34"/>
        <v>0.79769999999999996</v>
      </c>
      <c r="G116" s="910">
        <f t="shared" si="34"/>
        <v>0.79769999999999996</v>
      </c>
      <c r="H116" s="910">
        <f t="shared" si="34"/>
        <v>0.79769999999999996</v>
      </c>
      <c r="I116" s="910">
        <f>ROUND(0.7694-0.014*B113,4)</f>
        <v>0.70579999999999998</v>
      </c>
      <c r="J116" s="910">
        <f t="shared" si="33"/>
        <v>0.70579999999999998</v>
      </c>
      <c r="K116" s="910">
        <f t="shared" si="33"/>
        <v>0.70579999999999998</v>
      </c>
      <c r="L116" s="910">
        <f t="shared" si="33"/>
        <v>0.70579999999999998</v>
      </c>
      <c r="M116" s="911">
        <f t="shared" si="33"/>
        <v>0.70579999999999998</v>
      </c>
    </row>
    <row r="117" spans="1:13">
      <c r="A117" s="909" t="s">
        <v>2880</v>
      </c>
      <c r="B117" s="910">
        <f>ROUND(0.8808-0.006*B113,4)</f>
        <v>0.85360000000000003</v>
      </c>
      <c r="C117" s="910">
        <f>B117</f>
        <v>0.85360000000000003</v>
      </c>
      <c r="D117" s="910">
        <f>ROUND(0.8748-0.008*B113,4)</f>
        <v>0.83850000000000002</v>
      </c>
      <c r="E117" s="910">
        <f t="shared" si="34"/>
        <v>0.83850000000000002</v>
      </c>
      <c r="F117" s="910">
        <f t="shared" si="34"/>
        <v>0.83850000000000002</v>
      </c>
      <c r="G117" s="910">
        <f t="shared" si="34"/>
        <v>0.83850000000000002</v>
      </c>
      <c r="H117" s="910">
        <f t="shared" si="34"/>
        <v>0.83850000000000002</v>
      </c>
      <c r="I117" s="910">
        <f>ROUND(0.7412-0.0095*B113,4)</f>
        <v>0.69810000000000005</v>
      </c>
      <c r="J117" s="910">
        <f t="shared" si="33"/>
        <v>0.69810000000000005</v>
      </c>
      <c r="K117" s="910">
        <f t="shared" si="33"/>
        <v>0.69810000000000005</v>
      </c>
      <c r="L117" s="910">
        <f t="shared" si="33"/>
        <v>0.69810000000000005</v>
      </c>
      <c r="M117" s="911">
        <f t="shared" si="33"/>
        <v>0.69810000000000005</v>
      </c>
    </row>
    <row r="118" spans="1:13" ht="13.5" thickBot="1">
      <c r="A118" s="714" t="s">
        <v>2881</v>
      </c>
      <c r="B118" s="912">
        <f>ROUND(0.7275-0.01*B113,4)</f>
        <v>0.68210000000000004</v>
      </c>
      <c r="C118" s="912">
        <f>B118</f>
        <v>0.68210000000000004</v>
      </c>
      <c r="D118" s="912">
        <f>ROUND(0.7043-0.012*B113,4)</f>
        <v>0.64980000000000004</v>
      </c>
      <c r="E118" s="912">
        <f>D118</f>
        <v>0.64980000000000004</v>
      </c>
      <c r="F118" s="912">
        <f>E118</f>
        <v>0.64980000000000004</v>
      </c>
      <c r="G118" s="912">
        <f>ROUND(0.6299-0.0122*B113,4)</f>
        <v>0.57450000000000001</v>
      </c>
      <c r="H118" s="912">
        <f>G118</f>
        <v>0.57450000000000001</v>
      </c>
      <c r="I118" s="912">
        <f>ROUND(0.5667-0.0136*B113,4)</f>
        <v>0.505</v>
      </c>
      <c r="J118" s="912">
        <f t="shared" si="33"/>
        <v>0.505</v>
      </c>
      <c r="K118" s="912">
        <f t="shared" si="33"/>
        <v>0.505</v>
      </c>
      <c r="L118" s="912">
        <f t="shared" si="33"/>
        <v>0.505</v>
      </c>
      <c r="M118" s="913">
        <f t="shared" si="33"/>
        <v>0.505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0.9385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3001</v>
      </c>
    </row>
    <row r="2" spans="1:5" ht="15.75">
      <c r="A2" s="2903" t="s">
        <v>2993</v>
      </c>
      <c r="B2" s="2904">
        <f ca="1">SUMIF(B6:B13,"&lt;&gt;#ref!",B6:B13)</f>
        <v>0</v>
      </c>
      <c r="C2" s="2903" t="s">
        <v>2994</v>
      </c>
      <c r="D2" s="2903" t="s">
        <v>2995</v>
      </c>
      <c r="E2" s="2904">
        <f ca="1">SUMIF(E6:E13,"&lt;&gt;#ref!",E6:E13)</f>
        <v>0</v>
      </c>
    </row>
    <row r="3" spans="1:5" ht="15.75">
      <c r="A3" s="2903" t="s">
        <v>2996</v>
      </c>
      <c r="B3" s="2904" t="e">
        <f ca="1">ROUND(B2*10000/E2,0)</f>
        <v>#DIV/0!</v>
      </c>
      <c r="C3" s="2903" t="s">
        <v>3002</v>
      </c>
      <c r="D3" s="2905"/>
      <c r="E3" s="2905"/>
    </row>
    <row r="4" spans="1:5" ht="15.75">
      <c r="A4" s="2906"/>
      <c r="B4" s="2905"/>
      <c r="C4" s="2905"/>
      <c r="D4" s="2905"/>
      <c r="E4" s="2905"/>
    </row>
    <row r="5" spans="1:5" ht="28.5">
      <c r="A5" s="2907" t="s">
        <v>2997</v>
      </c>
      <c r="B5" s="2903" t="s">
        <v>2998</v>
      </c>
      <c r="C5" s="2904"/>
      <c r="D5" s="2905"/>
      <c r="E5" s="2903" t="s">
        <v>2999</v>
      </c>
    </row>
    <row r="6" spans="1:5" ht="15.75">
      <c r="A6" s="2908" t="s">
        <v>3000</v>
      </c>
      <c r="B6" s="2904">
        <f ca="1">SUMIF(INDIRECT("'"&amp;A6&amp;"'"&amp;"!A:A"),"总价",INDIRECT("'"&amp;A6&amp;"'"&amp;"!B:B"))</f>
        <v>0</v>
      </c>
      <c r="C6" s="2903" t="s">
        <v>2994</v>
      </c>
      <c r="D6" s="2905"/>
      <c r="E6" s="2576">
        <f ca="1">SUMIF(INDIRECT("'"&amp;A6&amp;"'"&amp;"!C:C"),"建筑面积",INDIRECT("'"&amp;A6&amp;"'"&amp;"!D:D"))</f>
        <v>0</v>
      </c>
    </row>
    <row r="7" spans="1:5" ht="15.75">
      <c r="A7" s="2908"/>
      <c r="B7" s="2904" t="e">
        <f ca="1">SUMIF(INDIRECT("'"&amp;A7&amp;"'"&amp;"!A:A"),"总价",INDIRECT("'"&amp;A7&amp;"'"&amp;"!B:B"))</f>
        <v>#REF!</v>
      </c>
      <c r="C7" s="2903" t="s">
        <v>2994</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2994</v>
      </c>
      <c r="D8" s="2905"/>
      <c r="E8" s="2576" t="e">
        <f t="shared" ca="1" si="0"/>
        <v>#REF!</v>
      </c>
    </row>
    <row r="9" spans="1:5" ht="15.75">
      <c r="A9" s="2908"/>
      <c r="B9" s="2904" t="e">
        <f t="shared" ca="1" si="1"/>
        <v>#REF!</v>
      </c>
      <c r="C9" s="2903" t="s">
        <v>2994</v>
      </c>
      <c r="D9" s="2905"/>
      <c r="E9" s="2576" t="e">
        <f t="shared" ca="1" si="0"/>
        <v>#REF!</v>
      </c>
    </row>
    <row r="10" spans="1:5" ht="15.75">
      <c r="A10" s="2908"/>
      <c r="B10" s="2904" t="e">
        <f t="shared" ca="1" si="1"/>
        <v>#REF!</v>
      </c>
      <c r="C10" s="2903" t="s">
        <v>2994</v>
      </c>
      <c r="D10" s="2905"/>
      <c r="E10" s="2576" t="e">
        <f t="shared" ca="1" si="0"/>
        <v>#REF!</v>
      </c>
    </row>
    <row r="11" spans="1:5" ht="15.75">
      <c r="A11" s="2908"/>
      <c r="B11" s="2904" t="e">
        <f t="shared" ca="1" si="1"/>
        <v>#REF!</v>
      </c>
      <c r="C11" s="2903" t="s">
        <v>2994</v>
      </c>
      <c r="D11" s="2905"/>
      <c r="E11" s="2576" t="e">
        <f t="shared" ca="1" si="0"/>
        <v>#REF!</v>
      </c>
    </row>
    <row r="12" spans="1:5" ht="15.75">
      <c r="A12" s="2908"/>
      <c r="B12" s="2904" t="e">
        <f t="shared" ca="1" si="1"/>
        <v>#REF!</v>
      </c>
      <c r="C12" s="2903" t="s">
        <v>2994</v>
      </c>
      <c r="D12" s="2905"/>
      <c r="E12" s="2576" t="e">
        <f t="shared" ca="1" si="0"/>
        <v>#REF!</v>
      </c>
    </row>
    <row r="13" spans="1:5" ht="15.75">
      <c r="A13" s="2908"/>
      <c r="B13" s="2904" t="e">
        <f t="shared" ca="1" si="1"/>
        <v>#REF!</v>
      </c>
      <c r="C13" s="2903" t="s">
        <v>2994</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1145</v>
      </c>
      <c r="C1" s="3274"/>
      <c r="D1" s="3274"/>
      <c r="E1" s="3274"/>
      <c r="F1" s="3274"/>
      <c r="G1" s="3270" t="s">
        <v>1146</v>
      </c>
      <c r="H1" s="3270"/>
      <c r="I1" s="3270"/>
      <c r="J1" s="3270"/>
      <c r="K1" s="3270"/>
      <c r="L1" s="3270"/>
      <c r="N1" s="3270" t="s">
        <v>1147</v>
      </c>
      <c r="O1" s="3270"/>
      <c r="P1" s="3270"/>
      <c r="Q1" s="3270"/>
      <c r="R1" s="1446"/>
      <c r="S1" s="3270" t="s">
        <v>1148</v>
      </c>
      <c r="T1" s="3270"/>
      <c r="U1" s="3270"/>
      <c r="V1" s="3270"/>
      <c r="X1" s="3269" t="s">
        <v>1149</v>
      </c>
      <c r="Y1" s="3270"/>
      <c r="Z1" s="3270"/>
      <c r="AA1" s="3270"/>
      <c r="AB1" s="3270"/>
      <c r="AD1" s="3269" t="s">
        <v>1150</v>
      </c>
      <c r="AE1" s="3270"/>
      <c r="AF1" s="3270"/>
      <c r="AG1" s="3270"/>
      <c r="AH1" s="327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25">
      <c r="A3" s="2928" t="s">
        <v>3036</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3037</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3050</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3048</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3046</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3049</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72">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3043</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2"/>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3042</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2"/>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3035</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9"/>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3032</v>
      </c>
      <c r="B14" s="1469">
        <v>439</v>
      </c>
      <c r="C14" s="1469">
        <v>327</v>
      </c>
      <c r="D14" s="1469">
        <f>C14</f>
        <v>327</v>
      </c>
      <c r="E14" s="1469">
        <v>627</v>
      </c>
      <c r="F14" s="1470">
        <v>283</v>
      </c>
      <c r="G14" s="3275">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3033</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2"/>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2"/>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9"/>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5">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2"/>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2"/>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3"/>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1">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2"/>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2"/>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3"/>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1">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2"/>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2"/>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3"/>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6">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7"/>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7"/>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8"/>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1">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2"/>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2"/>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73"/>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1">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2">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2">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3">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1">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2">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2">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3">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1">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2">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2">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3">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1">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2">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2">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3">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1">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2">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2">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3">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1">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2">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2">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3">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1">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2">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2">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3">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1">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2">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2">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3">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1">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2">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2">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73">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1">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2">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2">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73">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81" t="s">
        <v>3004</v>
      </c>
      <c r="D1" s="3282"/>
      <c r="E1" s="3282"/>
      <c r="F1" s="3282"/>
      <c r="G1" s="3282"/>
      <c r="H1" s="3282"/>
      <c r="I1" s="3282"/>
      <c r="J1" s="3282"/>
      <c r="K1" s="3282"/>
      <c r="L1" s="3282"/>
      <c r="M1" s="3282"/>
      <c r="N1" s="3282"/>
      <c r="O1" s="3282"/>
      <c r="P1" s="3282"/>
      <c r="Q1" s="3282"/>
      <c r="R1" s="3282"/>
      <c r="S1" s="3283"/>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3013</v>
      </c>
      <c r="B17" s="2910"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2" t="s">
        <v>3017</v>
      </c>
      <c r="E20" s="1793"/>
      <c r="F20" s="1204" t="e">
        <f ca="1">SUMIF(INDIRECT("'"&amp;H20&amp;"'"&amp;"!A:A"),"承租人权益价值",INDIRECT("'"&amp;H20&amp;"'"&amp;"!c:c"))</f>
        <v>#REF!</v>
      </c>
      <c r="G20" s="1204" t="s">
        <v>3018</v>
      </c>
      <c r="H20" s="2913"/>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60" t="s">
        <v>33</v>
      </c>
      <c r="D22" s="3061"/>
      <c r="E22" s="3061"/>
      <c r="F22" s="3061"/>
      <c r="G22" s="3061"/>
      <c r="H22" s="3061"/>
      <c r="I22" s="3061"/>
      <c r="J22" s="3061"/>
      <c r="K22" s="3061"/>
      <c r="L22" s="3061"/>
      <c r="M22" s="3061"/>
      <c r="N22" s="3061"/>
      <c r="O22" s="3061"/>
      <c r="P22" s="3061"/>
      <c r="Q22" s="3280"/>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估价结果一览表（市场价值不需“结果表-1”）</v>
      </c>
      <c r="B3" s="2965"/>
      <c r="C3" s="2965"/>
      <c r="D3" s="2965"/>
      <c r="E3" s="2965"/>
    </row>
    <row r="4" spans="1:5" ht="19.5" thickBot="1">
      <c r="A4" s="1960"/>
      <c r="B4" s="2963" t="s">
        <v>1624</v>
      </c>
      <c r="C4" s="2963"/>
      <c r="D4" s="2963"/>
      <c r="E4" s="1960"/>
    </row>
    <row r="5" spans="1:5" ht="16.5" thickTop="1">
      <c r="A5" s="1958"/>
      <c r="B5" s="2961" t="s">
        <v>1616</v>
      </c>
      <c r="C5" s="1961" t="s">
        <v>1617</v>
      </c>
      <c r="D5" s="1040">
        <f ca="1">结果表!H101</f>
        <v>402485</v>
      </c>
      <c r="E5" s="1958"/>
    </row>
    <row r="6" spans="1:5" ht="15.75">
      <c r="A6" s="1958"/>
      <c r="B6" s="2961"/>
      <c r="C6" s="1961" t="s">
        <v>1618</v>
      </c>
      <c r="D6" s="1040" t="str">
        <f ca="1">NUMBERSTRING(INT(D5*10000),2)&amp;"元整"</f>
        <v>肆拾亿贰仟肆佰捌拾伍万元整</v>
      </c>
      <c r="E6" s="1958"/>
    </row>
    <row r="7" spans="1:5" ht="15.75">
      <c r="A7" s="1958"/>
      <c r="B7" s="2966"/>
      <c r="C7" s="1962" t="s">
        <v>1619</v>
      </c>
      <c r="D7" s="1041">
        <f ca="1">结果表!H102</f>
        <v>40117</v>
      </c>
      <c r="E7" s="1958"/>
    </row>
    <row r="8" spans="1:5" ht="15.75">
      <c r="A8" s="1958"/>
      <c r="B8" s="2967" t="str">
        <f>结果表!E103</f>
        <v>2.估价师知悉的法定优先受偿款</v>
      </c>
      <c r="C8" s="1963" t="s">
        <v>1620</v>
      </c>
      <c r="D8" s="1041">
        <f>结果表!H103</f>
        <v>0</v>
      </c>
      <c r="E8" s="1958"/>
    </row>
    <row r="9" spans="1:5" ht="15.75">
      <c r="A9" s="1958"/>
      <c r="B9" s="2969"/>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0" t="str">
        <f>结果表!E107</f>
        <v>3.房地产抵押价值</v>
      </c>
      <c r="C13" s="1966" t="s">
        <v>1617</v>
      </c>
      <c r="D13" s="1043">
        <f ca="1">结果表!H107</f>
        <v>402485</v>
      </c>
      <c r="E13" s="1958"/>
    </row>
    <row r="14" spans="1:5" ht="15.75">
      <c r="A14" s="1958"/>
      <c r="B14" s="2961"/>
      <c r="C14" s="1961" t="s">
        <v>1618</v>
      </c>
      <c r="D14" s="1040" t="str">
        <f ca="1">NUMBERSTRING(INT(D13*10000),2)&amp;"元整"</f>
        <v>肆拾亿贰仟肆佰捌拾伍万元整</v>
      </c>
      <c r="E14" s="1958"/>
    </row>
    <row r="15" spans="1:5" ht="15">
      <c r="A15" s="1958"/>
      <c r="B15" s="2966"/>
      <c r="C15" s="1962" t="s">
        <v>1628</v>
      </c>
      <c r="D15" s="1052">
        <f ca="1">结果表!H108</f>
        <v>40117</v>
      </c>
      <c r="E15" s="1958"/>
    </row>
    <row r="16" spans="1:5" ht="15">
      <c r="A16" s="1958"/>
      <c r="B16" s="2967" t="str">
        <f>结果表!E109</f>
        <v>——</v>
      </c>
      <c r="C16" s="1966" t="s">
        <v>1629</v>
      </c>
      <c r="D16" s="1967" t="str">
        <f>结果表!H109</f>
        <v>——</v>
      </c>
      <c r="E16" s="1958"/>
    </row>
    <row r="17" spans="1:5" ht="15.75">
      <c r="A17" s="1958"/>
      <c r="B17" s="2968"/>
      <c r="C17" s="1961" t="s">
        <v>1630</v>
      </c>
      <c r="D17" s="1040" t="e">
        <f>NUMBERSTRING(INT(D16*10000),2)&amp;"元整"</f>
        <v>#VALUE!</v>
      </c>
      <c r="E17" s="1958"/>
    </row>
    <row r="18" spans="1:5" ht="15">
      <c r="A18" s="1958"/>
      <c r="B18" s="2969"/>
      <c r="C18" s="1962" t="s">
        <v>1619</v>
      </c>
      <c r="D18" s="1052" t="str">
        <f>结果表!H110</f>
        <v>——</v>
      </c>
      <c r="E18" s="1958"/>
    </row>
    <row r="19" spans="1:5" ht="15.75">
      <c r="A19" s="1958"/>
      <c r="B19" s="2960" t="str">
        <f>结果表!E111</f>
        <v>——</v>
      </c>
      <c r="C19" s="1966" t="s">
        <v>1617</v>
      </c>
      <c r="D19" s="1041" t="str">
        <f>结果表!H111</f>
        <v>——</v>
      </c>
      <c r="E19" s="1958"/>
    </row>
    <row r="20" spans="1:5" ht="15.75">
      <c r="A20" s="1958"/>
      <c r="B20" s="2961"/>
      <c r="C20" s="1961" t="s">
        <v>1630</v>
      </c>
      <c r="D20" s="1040" t="e">
        <f>NUMBERSTRING(INT(D19*10000),2)&amp;"元整"</f>
        <v>#VALUE!</v>
      </c>
      <c r="E20" s="1958"/>
    </row>
    <row r="21" spans="1:5" ht="15.75" thickBot="1">
      <c r="A21" s="1958"/>
      <c r="B21" s="2962"/>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G35"/>
  <sheetViews>
    <sheetView topLeftCell="A7" workbookViewId="0">
      <selection activeCell="I36" sqref="I36"/>
    </sheetView>
  </sheetViews>
  <sheetFormatPr defaultRowHeight="13.5"/>
  <cols>
    <col min="1" max="1" width="9" style="2955"/>
    <col min="2" max="2" width="18.25" style="2955" customWidth="1"/>
    <col min="3" max="3" width="14.25" style="2955" bestFit="1" customWidth="1"/>
    <col min="4" max="16384" width="9" style="2955"/>
  </cols>
  <sheetData>
    <row r="1" spans="1:7">
      <c r="A1" s="3284" t="s">
        <v>3079</v>
      </c>
      <c r="B1" s="3284" t="s">
        <v>3080</v>
      </c>
      <c r="C1" s="3284" t="s">
        <v>3081</v>
      </c>
      <c r="D1" s="3284" t="s">
        <v>3082</v>
      </c>
      <c r="E1" s="3284"/>
      <c r="F1" s="3284" t="s">
        <v>3083</v>
      </c>
      <c r="G1" s="3284"/>
    </row>
    <row r="2" spans="1:7" ht="27">
      <c r="A2" s="3284"/>
      <c r="B2" s="3284"/>
      <c r="C2" s="3284"/>
      <c r="D2" s="2956" t="s">
        <v>3084</v>
      </c>
      <c r="E2" s="2956" t="s">
        <v>3085</v>
      </c>
      <c r="F2" s="2956" t="s">
        <v>3086</v>
      </c>
      <c r="G2" s="2956" t="s">
        <v>3087</v>
      </c>
    </row>
    <row r="3" spans="1:7">
      <c r="A3" s="2956">
        <v>1</v>
      </c>
      <c r="B3" s="2957" t="s">
        <v>3088</v>
      </c>
      <c r="C3" s="2956">
        <v>18.329999999999998</v>
      </c>
      <c r="D3" s="2956"/>
      <c r="E3" s="2956"/>
      <c r="F3" s="2956" t="s">
        <v>3089</v>
      </c>
      <c r="G3" s="2956">
        <v>-3</v>
      </c>
    </row>
    <row r="4" spans="1:7">
      <c r="A4" s="2956">
        <v>2</v>
      </c>
      <c r="B4" s="2957" t="s">
        <v>3090</v>
      </c>
      <c r="C4" s="2956">
        <v>7660.9</v>
      </c>
      <c r="D4" s="2956" t="s">
        <v>3091</v>
      </c>
      <c r="E4" s="2956"/>
      <c r="F4" s="2956" t="s">
        <v>3089</v>
      </c>
      <c r="G4" s="2956">
        <v>-3</v>
      </c>
    </row>
    <row r="5" spans="1:7">
      <c r="A5" s="2956">
        <v>3</v>
      </c>
      <c r="B5" s="2957" t="s">
        <v>3092</v>
      </c>
      <c r="C5" s="2956">
        <v>48.08</v>
      </c>
      <c r="D5" s="2956"/>
      <c r="E5" s="2956"/>
      <c r="F5" s="2956" t="s">
        <v>3089</v>
      </c>
      <c r="G5" s="2956">
        <v>-2</v>
      </c>
    </row>
    <row r="6" spans="1:7">
      <c r="A6" s="2956">
        <v>4</v>
      </c>
      <c r="B6" s="2957" t="s">
        <v>3093</v>
      </c>
      <c r="C6" s="2956">
        <v>8316.48</v>
      </c>
      <c r="D6" s="2956" t="s">
        <v>3091</v>
      </c>
      <c r="E6" s="2956"/>
      <c r="F6" s="2956" t="s">
        <v>3089</v>
      </c>
      <c r="G6" s="2956">
        <v>-2</v>
      </c>
    </row>
    <row r="7" spans="1:7">
      <c r="A7" s="2956">
        <v>5</v>
      </c>
      <c r="B7" s="2957" t="s">
        <v>3094</v>
      </c>
      <c r="C7" s="2956">
        <v>7920.78</v>
      </c>
      <c r="D7" s="2956" t="s">
        <v>3091</v>
      </c>
      <c r="E7" s="2956"/>
      <c r="F7" s="2956" t="s">
        <v>3089</v>
      </c>
      <c r="G7" s="2956">
        <v>-2</v>
      </c>
    </row>
    <row r="8" spans="1:7">
      <c r="A8" s="2956">
        <v>6</v>
      </c>
      <c r="B8" s="2957" t="s">
        <v>3095</v>
      </c>
      <c r="C8" s="2956">
        <v>1210.6300000000001</v>
      </c>
      <c r="D8" s="2956"/>
      <c r="E8" s="2956"/>
      <c r="F8" s="2956" t="s">
        <v>3089</v>
      </c>
      <c r="G8" s="2956">
        <v>-1</v>
      </c>
    </row>
    <row r="9" spans="1:7">
      <c r="A9" s="2956">
        <v>7</v>
      </c>
      <c r="B9" s="2957" t="s">
        <v>3096</v>
      </c>
      <c r="C9" s="2956">
        <v>1263.2</v>
      </c>
      <c r="D9" s="2956" t="s">
        <v>3097</v>
      </c>
      <c r="E9" s="2956"/>
      <c r="F9" s="2956" t="s">
        <v>3089</v>
      </c>
      <c r="G9" s="2956">
        <v>-1</v>
      </c>
    </row>
    <row r="10" spans="1:7" ht="27">
      <c r="A10" s="2956">
        <v>8</v>
      </c>
      <c r="B10" s="2957" t="s">
        <v>3098</v>
      </c>
      <c r="C10" s="2956">
        <v>4706.78</v>
      </c>
      <c r="D10" s="2956" t="s">
        <v>3099</v>
      </c>
      <c r="E10" s="2956"/>
      <c r="F10" s="2956" t="s">
        <v>3089</v>
      </c>
      <c r="G10" s="2956">
        <v>-1</v>
      </c>
    </row>
    <row r="11" spans="1:7" ht="27">
      <c r="A11" s="2956">
        <v>9</v>
      </c>
      <c r="B11" s="2957" t="s">
        <v>3100</v>
      </c>
      <c r="C11" s="2956">
        <v>8965.31</v>
      </c>
      <c r="D11" s="2956" t="s">
        <v>3099</v>
      </c>
      <c r="E11" s="2956"/>
      <c r="F11" s="2956" t="s">
        <v>3089</v>
      </c>
      <c r="G11" s="2956">
        <v>-1</v>
      </c>
    </row>
    <row r="12" spans="1:7">
      <c r="A12" s="2956">
        <v>10</v>
      </c>
      <c r="B12" s="2957" t="s">
        <v>3101</v>
      </c>
      <c r="C12" s="2956">
        <v>77.739999999999995</v>
      </c>
      <c r="D12" s="2956"/>
      <c r="E12" s="2956"/>
      <c r="F12" s="2956" t="s">
        <v>3089</v>
      </c>
      <c r="G12" s="2956">
        <v>1</v>
      </c>
    </row>
    <row r="13" spans="1:7">
      <c r="A13" s="2956">
        <v>11</v>
      </c>
      <c r="B13" s="2957" t="s">
        <v>3102</v>
      </c>
      <c r="C13" s="2956">
        <v>2603.7600000000002</v>
      </c>
      <c r="D13" s="2956" t="s">
        <v>3103</v>
      </c>
      <c r="E13" s="2956"/>
      <c r="F13" s="2956" t="s">
        <v>3089</v>
      </c>
      <c r="G13" s="2956">
        <v>1</v>
      </c>
    </row>
    <row r="14" spans="1:7">
      <c r="A14" s="2956">
        <v>12</v>
      </c>
      <c r="B14" s="2957" t="s">
        <v>3104</v>
      </c>
      <c r="C14" s="2956">
        <v>8182.27</v>
      </c>
      <c r="D14" s="2956" t="s">
        <v>3103</v>
      </c>
      <c r="E14" s="2956"/>
      <c r="F14" s="2956" t="s">
        <v>3089</v>
      </c>
      <c r="G14" s="2956">
        <v>1</v>
      </c>
    </row>
    <row r="15" spans="1:7">
      <c r="A15" s="2956">
        <v>13</v>
      </c>
      <c r="B15" s="2957" t="s">
        <v>3105</v>
      </c>
      <c r="C15" s="2956">
        <v>83.01</v>
      </c>
      <c r="D15" s="2956" t="s">
        <v>3103</v>
      </c>
      <c r="E15" s="2956"/>
      <c r="F15" s="2956" t="s">
        <v>3089</v>
      </c>
      <c r="G15" s="2956">
        <v>1</v>
      </c>
    </row>
    <row r="16" spans="1:7">
      <c r="A16" s="2956">
        <v>14</v>
      </c>
      <c r="B16" s="2957" t="s">
        <v>3106</v>
      </c>
      <c r="C16" s="2956">
        <v>74.56</v>
      </c>
      <c r="D16" s="2956" t="s">
        <v>3103</v>
      </c>
      <c r="E16" s="2956"/>
      <c r="F16" s="2956" t="s">
        <v>3089</v>
      </c>
      <c r="G16" s="2956">
        <v>1</v>
      </c>
    </row>
    <row r="17" spans="1:7">
      <c r="A17" s="2956">
        <v>15</v>
      </c>
      <c r="B17" s="2957" t="s">
        <v>3107</v>
      </c>
      <c r="C17" s="2956">
        <v>12.33</v>
      </c>
      <c r="D17" s="2956"/>
      <c r="E17" s="2956"/>
      <c r="F17" s="2956" t="s">
        <v>3089</v>
      </c>
      <c r="G17" s="2956">
        <v>2</v>
      </c>
    </row>
    <row r="18" spans="1:7">
      <c r="A18" s="2956">
        <v>16</v>
      </c>
      <c r="B18" s="2957" t="s">
        <v>3108</v>
      </c>
      <c r="C18" s="2956">
        <v>2949.96</v>
      </c>
      <c r="D18" s="2956" t="s">
        <v>3103</v>
      </c>
      <c r="E18" s="2956"/>
      <c r="F18" s="2956" t="s">
        <v>3089</v>
      </c>
      <c r="G18" s="2956">
        <v>2</v>
      </c>
    </row>
    <row r="19" spans="1:7">
      <c r="A19" s="2956">
        <v>17</v>
      </c>
      <c r="B19" s="2957" t="s">
        <v>3109</v>
      </c>
      <c r="C19" s="2956">
        <v>7724.88</v>
      </c>
      <c r="D19" s="2956" t="s">
        <v>3103</v>
      </c>
      <c r="E19" s="2956"/>
      <c r="F19" s="2956" t="s">
        <v>3089</v>
      </c>
      <c r="G19" s="2956">
        <v>2</v>
      </c>
    </row>
    <row r="20" spans="1:7">
      <c r="A20" s="2956">
        <v>18</v>
      </c>
      <c r="B20" s="2957" t="s">
        <v>3110</v>
      </c>
      <c r="C20" s="2956">
        <v>7.48</v>
      </c>
      <c r="D20" s="2956"/>
      <c r="E20" s="2956"/>
      <c r="F20" s="2956" t="s">
        <v>3089</v>
      </c>
      <c r="G20" s="2956">
        <v>3</v>
      </c>
    </row>
    <row r="21" spans="1:7">
      <c r="A21" s="2956">
        <v>19</v>
      </c>
      <c r="B21" s="2957" t="s">
        <v>3111</v>
      </c>
      <c r="C21" s="2956">
        <v>2986.66</v>
      </c>
      <c r="D21" s="2956" t="s">
        <v>3103</v>
      </c>
      <c r="E21" s="2956"/>
      <c r="F21" s="2956" t="s">
        <v>3089</v>
      </c>
      <c r="G21" s="2956">
        <v>3</v>
      </c>
    </row>
    <row r="22" spans="1:7">
      <c r="A22" s="2956">
        <v>20</v>
      </c>
      <c r="B22" s="2957" t="s">
        <v>3112</v>
      </c>
      <c r="C22" s="2956">
        <v>8072.55</v>
      </c>
      <c r="D22" s="2956" t="s">
        <v>3103</v>
      </c>
      <c r="E22" s="2956"/>
      <c r="F22" s="2956" t="s">
        <v>3089</v>
      </c>
      <c r="G22" s="2956">
        <v>3</v>
      </c>
    </row>
    <row r="23" spans="1:7">
      <c r="A23" s="2956">
        <v>21</v>
      </c>
      <c r="B23" s="2957" t="s">
        <v>3113</v>
      </c>
      <c r="C23" s="2956">
        <v>2994.27</v>
      </c>
      <c r="D23" s="2956" t="s">
        <v>3103</v>
      </c>
      <c r="E23" s="2956"/>
      <c r="F23" s="2956" t="s">
        <v>3089</v>
      </c>
      <c r="G23" s="2956">
        <v>4</v>
      </c>
    </row>
    <row r="24" spans="1:7">
      <c r="A24" s="2956">
        <v>22</v>
      </c>
      <c r="B24" s="2957" t="s">
        <v>3114</v>
      </c>
      <c r="C24" s="2956">
        <v>5052.3100000000004</v>
      </c>
      <c r="D24" s="2956" t="s">
        <v>3103</v>
      </c>
      <c r="E24" s="2956"/>
      <c r="F24" s="2956" t="s">
        <v>3089</v>
      </c>
      <c r="G24" s="2956">
        <v>4</v>
      </c>
    </row>
    <row r="25" spans="1:7">
      <c r="A25" s="2956">
        <v>23</v>
      </c>
      <c r="B25" s="2957" t="s">
        <v>3115</v>
      </c>
      <c r="C25" s="2956">
        <v>2367.5700000000002</v>
      </c>
      <c r="D25" s="2956" t="s">
        <v>3103</v>
      </c>
      <c r="E25" s="2956"/>
      <c r="F25" s="2956" t="s">
        <v>3089</v>
      </c>
      <c r="G25" s="2956">
        <v>5</v>
      </c>
    </row>
    <row r="26" spans="1:7">
      <c r="A26" s="2956">
        <v>24</v>
      </c>
      <c r="B26" s="2957" t="s">
        <v>3116</v>
      </c>
      <c r="C26" s="2956">
        <v>3706.94</v>
      </c>
      <c r="D26" s="2956" t="s">
        <v>3103</v>
      </c>
      <c r="E26" s="2956"/>
      <c r="F26" s="2956" t="s">
        <v>3089</v>
      </c>
      <c r="G26" s="2956">
        <v>5</v>
      </c>
    </row>
    <row r="27" spans="1:7">
      <c r="A27" s="2956">
        <v>25</v>
      </c>
      <c r="B27" s="2957" t="s">
        <v>3117</v>
      </c>
      <c r="C27" s="2956">
        <v>126.19</v>
      </c>
      <c r="D27" s="2956"/>
      <c r="E27" s="2956"/>
      <c r="F27" s="2956" t="s">
        <v>3089</v>
      </c>
      <c r="G27" s="2956">
        <v>6</v>
      </c>
    </row>
    <row r="28" spans="1:7">
      <c r="A28" s="2956">
        <v>26</v>
      </c>
      <c r="B28" s="2957" t="s">
        <v>3118</v>
      </c>
      <c r="C28" s="2956">
        <v>2263.92</v>
      </c>
      <c r="D28" s="2956" t="s">
        <v>3103</v>
      </c>
      <c r="E28" s="2956"/>
      <c r="F28" s="2956" t="s">
        <v>3089</v>
      </c>
      <c r="G28" s="2956">
        <v>6</v>
      </c>
    </row>
    <row r="29" spans="1:7">
      <c r="A29" s="2956">
        <v>27</v>
      </c>
      <c r="B29" s="2957" t="s">
        <v>3119</v>
      </c>
      <c r="C29" s="2956">
        <v>2516.3200000000002</v>
      </c>
      <c r="D29" s="2956" t="s">
        <v>3103</v>
      </c>
      <c r="E29" s="2956"/>
      <c r="F29" s="2956" t="s">
        <v>3089</v>
      </c>
      <c r="G29" s="2956">
        <v>6</v>
      </c>
    </row>
    <row r="30" spans="1:7">
      <c r="A30" s="2956">
        <v>28</v>
      </c>
      <c r="B30" s="2957" t="s">
        <v>3120</v>
      </c>
      <c r="C30" s="2956">
        <v>1694.06</v>
      </c>
      <c r="D30" s="2956" t="s">
        <v>3121</v>
      </c>
      <c r="E30" s="2956"/>
      <c r="F30" s="2956" t="s">
        <v>3089</v>
      </c>
      <c r="G30" s="2956">
        <v>7</v>
      </c>
    </row>
    <row r="31" spans="1:7">
      <c r="A31" s="2956">
        <v>29</v>
      </c>
      <c r="B31" s="2957" t="s">
        <v>3122</v>
      </c>
      <c r="C31" s="2956">
        <v>1694.06</v>
      </c>
      <c r="D31" s="2956" t="s">
        <v>3121</v>
      </c>
      <c r="E31" s="2956"/>
      <c r="F31" s="2956" t="s">
        <v>3089</v>
      </c>
      <c r="G31" s="2956">
        <v>8</v>
      </c>
    </row>
    <row r="32" spans="1:7">
      <c r="A32" s="2956">
        <v>30</v>
      </c>
      <c r="B32" s="2957" t="s">
        <v>3123</v>
      </c>
      <c r="C32" s="2956">
        <v>1675.14</v>
      </c>
      <c r="D32" s="2956" t="s">
        <v>3121</v>
      </c>
      <c r="E32" s="2956"/>
      <c r="F32" s="2956" t="s">
        <v>3089</v>
      </c>
      <c r="G32" s="2956">
        <v>9</v>
      </c>
    </row>
    <row r="33" spans="1:7">
      <c r="A33" s="2956">
        <v>31</v>
      </c>
      <c r="B33" s="2957" t="s">
        <v>3124</v>
      </c>
      <c r="C33" s="2956">
        <v>1675.14</v>
      </c>
      <c r="D33" s="2956" t="s">
        <v>3121</v>
      </c>
      <c r="E33" s="2956"/>
      <c r="F33" s="2956" t="s">
        <v>3089</v>
      </c>
      <c r="G33" s="2956">
        <v>10</v>
      </c>
    </row>
    <row r="34" spans="1:7">
      <c r="A34" s="2956">
        <v>32</v>
      </c>
      <c r="B34" s="2957" t="s">
        <v>3125</v>
      </c>
      <c r="C34" s="2956">
        <v>1675.14</v>
      </c>
      <c r="D34" s="2956" t="s">
        <v>3121</v>
      </c>
      <c r="E34" s="2956"/>
      <c r="F34" s="2956" t="s">
        <v>3089</v>
      </c>
      <c r="G34" s="2956">
        <v>11</v>
      </c>
    </row>
    <row r="35" spans="1:7">
      <c r="A35" s="3284" t="s">
        <v>3126</v>
      </c>
      <c r="B35" s="3284"/>
      <c r="C35" s="2956">
        <f>SUM(C3:C34)</f>
        <v>100326.75000000001</v>
      </c>
      <c r="D35" s="2956"/>
      <c r="E35" s="2956"/>
      <c r="F35" s="2956"/>
      <c r="G35" s="2956"/>
    </row>
  </sheetData>
  <mergeCells count="6">
    <mergeCell ref="A35:B35"/>
    <mergeCell ref="A1:A2"/>
    <mergeCell ref="B1:B2"/>
    <mergeCell ref="C1:C2"/>
    <mergeCell ref="D1:E1"/>
    <mergeCell ref="F1:G1"/>
  </mergeCells>
  <phoneticPr fontId="143"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68552</v>
      </c>
      <c r="C2" s="2" t="s">
        <v>133</v>
      </c>
      <c r="D2" s="243"/>
      <c r="E2" s="243"/>
      <c r="F2" s="243"/>
      <c r="G2" s="243"/>
    </row>
    <row r="3" spans="1:7" s="244" customFormat="1" ht="18" customHeight="1" thickBot="1">
      <c r="A3" s="247" t="s">
        <v>85</v>
      </c>
      <c r="B3" s="248">
        <f ca="1">ROUND(B2*10000/'数据-汇总表'!E3,0)</f>
        <v>6833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2007</v>
      </c>
      <c r="D10" s="1032">
        <f>'数据-汇总表'!E6</f>
        <v>100326.75000000001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2007</v>
      </c>
      <c r="D19" s="1036">
        <f>'数据-汇总表'!E3</f>
        <v>100326.75000000001</v>
      </c>
      <c r="E19" s="255">
        <f>'数据-取费表'!B31</f>
        <v>200</v>
      </c>
      <c r="F19" s="275"/>
      <c r="G19" s="1" t="s">
        <v>1070</v>
      </c>
    </row>
    <row r="20" spans="1:7" s="258" customFormat="1" ht="13.5" customHeight="1">
      <c r="A20" s="948" t="s">
        <v>1053</v>
      </c>
      <c r="B20" s="254" t="s">
        <v>104</v>
      </c>
      <c r="C20" s="276">
        <f>ROUND((C5+C19)*F20,0)</f>
        <v>679</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2231</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195</v>
      </c>
      <c r="D24" s="282"/>
      <c r="E24" s="282"/>
      <c r="F24" s="283"/>
      <c r="G24" s="284" t="s">
        <v>109</v>
      </c>
    </row>
    <row r="25" spans="1:7" s="258" customFormat="1" ht="24">
      <c r="A25" s="951" t="s">
        <v>793</v>
      </c>
      <c r="B25" s="259" t="s">
        <v>1054</v>
      </c>
      <c r="C25" s="1355">
        <f ca="1">ROUND(IF('数据-取费表'!B22&lt;=1,C20*F22*'数据-取费表'!B23/2,C20*(POWER((1+F22),'数据-取费表'!B23/2)-1)),0)</f>
        <v>32</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3494</v>
      </c>
      <c r="D27" s="279">
        <f>C29</f>
        <v>4.4999999999999997E-3</v>
      </c>
      <c r="E27" s="280" t="s">
        <v>126</v>
      </c>
      <c r="F27" s="290">
        <f>'数据-取费表'!Q16</f>
        <v>0.15</v>
      </c>
      <c r="G27" s="291" t="s">
        <v>1065</v>
      </c>
    </row>
    <row r="28" spans="1:7" s="258" customFormat="1" ht="13.5" customHeight="1">
      <c r="A28" s="951" t="s">
        <v>794</v>
      </c>
      <c r="B28" s="292" t="s">
        <v>1058</v>
      </c>
      <c r="C28" s="293">
        <f>ROUND((C5+C19+C20)*F27*'数据-取费表'!B21/'数据-取费表'!B20,0)</f>
        <v>3494</v>
      </c>
      <c r="D28" s="279"/>
      <c r="E28" s="280"/>
      <c r="F28" s="290"/>
      <c r="G28" s="291"/>
    </row>
    <row r="29" spans="1:7" s="258" customFormat="1" ht="13.5" customHeight="1">
      <c r="A29" s="951" t="s">
        <v>792</v>
      </c>
      <c r="B29" s="292" t="s">
        <v>1059</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31864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38701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35114</v>
      </c>
      <c r="D34" s="261"/>
      <c r="E34" s="264"/>
      <c r="F34" s="301">
        <f>IF('数据-取费表'!B24=0,1,'数据-取费表'!N16)</f>
        <v>1</v>
      </c>
      <c r="G34" s="263" t="s">
        <v>116</v>
      </c>
    </row>
    <row r="35" spans="1:7" ht="13.5" customHeight="1">
      <c r="A35" s="951" t="s">
        <v>796</v>
      </c>
      <c r="B35" s="259" t="s">
        <v>60</v>
      </c>
      <c r="C35" s="264">
        <f>ROUND(C34*F35,0)</f>
        <v>1053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2007</v>
      </c>
      <c r="D37" s="261">
        <f>'数据-汇总表'!E3</f>
        <v>100326.75000000001</v>
      </c>
      <c r="E37" s="293">
        <f>'数据-取费表'!B35</f>
        <v>200</v>
      </c>
      <c r="F37" s="303"/>
      <c r="G37" s="305" t="s">
        <v>119</v>
      </c>
    </row>
    <row r="38" spans="1:7" ht="13.5" customHeight="1">
      <c r="A38" s="951" t="s">
        <v>799</v>
      </c>
      <c r="B38" s="259" t="s">
        <v>63</v>
      </c>
      <c r="C38" s="264">
        <f>ROUND(C34*F38,0)</f>
        <v>527</v>
      </c>
      <c r="D38" s="264"/>
      <c r="E38" s="264"/>
      <c r="F38" s="303">
        <f>'数据-取费表'!B36</f>
        <v>1.4999999999999999E-2</v>
      </c>
      <c r="G38" s="263" t="s">
        <v>117</v>
      </c>
    </row>
    <row r="39" spans="1:7" s="258" customFormat="1" ht="13.5" customHeight="1">
      <c r="A39" s="948" t="s">
        <v>783</v>
      </c>
      <c r="B39" s="254" t="s">
        <v>104</v>
      </c>
      <c r="C39" s="276">
        <f>ROUND(C33*F20,0)</f>
        <v>1161</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1893</v>
      </c>
      <c r="D41" s="279">
        <f ca="1">C44</f>
        <v>1.4E-3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1838</v>
      </c>
      <c r="D42" s="282"/>
      <c r="E42" s="282"/>
      <c r="F42" s="283"/>
      <c r="G42" s="3145" t="s">
        <v>121</v>
      </c>
    </row>
    <row r="43" spans="1:7" ht="13.5" customHeight="1">
      <c r="A43" s="951" t="s">
        <v>792</v>
      </c>
      <c r="B43" s="259" t="s">
        <v>1060</v>
      </c>
      <c r="C43" s="282">
        <f ca="1">ROUND(IF('数据-取费表'!B22&lt;=1,C39*F22*'数据-取费表'!B21/2,C39*(POWER((1+F22),'数据-取费表'!B21/2)-1)),0)</f>
        <v>55</v>
      </c>
      <c r="D43" s="282"/>
      <c r="E43" s="282"/>
      <c r="F43" s="283"/>
      <c r="G43" s="3146"/>
    </row>
    <row r="44" spans="1:7" ht="13.5" customHeight="1">
      <c r="A44" s="951" t="s">
        <v>793</v>
      </c>
      <c r="B44" s="259" t="s">
        <v>1062</v>
      </c>
      <c r="C44" s="282">
        <f ca="1">ROUND(IF('数据-取费表'!B22&lt;=1,C40*F22*'数据-取费表'!B21/2,C40*(POWER((1+F22),'数据-取费表'!B21/2)-1)),4)</f>
        <v>1.4E-3</v>
      </c>
      <c r="D44" s="282"/>
      <c r="E44" s="282"/>
      <c r="F44" s="283"/>
      <c r="G44" s="3147"/>
    </row>
    <row r="45" spans="1:7" s="258" customFormat="1" ht="13.5" customHeight="1">
      <c r="A45" s="948" t="s">
        <v>786</v>
      </c>
      <c r="B45" s="288" t="s">
        <v>112</v>
      </c>
      <c r="C45" s="289">
        <f>C46</f>
        <v>5979</v>
      </c>
      <c r="D45" s="279">
        <f>C47</f>
        <v>4.4999999999999997E-3</v>
      </c>
      <c r="E45" s="280" t="s">
        <v>129</v>
      </c>
      <c r="F45" s="290"/>
      <c r="G45" s="291" t="s">
        <v>1068</v>
      </c>
    </row>
    <row r="46" spans="1:7" s="258" customFormat="1" ht="13.5" customHeight="1">
      <c r="A46" s="951" t="s">
        <v>794</v>
      </c>
      <c r="B46" s="292" t="s">
        <v>1061</v>
      </c>
      <c r="C46" s="293">
        <f>ROUND((C33+C39)*F27,0)</f>
        <v>5979</v>
      </c>
      <c r="D46" s="307"/>
      <c r="E46" s="280"/>
      <c r="F46" s="290"/>
      <c r="G46" s="291"/>
    </row>
    <row r="47" spans="1:7" s="258" customFormat="1" ht="13.5" customHeight="1">
      <c r="A47" s="951" t="s">
        <v>792</v>
      </c>
      <c r="B47" s="292" t="s">
        <v>1063</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52411</v>
      </c>
      <c r="D49" s="276"/>
      <c r="E49" s="276"/>
      <c r="F49" s="308"/>
      <c r="G49" s="278" t="s">
        <v>1069</v>
      </c>
    </row>
    <row r="50" spans="1:7" s="302" customFormat="1" ht="24">
      <c r="A50" s="948" t="s">
        <v>789</v>
      </c>
      <c r="B50" s="254" t="s">
        <v>124</v>
      </c>
      <c r="C50" s="276"/>
      <c r="D50" s="276"/>
      <c r="E50" s="276"/>
      <c r="F50" s="308">
        <f>IF('数据-取费表'!B24=0,'数据-取费表'!N16,1)</f>
        <v>0.7</v>
      </c>
      <c r="G50" s="291" t="s">
        <v>125</v>
      </c>
    </row>
    <row r="51" spans="1:7" ht="16.5" customHeight="1">
      <c r="A51" s="948" t="s">
        <v>790</v>
      </c>
      <c r="B51" s="254" t="s">
        <v>132</v>
      </c>
      <c r="C51" s="276">
        <f ca="1">ROUND(C49*F50,0)</f>
        <v>36688</v>
      </c>
      <c r="D51" s="276"/>
      <c r="E51" s="276"/>
      <c r="F51" s="308"/>
      <c r="G51" s="278" t="s">
        <v>64</v>
      </c>
    </row>
    <row r="52" spans="1:7" s="252" customFormat="1" ht="16.5" thickBot="1">
      <c r="A52" s="309" t="s">
        <v>65</v>
      </c>
      <c r="B52" s="310"/>
      <c r="C52" s="311">
        <f ca="1">C31+C51</f>
        <v>68552</v>
      </c>
      <c r="D52" s="310"/>
      <c r="E52" s="310"/>
      <c r="F52" s="310"/>
      <c r="G52" s="312"/>
    </row>
    <row r="55" spans="1:7" ht="15">
      <c r="B55" s="314" t="s">
        <v>66</v>
      </c>
      <c r="C55" s="315"/>
    </row>
    <row r="56" spans="1:7">
      <c r="B56" s="317" t="s">
        <v>67</v>
      </c>
      <c r="C56" s="318">
        <f ca="1">ROUND(C51/C52,3)</f>
        <v>0.53500000000000003</v>
      </c>
    </row>
    <row r="57" spans="1:7">
      <c r="B57" s="317" t="s">
        <v>68</v>
      </c>
      <c r="C57" s="319">
        <f ca="1">1-C56</f>
        <v>0.46499999999999997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867</v>
      </c>
      <c r="B1" s="328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43899</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0" t="str">
        <f>IF(项目基本情况!B9="房地产市场价值","估价结果一览表","结果表-2")</f>
        <v>估价结果一览表</v>
      </c>
      <c r="B1" s="2970"/>
      <c r="C1" s="2970"/>
      <c r="D1" s="2970"/>
      <c r="E1" s="2970"/>
      <c r="F1" s="2970"/>
      <c r="G1" s="2970"/>
      <c r="H1" s="2970"/>
      <c r="I1" s="2970"/>
    </row>
    <row r="2" spans="1:9" ht="30" customHeight="1" thickTop="1">
      <c r="A2" s="2971" t="s">
        <v>1635</v>
      </c>
      <c r="B2" s="2971" t="s">
        <v>1636</v>
      </c>
      <c r="C2" s="2971" t="s">
        <v>1637</v>
      </c>
      <c r="D2" s="2971" t="str">
        <f>结果表!D116</f>
        <v>出让国有建设用地使用权价值</v>
      </c>
      <c r="E2" s="2971"/>
      <c r="F2" s="2971" t="str">
        <f>结果表!F116</f>
        <v>在建建筑物价值</v>
      </c>
      <c r="G2" s="2971"/>
      <c r="H2" s="2971" t="str">
        <f>IF(项目基本情况!B9="房地产市场价值","房地产市场价值","房地产价值")</f>
        <v>房地产市场价值</v>
      </c>
      <c r="I2" s="2971"/>
    </row>
    <row r="3" spans="1:9" ht="15">
      <c r="A3" s="2972"/>
      <c r="B3" s="2972"/>
      <c r="C3" s="2972"/>
      <c r="D3" s="1044" t="s">
        <v>1632</v>
      </c>
      <c r="E3" s="1044" t="s">
        <v>1638</v>
      </c>
      <c r="F3" s="1044" t="s">
        <v>1632</v>
      </c>
      <c r="G3" s="1044" t="s">
        <v>1633</v>
      </c>
      <c r="H3" s="1044" t="s">
        <v>1632</v>
      </c>
      <c r="I3" s="1044" t="s">
        <v>1633</v>
      </c>
    </row>
    <row r="4" spans="1:9" ht="15">
      <c r="A4" s="1972" t="str">
        <f>项目基本情况!S2</f>
        <v>北京市房地产</v>
      </c>
      <c r="B4" s="1044">
        <f>项目基本情况!C17</f>
        <v>100326.75000000001</v>
      </c>
      <c r="C4" s="1044">
        <f>项目基本情况!C18</f>
        <v>22104.58</v>
      </c>
      <c r="D4" s="1044" t="e">
        <f ca="1">结果表!D118</f>
        <v>#REF!</v>
      </c>
      <c r="E4" s="1044" t="e">
        <f ca="1">结果表!E118</f>
        <v>#REF!</v>
      </c>
      <c r="F4" s="1044" t="e">
        <f ca="1">结果表!F118</f>
        <v>#REF!</v>
      </c>
      <c r="G4" s="1044" t="e">
        <f ca="1">结果表!G118</f>
        <v>#REF!</v>
      </c>
      <c r="H4" s="1044">
        <f ca="1">结果表!H118</f>
        <v>402485</v>
      </c>
      <c r="I4" s="1044">
        <f ca="1">结果表!I118</f>
        <v>40117</v>
      </c>
    </row>
    <row r="5" spans="1:9" ht="30" customHeight="1">
      <c r="A5" s="2972" t="s">
        <v>1634</v>
      </c>
      <c r="B5" s="2972"/>
      <c r="C5" s="2972"/>
      <c r="D5" s="2973" t="e">
        <f ca="1">结果表!D119</f>
        <v>#REF!</v>
      </c>
      <c r="E5" s="2973"/>
      <c r="F5" s="2973" t="e">
        <f ca="1">结果表!F119</f>
        <v>#REF!</v>
      </c>
      <c r="G5" s="2973"/>
      <c r="H5" s="2973" t="str">
        <f ca="1">结果表!H119</f>
        <v>肆拾亿贰仟肆佰捌拾伍万元整</v>
      </c>
      <c r="I5" s="2973"/>
    </row>
    <row r="6" spans="1:9" ht="15.75">
      <c r="A6" s="2974" t="str">
        <f>结果表!A120</f>
        <v/>
      </c>
      <c r="B6" s="2974"/>
      <c r="C6" s="2974"/>
      <c r="D6" s="2974">
        <f>结果表!D120</f>
        <v>0</v>
      </c>
      <c r="E6" s="2974"/>
      <c r="F6" s="2974"/>
      <c r="G6" s="2974"/>
      <c r="H6" s="2974"/>
      <c r="I6" s="2974"/>
    </row>
    <row r="7" spans="1:9" ht="15">
      <c r="A7" s="2972" t="s">
        <v>1634</v>
      </c>
      <c r="B7" s="2972"/>
      <c r="C7" s="2972"/>
      <c r="D7" s="2975" t="str">
        <f>结果表!D121</f>
        <v>零元整</v>
      </c>
      <c r="E7" s="2976"/>
      <c r="F7" s="2976"/>
      <c r="G7" s="2976"/>
      <c r="H7" s="2976"/>
      <c r="I7" s="2977"/>
    </row>
    <row r="8" spans="1:9" ht="15.75">
      <c r="A8" s="2974" t="str">
        <f>结果表!A122</f>
        <v/>
      </c>
      <c r="B8" s="2974"/>
      <c r="C8" s="2974"/>
      <c r="D8" s="2974">
        <f ca="1">结果表!D122</f>
        <v>402485</v>
      </c>
      <c r="E8" s="2974"/>
      <c r="F8" s="2974"/>
      <c r="G8" s="2974"/>
      <c r="H8" s="2974"/>
      <c r="I8" s="2974"/>
    </row>
    <row r="9" spans="1:9" ht="15">
      <c r="A9" s="2972" t="s">
        <v>1634</v>
      </c>
      <c r="B9" s="2972"/>
      <c r="C9" s="2972"/>
      <c r="D9" s="2973" t="str">
        <f ca="1">结果表!D123</f>
        <v>肆拾亿贰仟肆佰捌拾伍万元整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1634</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1634</v>
      </c>
      <c r="B13" s="2978"/>
      <c r="C13" s="2978"/>
      <c r="D13" s="2979" t="e">
        <f>结果表!D127</f>
        <v>#VALUE!</v>
      </c>
      <c r="E13" s="2979"/>
      <c r="F13" s="2979"/>
      <c r="G13" s="2979"/>
      <c r="H13" s="2979"/>
      <c r="I13" s="2979"/>
    </row>
    <row r="14" spans="1:9" ht="15" thickTop="1">
      <c r="A14" s="2980" t="s">
        <v>1639</v>
      </c>
      <c r="B14" s="2980"/>
      <c r="C14" s="2980"/>
      <c r="D14" s="2980"/>
      <c r="E14" s="2980"/>
      <c r="F14" s="2980"/>
      <c r="G14" s="2980"/>
      <c r="H14" s="2980"/>
      <c r="I14" s="2980"/>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1" t="s">
        <v>1656</v>
      </c>
      <c r="B1" s="2981"/>
      <c r="C1" s="2981"/>
      <c r="D1" s="2981"/>
    </row>
    <row r="2" spans="1:4" ht="18">
      <c r="A2" s="2982" t="s">
        <v>1640</v>
      </c>
      <c r="B2" s="2982"/>
      <c r="C2" s="2982"/>
      <c r="D2" s="2982"/>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2" t="s">
        <v>1646</v>
      </c>
      <c r="B6" s="2982"/>
      <c r="C6" s="2982"/>
      <c r="D6" s="2982"/>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3" t="s">
        <v>1649</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5"/>
      <c r="C12" s="2985"/>
      <c r="D12" s="2985"/>
    </row>
    <row r="13" spans="1:4" ht="30" customHeight="1">
      <c r="A13" s="2984" t="str">
        <f>IF(项目基本情况!B8="抵押","3.抵押双方在办理抵押登记手续时，应使用本公司出具的正式《房地产评估报告》，特提醒报告使用者注意。","——")</f>
        <v>——</v>
      </c>
      <c r="B13" s="2985"/>
      <c r="C13" s="2985"/>
      <c r="D13" s="2985"/>
    </row>
    <row r="14" spans="1:4" ht="15.75" customHeight="1">
      <c r="A14" s="2984" t="str">
        <f>IF(项目基本情况!B8="抵押","4.本次评估估价师所知悉的法定优先受偿款情况说明如下：","——")</f>
        <v>——</v>
      </c>
      <c r="B14" s="2985"/>
      <c r="C14" s="2985"/>
      <c r="D14" s="2985"/>
    </row>
    <row r="15" spans="1:4" ht="42" customHeight="1">
      <c r="A15" s="2984" t="str">
        <f>IF(项目基本情况!B8="抵押","（1）"&amp;CONCATENATE(项目基本情况!L20,项目基本情况!L21,项目基本情况!L22),"——")</f>
        <v>——</v>
      </c>
      <c r="B15" s="2984"/>
      <c r="C15" s="2984"/>
      <c r="D15" s="2984"/>
    </row>
    <row r="16" spans="1:4" ht="30" customHeight="1">
      <c r="A16" s="2987" t="s">
        <v>1650</v>
      </c>
      <c r="B16" s="2987"/>
      <c r="C16" s="2987"/>
      <c r="D16" s="2987"/>
    </row>
    <row r="17" spans="1:4" ht="144" customHeight="1">
      <c r="A17" s="2987" t="s">
        <v>1651</v>
      </c>
      <c r="B17" s="2987"/>
      <c r="C17" s="2987"/>
      <c r="D17" s="2987"/>
    </row>
    <row r="18" spans="1:4" ht="15.75" customHeight="1">
      <c r="A18" s="2984" t="str">
        <f>IF(项目基本情况!B8="抵押",结果表!K120,"——")</f>
        <v>——</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1652</v>
      </c>
      <c r="B22" s="2989"/>
      <c r="C22" s="2989"/>
      <c r="D22" s="2989"/>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D13" sqref="D13"/>
      <selection pane="bottomLeft" activeCell="D13" sqref="D13"/>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5" t="s">
        <v>1663</v>
      </c>
      <c r="B15" s="2990" t="s">
        <v>136</v>
      </c>
      <c r="C15" s="2991"/>
    </row>
    <row r="16" spans="1:7" ht="13.5">
      <c r="A16" s="2996"/>
      <c r="B16" s="2990" t="s">
        <v>69</v>
      </c>
      <c r="C16" s="2991"/>
    </row>
    <row r="17" spans="1:3" ht="13.5">
      <c r="A17" s="2996"/>
      <c r="B17" s="2993" t="s">
        <v>1664</v>
      </c>
      <c r="C17" s="1999" t="s">
        <v>1663</v>
      </c>
    </row>
    <row r="18" spans="1:3" ht="13.5">
      <c r="A18" s="2996"/>
      <c r="B18" s="2993"/>
      <c r="C18" s="1999" t="s">
        <v>1665</v>
      </c>
    </row>
    <row r="19" spans="1:3" ht="13.5">
      <c r="A19" s="2996"/>
      <c r="B19" s="2993"/>
      <c r="C19" s="1999" t="s">
        <v>1666</v>
      </c>
    </row>
    <row r="20" spans="1:3" ht="13.5">
      <c r="A20" s="2997"/>
      <c r="B20" s="2992" t="s">
        <v>1667</v>
      </c>
      <c r="C20" s="2991"/>
    </row>
    <row r="21" spans="1:3" ht="13.5">
      <c r="A21" s="2000" t="s">
        <v>1668</v>
      </c>
      <c r="B21" s="2001"/>
      <c r="C21" s="2002"/>
    </row>
    <row r="22" spans="1:3" ht="13.5">
      <c r="A22" s="2994" t="s">
        <v>1669</v>
      </c>
      <c r="B22" s="2992" t="s">
        <v>1670</v>
      </c>
      <c r="C22" s="2991"/>
    </row>
    <row r="23" spans="1:3" ht="13.5">
      <c r="A23" s="2994"/>
      <c r="B23" s="2992" t="s">
        <v>1671</v>
      </c>
      <c r="C23" s="2991"/>
    </row>
    <row r="24" spans="1:3" ht="13.5">
      <c r="A24" s="2994"/>
      <c r="B24" s="2992" t="s">
        <v>1672</v>
      </c>
      <c r="C24" s="2991"/>
    </row>
    <row r="25" spans="1:3" ht="13.5">
      <c r="A25" s="2994"/>
      <c r="B25" s="2993" t="s">
        <v>1673</v>
      </c>
      <c r="C25" s="1999" t="s">
        <v>1674</v>
      </c>
    </row>
    <row r="26" spans="1:3" ht="13.5">
      <c r="A26" s="2994"/>
      <c r="B26" s="2993"/>
      <c r="C26" s="1999" t="s">
        <v>1675</v>
      </c>
    </row>
    <row r="27" spans="1:3" ht="13.5">
      <c r="A27" s="2994"/>
      <c r="B27" s="2993"/>
      <c r="C27" s="1999" t="s">
        <v>1676</v>
      </c>
    </row>
    <row r="28" spans="1:3" ht="13.5">
      <c r="A28" s="2994"/>
      <c r="B28" s="2993"/>
      <c r="C28" s="1999" t="s">
        <v>1677</v>
      </c>
    </row>
    <row r="29" spans="1:3" ht="13.5">
      <c r="A29" s="2994"/>
      <c r="B29" s="2993"/>
      <c r="C29" s="1999" t="s">
        <v>1678</v>
      </c>
    </row>
    <row r="30" spans="1:3" ht="13.5">
      <c r="A30" s="2994"/>
      <c r="B30" s="2993"/>
      <c r="C30" s="1999" t="s">
        <v>1679</v>
      </c>
    </row>
    <row r="31" spans="1:3" ht="13.5">
      <c r="A31" s="2994"/>
      <c r="B31" s="2993"/>
      <c r="C31" s="1999" t="s">
        <v>1680</v>
      </c>
    </row>
    <row r="32" spans="1:3" ht="13.5">
      <c r="A32" s="2994"/>
      <c r="B32" s="2993"/>
      <c r="C32" s="1999" t="s">
        <v>1681</v>
      </c>
    </row>
    <row r="33" spans="1:3" ht="13.5">
      <c r="A33" s="2994"/>
      <c r="B33" s="2993"/>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D13" sqref="D1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43900</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929">
        <v>44876</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929">
        <v>44876</v>
      </c>
      <c r="D8" s="2350" t="s">
        <v>835</v>
      </c>
      <c r="E8" s="1022">
        <f ca="1">IF(F8&lt;B2,"已过期",2000110082)</f>
        <v>2000110082</v>
      </c>
      <c r="F8" s="1030">
        <v>46387</v>
      </c>
    </row>
    <row r="9" spans="1:6" ht="24" customHeight="1">
      <c r="A9" s="1702" t="s">
        <v>836</v>
      </c>
      <c r="B9" s="1022">
        <f ca="1">IF(C9&lt;B2,"已过期",1419970001)</f>
        <v>1419970001</v>
      </c>
      <c r="C9" s="2929">
        <v>44899</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3044</v>
      </c>
      <c r="B14" s="1022">
        <f ca="1">IF(C14&lt;B2,"已过期",1120040230)</f>
        <v>1120040230</v>
      </c>
      <c r="C14" s="2347">
        <v>44864</v>
      </c>
      <c r="D14" s="2350" t="s">
        <v>3044</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3051</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3053</v>
      </c>
      <c r="B23" s="1022">
        <v>1119980106</v>
      </c>
      <c r="C23" s="2347">
        <v>43916</v>
      </c>
      <c r="D23" s="1702" t="s">
        <v>3056</v>
      </c>
      <c r="E23" s="1022">
        <v>96010063</v>
      </c>
      <c r="F23" s="1030">
        <v>47118</v>
      </c>
    </row>
    <row r="24" spans="1:7" s="1024" customFormat="1" ht="24" customHeight="1">
      <c r="A24" s="1703" t="s">
        <v>1328</v>
      </c>
      <c r="B24" s="1703" t="s">
        <v>1328</v>
      </c>
      <c r="C24" s="2348" t="s">
        <v>1328</v>
      </c>
      <c r="D24" s="2351" t="s">
        <v>1328</v>
      </c>
      <c r="E24" s="1703" t="s">
        <v>1328</v>
      </c>
      <c r="F24" s="1703" t="s">
        <v>1328</v>
      </c>
    </row>
    <row r="25" spans="1:7" ht="24" customHeight="1">
      <c r="A25" s="2998" t="s">
        <v>842</v>
      </c>
      <c r="B25" s="2998"/>
      <c r="C25" s="2998"/>
      <c r="D25" s="2998"/>
      <c r="E25" s="2998"/>
      <c r="F25" s="2998"/>
      <c r="G25" s="2998"/>
    </row>
    <row r="26" spans="1:7" s="1025" customFormat="1" ht="24" customHeight="1">
      <c r="A26" s="2999" t="s">
        <v>843</v>
      </c>
      <c r="B26" s="2999"/>
      <c r="C26" s="3000"/>
      <c r="D26" s="3001" t="s">
        <v>844</v>
      </c>
      <c r="E26" s="2999"/>
      <c r="F26" s="2999"/>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2017-03-01T09:15:43Z</cp:lastPrinted>
  <dcterms:created xsi:type="dcterms:W3CDTF">2015-07-13T07:17:23Z</dcterms:created>
  <dcterms:modified xsi:type="dcterms:W3CDTF">2020-03-10T07:54:38Z</dcterms:modified>
</cp:coreProperties>
</file>