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3" i="15"/>
  <c r="F20" i="31"/>
  <c r="M6" i="67"/>
  <c r="M9" i="67"/>
  <c r="E7" i="76"/>
  <c r="J15" i="67"/>
  <c r="E2" i="68"/>
  <c r="M23" i="15"/>
  <c r="L48" i="67"/>
  <c r="D35" i="9"/>
  <c r="M28" i="67"/>
  <c r="D34" i="9"/>
  <c r="J15" i="15"/>
  <c r="E11" i="76"/>
  <c r="M22" i="15"/>
  <c r="F9" i="67"/>
  <c r="B10" i="76"/>
  <c r="F3" i="73"/>
  <c r="F9" i="15"/>
  <c r="F16" i="67"/>
  <c r="M8" i="15"/>
  <c r="M28" i="15"/>
  <c r="L48" i="15"/>
  <c r="F7" i="67"/>
  <c r="F8" i="67"/>
  <c r="F40" i="67"/>
  <c r="F36" i="67"/>
  <c r="M24" i="15"/>
  <c r="B8" i="76"/>
  <c r="M23" i="67"/>
  <c r="E13" i="76"/>
  <c r="F42" i="15"/>
  <c r="E9" i="76"/>
  <c r="F5" i="73"/>
  <c r="F37" i="67"/>
  <c r="M22" i="67"/>
  <c r="M24" i="67"/>
  <c r="M26" i="15"/>
  <c r="F7" i="15"/>
  <c r="F26" i="15"/>
  <c r="F38" i="15"/>
  <c r="M6" i="15"/>
  <c r="F16" i="15"/>
  <c r="F37" i="15"/>
  <c r="F43" i="67"/>
  <c r="B13" i="76"/>
  <c r="C76" i="67"/>
  <c r="E12" i="76"/>
  <c r="F38" i="67"/>
  <c r="M26" i="67"/>
  <c r="M29" i="67"/>
  <c r="F6" i="15"/>
  <c r="F7" i="73"/>
  <c r="M9" i="15"/>
  <c r="B7" i="76"/>
  <c r="L47" i="15"/>
  <c r="AO13" i="1"/>
  <c r="F40" i="15"/>
  <c r="D5" i="73"/>
  <c r="E10" i="76"/>
  <c r="F36" i="15"/>
  <c r="C76" i="15"/>
  <c r="F26" i="67"/>
  <c r="F13" i="67"/>
  <c r="E8" i="76"/>
  <c r="F4" i="73"/>
  <c r="F42" i="67"/>
  <c r="M29" i="15"/>
  <c r="M8" i="67"/>
  <c r="F13" i="15"/>
  <c r="F6" i="73"/>
  <c r="B11" i="76"/>
  <c r="B12" i="76"/>
  <c r="E2" i="69"/>
  <c r="D3" i="73"/>
  <c r="L47" i="67"/>
  <c r="B9" i="76"/>
  <c r="F8" i="15"/>
  <c r="F28" i="15" l="1"/>
  <c r="F32" i="67"/>
  <c r="F60" i="67" s="1"/>
  <c r="F28" i="67"/>
  <c r="D68" i="9"/>
  <c r="M18" i="15"/>
  <c r="F30" i="69"/>
  <c r="F48" i="69" s="1"/>
  <c r="M18" i="67"/>
  <c r="F31" i="12"/>
  <c r="F30" i="11"/>
  <c r="C48" i="11" s="1"/>
  <c r="W26" i="33"/>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106" i="3"/>
  <c r="E146" i="3"/>
  <c r="E171" i="3"/>
  <c r="E214" i="3"/>
  <c r="E315" i="3"/>
  <c r="E362"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4" i="73"/>
  <c r="C16" i="15"/>
  <c r="G1" i="73"/>
  <c r="C16" i="67"/>
  <c r="E71" i="3" l="1"/>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580" i="3"/>
  <c r="E394" i="3"/>
  <c r="E274" i="3"/>
  <c r="E256" i="3"/>
  <c r="E203" i="3"/>
  <c r="E73" i="3"/>
  <c r="E55" i="3"/>
  <c r="E496" i="3"/>
  <c r="E429" i="3"/>
  <c r="AE6" i="3"/>
  <c r="E344" i="3"/>
  <c r="E424" i="3"/>
  <c r="E481" i="3"/>
  <c r="E437" i="3"/>
  <c r="Q6" i="3"/>
  <c r="E330" i="3"/>
  <c r="E177" i="3"/>
  <c r="E120" i="3"/>
  <c r="E262" i="3"/>
  <c r="E128" i="3"/>
  <c r="E434" i="3"/>
  <c r="E238" i="3"/>
  <c r="E156" i="3"/>
  <c r="K66" i="43"/>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15"/>
  <c r="M27"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6"/>
  <c r="D2" i="37"/>
  <c r="D2" i="35"/>
  <c r="L51" i="15"/>
  <c r="D2" i="34"/>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12" i="1"/>
  <c r="AO9" i="1"/>
  <c r="C19" i="9"/>
  <c r="AO11" i="1"/>
  <c r="AO7" i="1"/>
  <c r="AO10" i="1"/>
  <c r="AO8"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R26" i="31"/>
  <c r="T26" i="31" s="1"/>
  <c r="R27" i="31"/>
  <c r="T27" i="31" s="1"/>
  <c r="R28" i="31"/>
  <c r="T28" i="31" s="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D53" i="9"/>
  <c r="D52" i="9"/>
  <c r="C104" i="9"/>
  <c r="H4" i="52"/>
  <c r="N60" i="9"/>
  <c r="N61" i="9"/>
  <c r="C105" i="9"/>
  <c r="I4" i="52"/>
  <c r="P57" i="9"/>
  <c r="N58" i="9"/>
  <c r="B52" i="72"/>
  <c r="D54" i="9"/>
  <c r="N69" i="9"/>
  <c r="M67" i="9"/>
  <c r="B53" i="72"/>
  <c r="B22" i="72"/>
  <c r="M65" i="9"/>
  <c r="B51" i="72"/>
  <c r="M48" i="9"/>
  <c r="B30" i="72"/>
  <c r="C68" i="9"/>
  <c r="D8" i="52"/>
  <c r="M54" i="9"/>
  <c r="N57" i="9"/>
  <c r="F4" i="52"/>
  <c r="B21" i="72"/>
  <c r="D122" i="9"/>
  <c r="D123" i="9"/>
  <c r="D9" i="52"/>
  <c r="N59" i="9"/>
  <c r="L67" i="9"/>
  <c r="L65" i="9"/>
  <c r="C81" i="9"/>
  <c r="G4" i="52"/>
  <c r="D4" i="52"/>
  <c r="B47" i="72"/>
  <c r="B20" i="72"/>
  <c r="D5" i="53"/>
  <c r="D6" i="53"/>
  <c r="E97" i="9"/>
  <c r="C5" i="74"/>
  <c r="H102" i="9"/>
  <c r="D7" i="53"/>
  <c r="B31" i="72"/>
  <c r="D55" i="9"/>
  <c r="M53" i="9"/>
  <c r="B49" i="72"/>
  <c r="C93" i="9"/>
  <c r="C86" i="9"/>
  <c r="B48" i="72"/>
  <c r="M69" i="9"/>
  <c r="L63" i="9"/>
  <c r="M63" i="9"/>
  <c r="E81" i="9"/>
  <c r="C67" i="9"/>
  <c r="D59" i="9"/>
  <c r="M55" i="9"/>
  <c r="C78" i="9"/>
  <c r="C73" i="9"/>
  <c r="H119" i="9"/>
  <c r="H5" i="52"/>
  <c r="G118" i="9"/>
  <c r="F118" i="9"/>
  <c r="F119" i="9"/>
  <c r="F5" i="52"/>
  <c r="L68" i="9"/>
  <c r="M68" i="9"/>
  <c r="D119" i="9"/>
  <c r="D5" i="52"/>
  <c r="C97" i="9"/>
  <c r="D58" i="9"/>
  <c r="D56" i="9"/>
  <c r="E4" i="52"/>
  <c r="E118" i="9"/>
  <c r="D118" i="9"/>
  <c r="D13" i="53"/>
  <c r="D14" i="53"/>
  <c r="B32" i="72"/>
  <c r="C72" i="9"/>
  <c r="C79" i="9"/>
  <c r="C80" i="9"/>
  <c r="E80" i="9"/>
  <c r="C6" i="74"/>
  <c r="H108" i="9"/>
  <c r="D15" i="53"/>
  <c r="C85" i="9"/>
  <c r="C95" i="9"/>
  <c r="C96" i="9"/>
  <c r="E96" i="9"/>
  <c r="L66" i="9"/>
  <c r="M66" i="9"/>
  <c r="H107" i="9"/>
  <c r="M49" i="9"/>
  <c r="L64" i="9"/>
  <c r="M64"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<sst xmlns="http://schemas.openxmlformats.org/spreadsheetml/2006/main" count="8211" uniqueCount="3452">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</sst>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估价对象为北京市房地产，为所有。根据《国有土地使用证》[]，估价对象（分摊）出让国有建设用地使用权面积为0平方米，建筑面积为164.45平方米。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估价对象为北京市房地产,属开发建设的，该项目尚在开发建设中。根据《国有土地使用证》[]，估价对象（分摊）出让国有建设用地使用权面积为0平方米，规划建筑面积为164.45平方米。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164.45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2"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13"/>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164.45</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164.45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164.45</v>
      </c>
      <c r="H5" s="13">
        <f t="shared" ref="H5:AT5" si="0">SUM(H13:H656)</f>
        <v>164.45</v>
      </c>
      <c r="I5" s="13">
        <f t="shared" si="0"/>
        <v>164.45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164.45</v>
      </c>
      <c r="BA5" s="15">
        <f t="shared" si="1"/>
        <v>164.45</v>
      </c>
      <c r="BB5" s="15">
        <f t="shared" si="1"/>
        <v>164.45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509</v>
      </c>
      <c r="D13" s="1624" t="s">
        <v>3373</v>
      </c>
      <c r="E13" s="13">
        <f>IF($C$3="是",ROUND($A$3*G13/$B$3,2),ROUND($A$3*(G13-AT13)/$B$3,2))</f>
        <v>0</v>
      </c>
      <c r="F13" s="29"/>
      <c r="G13" s="30">
        <f>H13+AC13+AT13</f>
        <v>164.45</v>
      </c>
      <c r="H13" s="17">
        <f>SUMIF(I$12:AB$12,"总值",I13:AB13)</f>
        <v>164.45</v>
      </c>
      <c r="I13" s="1625">
        <v>164.45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509</v>
      </c>
      <c r="AY13" s="1348">
        <f>ROUND($AY$6*AZ13/$AZ$5,2)</f>
        <v>0</v>
      </c>
      <c r="AZ13" s="13">
        <f>BA13+BL13</f>
        <v>164.45</v>
      </c>
      <c r="BA13" s="13">
        <f>SUM(BB13:BK13)</f>
        <v>164.45</v>
      </c>
      <c r="BB13" s="13">
        <f>IF($D13="是",I13-J13,0)</f>
        <v>164.45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7" sqref="E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164.45</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164.45</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164.45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164.45</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509</v>
      </c>
      <c r="D19" s="45">
        <f>ROUND($D$3*E19/$E$3,2)</f>
        <v>0</v>
      </c>
      <c r="E19" s="53">
        <f t="shared" ref="E19:E26" si="1">SUM(F19:G19)</f>
        <v>164.45</v>
      </c>
      <c r="F19" s="2794">
        <f>'数据-基础表'!I13</f>
        <v>164.45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164.45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164.45</v>
      </c>
      <c r="F27" s="1139">
        <f>IF(SUM(F19:F26)=E8,SUM(F19:F26),"地上面积有误")</f>
        <v>164.45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164.45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164.45</v>
      </c>
      <c r="F31" s="676">
        <f>F27+F30</f>
        <v>164.45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E45" sqref="E4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509</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164.45</v>
      </c>
      <c r="L6" s="732">
        <v>4000</v>
      </c>
      <c r="M6" s="67">
        <f t="shared" ref="M6:M14" si="0">ROUND(K6*L6/10000,0)</f>
        <v>66</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300.83409999999998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164.45</v>
      </c>
      <c r="L16" s="93">
        <f>ROUND(M16*10000/SUM(K6:K14),0)</f>
        <v>4013</v>
      </c>
      <c r="M16" s="93">
        <f>SUM(M6:M14)</f>
        <v>66</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3.2890000000000001</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J26" sqref="J2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380.81689999999998</v>
      </c>
      <c r="C5" s="2511" t="e">
        <f ca="1">IF(B5=D14,结果表!H102,ROUND(B5*10000/$B$1,0))</f>
        <v>#DIV/0!</v>
      </c>
      <c r="D5" s="2511" t="e">
        <f ca="1">ROUND(B5*10000/$B$2,0)</f>
        <v>#DIV/0!</v>
      </c>
      <c r="E5" s="2685"/>
      <c r="F5" s="2686"/>
      <c r="G5" s="2686"/>
      <c r="H5" s="2687"/>
      <c r="I5" s="2687"/>
      <c r="J5" s="2687"/>
      <c r="K5" s="2687"/>
    </row>
    <row r="6" spans="1:11" ht="16.5">
      <c r="A6" s="2511" t="s">
        <v>656</v>
      </c>
      <c r="B6" s="2511">
        <f ca="1">SUM(G14:G23)</f>
        <v>380.81689999999998</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典型户型修正!B28</f>
        <v>164.45</v>
      </c>
      <c r="C14" s="2517"/>
      <c r="D14" s="2517">
        <f ca="1">典型户型修正!T28/10000</f>
        <v>380.81689999999998</v>
      </c>
      <c r="E14" s="2517">
        <f ca="1">ROUND(D14*10000/B14,0)</f>
        <v>23157</v>
      </c>
      <c r="F14" s="2517" t="e">
        <f ca="1">ROUND(D14*10000/C14,0)</f>
        <v>#DIV/0!</v>
      </c>
      <c r="G14" s="2517">
        <f ca="1">D14</f>
        <v>380.81689999999998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3434</v>
      </c>
      <c r="D4" s="1755" t="s">
        <v>3376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0</v>
      </c>
      <c r="M18" s="302">
        <f>IF(C1="",'数据-汇总表'!E3,SUMIF(项目类型,C1,'数据-汇总表'!E17:E26))</f>
        <v>0</v>
      </c>
    </row>
    <row r="19" spans="1:36" ht="15">
      <c r="A19" s="1760" t="s">
        <v>1290</v>
      </c>
      <c r="B19" s="1761" t="s">
        <v>1291</v>
      </c>
      <c r="C19" s="134">
        <f ca="1">SUMIF(INDIRECT("'"&amp;C4&amp;"'"&amp;"!A:A"),结果表!B19,INDIRECT("'"&amp;C4&amp;"'"&amp;"!B:B"))</f>
        <v>0</v>
      </c>
      <c r="D19" s="135">
        <f ca="1">SUMIF(INDIRECT("'"&amp;D4&amp;"'"&amp;"!A:A"),结果表!B19,INDIRECT("'"&amp;D4&amp;"'"&amp;"!B:B"))</f>
        <v>300.83409999999998</v>
      </c>
      <c r="E19" s="1760" t="s">
        <v>1292</v>
      </c>
      <c r="F19" s="1761" t="s">
        <v>1291</v>
      </c>
      <c r="G19" s="136">
        <f ca="1">ROUND(C19*$C$18+D19*$D$18,0)</f>
        <v>120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18293</v>
      </c>
      <c r="E20" s="1763"/>
      <c r="F20" s="1025" t="s">
        <v>1295</v>
      </c>
      <c r="G20" s="139">
        <f ca="1">ROUND(C20*$C$18+D20*$D$18,0)</f>
        <v>23157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t="e">
        <f ca="1">IF(C19&lt;D19,D19/C19-1,C19/D19-1)</f>
        <v>#DIV/0!</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23157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45210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t="e">
        <f ca="1">H101</f>
        <v>#REF!</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t="str">
        <f ca="1">IF(项目基本情况!E8="房地产抵押价值",H107,H109)</f>
        <v>——</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t="e">
        <f ca="1">ROUND(D45*'数据-取费表'!B41/(1+'数据-取费表'!C42),0)</f>
        <v>#REF!</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2281</v>
      </c>
      <c r="C53" s="3609"/>
      <c r="D53" s="1086" t="e">
        <f ca="1">ROUND(D45*'数据-取费表'!B41/(1+'数据-取费表'!C42),0)</f>
        <v>#REF!</v>
      </c>
      <c r="E53" s="2333" t="s">
        <v>1354</v>
      </c>
      <c r="F53" s="2553">
        <f>'数据-取费表'!B41</f>
        <v>5.5000000000000007E-2</v>
      </c>
      <c r="G53" s="2554"/>
      <c r="H53" s="2543"/>
      <c r="I53" s="1806"/>
      <c r="J53" s="2522">
        <v>2</v>
      </c>
      <c r="K53" s="3584" t="s">
        <v>1357</v>
      </c>
      <c r="L53" s="3584"/>
      <c r="M53" s="2524" t="e">
        <f t="shared" ref="M53:O54" ca="1" si="0">D55</f>
        <v>#REF!</v>
      </c>
      <c r="N53" s="2522" t="str">
        <f t="shared" si="0"/>
        <v>销售额×税（费）率</v>
      </c>
      <c r="O53" s="2525" t="str">
        <f t="shared" si="0"/>
        <v>免征</v>
      </c>
    </row>
    <row r="54" spans="1:35" ht="12" customHeight="1">
      <c r="A54" s="2334" t="s">
        <v>1358</v>
      </c>
      <c r="B54" s="3608" t="s">
        <v>2282</v>
      </c>
      <c r="C54" s="3609"/>
      <c r="D54" s="1086" t="e">
        <f ca="1">C68</f>
        <v>#REF!</v>
      </c>
      <c r="E54" s="327" t="s">
        <v>1359</v>
      </c>
      <c r="F54" s="2553">
        <f>'数据-取费表'!B41</f>
        <v>5.5000000000000007E-2</v>
      </c>
      <c r="G54" s="2554"/>
      <c r="H54" s="2555"/>
      <c r="I54" s="1806"/>
      <c r="J54" s="2522">
        <v>3</v>
      </c>
      <c r="K54" s="3584" t="s">
        <v>1360</v>
      </c>
      <c r="L54" s="3584"/>
      <c r="M54" s="2524" t="e">
        <f t="shared" ca="1" si="0"/>
        <v>#REF!</v>
      </c>
      <c r="N54" s="2522" t="str">
        <f t="shared" si="0"/>
        <v>增值额×税（费）率</v>
      </c>
      <c r="O54" s="2526" t="str">
        <f t="shared" si="0"/>
        <v>免征</v>
      </c>
    </row>
    <row r="55" spans="1:35" ht="24" customHeight="1">
      <c r="A55" s="3644" t="s">
        <v>1361</v>
      </c>
      <c r="B55" s="3622"/>
      <c r="C55" s="3622"/>
      <c r="D55" s="2323" t="e">
        <f ca="1">IF(H55="个人住宅",0,ROUND(D45*I55,0))</f>
        <v>#REF!</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t="e">
        <f ca="1">D59</f>
        <v>#REF!</v>
      </c>
      <c r="N55" s="2039" t="str">
        <f>E59</f>
        <v>差额计税</v>
      </c>
      <c r="O55" s="2528">
        <f>F59</f>
        <v>0.01</v>
      </c>
    </row>
    <row r="56" spans="1:35" ht="24.75">
      <c r="A56" s="3644" t="s">
        <v>1363</v>
      </c>
      <c r="B56" s="3622"/>
      <c r="C56" s="3622"/>
      <c r="D56" s="2323" t="e">
        <f ca="1">IF(H56="个人住宅",D57,D58)</f>
        <v>#REF!</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0</v>
      </c>
      <c r="O57" s="2532"/>
      <c r="P57" s="2689" t="e">
        <f ca="1">N57/M49</f>
        <v>#VALUE!</v>
      </c>
    </row>
    <row r="58" spans="1:35" ht="24.75">
      <c r="A58" s="2334" t="s">
        <v>1352</v>
      </c>
      <c r="B58" s="3608" t="s">
        <v>1369</v>
      </c>
      <c r="C58" s="3607"/>
      <c r="D58" s="2323" t="e">
        <f ca="1">IF(H58="转让取得",C81,C97)</f>
        <v>#REF!</v>
      </c>
      <c r="E58" s="2333" t="s">
        <v>1364</v>
      </c>
      <c r="F58" s="302" t="s">
        <v>28</v>
      </c>
      <c r="G58" s="2554"/>
      <c r="H58" s="2557"/>
      <c r="I58" s="1807"/>
      <c r="J58" s="3584"/>
      <c r="K58" s="3584"/>
      <c r="L58" s="2529" t="s">
        <v>1370</v>
      </c>
      <c r="M58" s="2533"/>
      <c r="N58" s="2534" t="str">
        <f ca="1">NUMBERSTRING(INT(N57*10000),2)&amp;"元整"</f>
        <v>零元整</v>
      </c>
      <c r="O58" s="2535"/>
    </row>
    <row r="59" spans="1:35" ht="24.75" thickBot="1">
      <c r="A59" s="3588" t="s">
        <v>1371</v>
      </c>
      <c r="B59" s="3589"/>
      <c r="C59" s="358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t="e">
        <f ca="1">M49-N57</f>
        <v>#VALUE!</v>
      </c>
      <c r="O59" s="2538"/>
    </row>
    <row r="60" spans="1:35" ht="12" customHeight="1">
      <c r="A60" s="1808"/>
      <c r="B60" s="1746"/>
      <c r="C60" s="1746"/>
      <c r="D60" s="1746"/>
      <c r="E60" s="1577"/>
      <c r="F60" s="1807"/>
      <c r="G60" s="1807"/>
      <c r="H60" s="1809"/>
      <c r="I60" s="129"/>
      <c r="J60" s="3587"/>
      <c r="K60" s="3584"/>
      <c r="L60" s="2529" t="s">
        <v>1370</v>
      </c>
      <c r="M60" s="2533"/>
      <c r="N60" s="2534" t="e">
        <f ca="1">NUMBERSTRING(INT(N59*10000),2)&amp;"元整"</f>
        <v>#VALUE!</v>
      </c>
      <c r="O60" s="2535"/>
    </row>
    <row r="61" spans="1:35" ht="13.5" thickBot="1">
      <c r="A61" s="3643" t="s">
        <v>1373</v>
      </c>
      <c r="B61" s="3643"/>
      <c r="C61" s="3643"/>
      <c r="D61" s="3643"/>
      <c r="E61" s="3643"/>
      <c r="F61" s="1807"/>
      <c r="G61" s="1807"/>
      <c r="H61" s="1809"/>
      <c r="I61" s="129"/>
      <c r="J61" s="2522">
        <f>J59+1</f>
        <v>7</v>
      </c>
      <c r="K61" s="3584" t="s">
        <v>1374</v>
      </c>
      <c r="L61" s="3584"/>
      <c r="M61" s="2539"/>
      <c r="N61" s="2540" t="e">
        <f ca="1">ROUND(N59*10000/'数据-汇总表'!E3,0)</f>
        <v>#VALUE!</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7"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7"/>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7"/>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67"/>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6" t="s">
        <v>1432</v>
      </c>
      <c r="H101" s="2594" t="e">
        <f ca="1">H118</f>
        <v>#REF!</v>
      </c>
      <c r="I101" s="129"/>
    </row>
    <row r="102" spans="1:35" ht="18.75" customHeight="1">
      <c r="A102" s="3595" t="s">
        <v>1433</v>
      </c>
      <c r="B102" s="2583" t="s">
        <v>1432</v>
      </c>
      <c r="C102" s="2584">
        <f ca="1">IF(D32="楼面单价",ROUND(C19,0),C19)</f>
        <v>0</v>
      </c>
      <c r="D102" s="2585">
        <f ca="1">IF(D32="楼面单价",ROUND(D19,0),D19)</f>
        <v>300.83409999999998</v>
      </c>
      <c r="E102" s="3563"/>
      <c r="F102" s="3564"/>
      <c r="G102" s="1826" t="s">
        <v>1434</v>
      </c>
      <c r="H102" s="2554" t="e">
        <f ca="1">I118</f>
        <v>#REF!</v>
      </c>
      <c r="I102" s="129"/>
    </row>
    <row r="103" spans="1:35" ht="42.75" customHeight="1">
      <c r="A103" s="3595"/>
      <c r="B103" s="2583" t="s">
        <v>1434</v>
      </c>
      <c r="C103" s="2586">
        <f ca="1">C20</f>
        <v>26399</v>
      </c>
      <c r="D103" s="2587">
        <f ca="1">D20</f>
        <v>18293</v>
      </c>
      <c r="E103" s="3556" t="s">
        <v>1435</v>
      </c>
      <c r="F103" s="3557"/>
      <c r="G103" s="1827" t="s">
        <v>1436</v>
      </c>
      <c r="H103" s="2594">
        <f>IF(D36="正常操作",H104+H105+H106,H105+H106)</f>
        <v>0</v>
      </c>
      <c r="I103" s="129"/>
    </row>
    <row r="104" spans="1:35" ht="18.75" customHeight="1">
      <c r="A104" s="359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t="e">
        <f ca="1">IF(E107="——","——",H101-H103)</f>
        <v>#REF!</v>
      </c>
      <c r="I107" s="129"/>
    </row>
    <row r="108" spans="1:35" ht="18.75" customHeight="1">
      <c r="A108" s="129"/>
      <c r="B108" s="129"/>
      <c r="C108" s="129"/>
      <c r="D108" s="129"/>
      <c r="E108" s="3596"/>
      <c r="F108" s="3564"/>
      <c r="G108" s="1826" t="s">
        <v>1434</v>
      </c>
      <c r="H108" s="2554">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0</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t="e">
        <f ca="1">H107</f>
        <v>#REF!</v>
      </c>
      <c r="E122" s="3573"/>
      <c r="F122" s="3573"/>
      <c r="G122" s="3573"/>
      <c r="H122" s="3573"/>
      <c r="I122" s="3574"/>
      <c r="AA122" s="724"/>
    </row>
    <row r="123" spans="1:27" ht="18.75" customHeight="1">
      <c r="A123" s="3571" t="s">
        <v>1452</v>
      </c>
      <c r="B123" s="3571"/>
      <c r="C123" s="3571"/>
      <c r="D123" s="3577" t="e">
        <f ca="1">NUMBERSTRING(INT(D122*10000),2)&amp;"元整"</f>
        <v>#REF!</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3.2890000000000001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3.2890000000000001</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164.45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164.45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164.45</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79" t="s">
        <v>346</v>
      </c>
      <c r="B46" s="248" t="s">
        <v>1549</v>
      </c>
      <c r="C46" s="249">
        <f ca="1">ROUND((C33+C39)*F27,0)</f>
        <v>11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81</v>
      </c>
      <c r="D51" s="232"/>
      <c r="E51" s="232"/>
      <c r="F51" s="264"/>
      <c r="G51" s="234" t="s">
        <v>1560</v>
      </c>
    </row>
    <row r="52" spans="1:7" s="208" customFormat="1" ht="16.5" thickBot="1">
      <c r="A52" s="265" t="s">
        <v>1561</v>
      </c>
      <c r="B52" s="266"/>
      <c r="C52" s="267">
        <f ca="1">C31+C51</f>
        <v>89</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1957"/>
      <c r="Y4" s="3658" t="s">
        <v>1775</v>
      </c>
      <c r="Z4" s="3659"/>
      <c r="AA4" s="3653" t="s">
        <v>1771</v>
      </c>
      <c r="AB4" s="3653" t="s">
        <v>1772</v>
      </c>
      <c r="AC4" s="3673" t="s">
        <v>1773</v>
      </c>
    </row>
    <row r="5" spans="1:29" ht="15">
      <c r="A5" s="358"/>
      <c r="B5" s="359"/>
      <c r="C5" s="3664">
        <v>503</v>
      </c>
      <c r="D5" s="3665"/>
      <c r="E5" s="3662" t="s">
        <v>3403</v>
      </c>
      <c r="F5" s="3663"/>
      <c r="G5" s="3668" t="s">
        <v>3438</v>
      </c>
      <c r="H5" s="3665"/>
      <c r="I5" s="3668" t="s">
        <v>3438</v>
      </c>
      <c r="J5" s="3665"/>
      <c r="K5" s="559"/>
      <c r="L5" s="2714"/>
      <c r="M5" s="2715"/>
      <c r="N5" s="2715"/>
      <c r="O5" s="2715"/>
      <c r="P5" s="3682"/>
      <c r="Q5" s="3683"/>
      <c r="R5" s="3660"/>
      <c r="S5" s="3661"/>
      <c r="T5" s="3660"/>
      <c r="U5" s="3661"/>
      <c r="V5" s="3689"/>
      <c r="W5" s="3689"/>
      <c r="X5" s="1354"/>
      <c r="Y5" s="3660"/>
      <c r="Z5" s="3661"/>
      <c r="AA5" s="3654"/>
      <c r="AB5" s="3654"/>
      <c r="AC5" s="3674"/>
    </row>
    <row r="6" spans="1:29" ht="15.75" thickBot="1">
      <c r="A6" s="360"/>
      <c r="B6" s="361"/>
      <c r="C6" s="3666" t="s">
        <v>1677</v>
      </c>
      <c r="D6" s="3667"/>
      <c r="E6" s="3669" t="s">
        <v>3406</v>
      </c>
      <c r="F6" s="3670"/>
      <c r="G6" s="3671" t="s">
        <v>3405</v>
      </c>
      <c r="H6" s="3667"/>
      <c r="I6" s="3671" t="s">
        <v>3404</v>
      </c>
      <c r="J6" s="3667"/>
      <c r="K6" s="559" t="s">
        <v>1678</v>
      </c>
      <c r="L6" s="2714"/>
      <c r="M6" s="2715"/>
      <c r="N6" s="2715"/>
      <c r="O6" s="2715"/>
      <c r="P6" s="3684"/>
      <c r="Q6" s="3685"/>
      <c r="R6" s="3660"/>
      <c r="S6" s="3661"/>
      <c r="T6" s="3686"/>
      <c r="U6" s="3687"/>
      <c r="V6" s="3689"/>
      <c r="W6" s="3689"/>
      <c r="X6" s="1354"/>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0" t="s">
        <v>1683</v>
      </c>
      <c r="Q8" s="3657"/>
      <c r="R8" s="700" t="s">
        <v>14</v>
      </c>
      <c r="S8" s="701">
        <f t="shared" si="0"/>
        <v>105</v>
      </c>
      <c r="T8" s="700" t="s">
        <v>14</v>
      </c>
      <c r="U8" s="701">
        <f t="shared" si="1"/>
        <v>105</v>
      </c>
      <c r="V8" s="700" t="s">
        <v>14</v>
      </c>
      <c r="W8" s="701">
        <f t="shared" si="2"/>
        <v>105</v>
      </c>
      <c r="X8" s="702"/>
      <c r="Y8" s="3656" t="s">
        <v>1683</v>
      </c>
      <c r="Z8" s="3657"/>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92" t="s">
        <v>1691</v>
      </c>
      <c r="Q15" s="1351" t="str">
        <f t="shared" si="6"/>
        <v>办公集聚程度</v>
      </c>
      <c r="R15" s="704" t="s">
        <v>14</v>
      </c>
      <c r="S15" s="705">
        <f t="shared" si="0"/>
        <v>100</v>
      </c>
      <c r="T15" s="704" t="s">
        <v>14</v>
      </c>
      <c r="U15" s="705">
        <f t="shared" si="1"/>
        <v>98</v>
      </c>
      <c r="V15" s="704" t="s">
        <v>14</v>
      </c>
      <c r="W15" s="705">
        <f t="shared" si="2"/>
        <v>98</v>
      </c>
      <c r="X15" s="1354"/>
      <c r="Y15" s="3694"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93"/>
      <c r="Q16" s="1351"/>
      <c r="R16" s="704"/>
      <c r="S16" s="705"/>
      <c r="T16" s="704"/>
      <c r="U16" s="705"/>
      <c r="V16" s="704"/>
      <c r="W16" s="705"/>
      <c r="X16" s="1354"/>
      <c r="Y16" s="3695"/>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1351"/>
      <c r="R18" s="704"/>
      <c r="S18" s="705"/>
      <c r="T18" s="704"/>
      <c r="U18" s="705"/>
      <c r="V18" s="704"/>
      <c r="W18" s="705"/>
      <c r="X18" s="1354"/>
      <c r="Y18" s="3695"/>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93"/>
      <c r="Q19" s="1351" t="str">
        <f>B19</f>
        <v>公共配套设施</v>
      </c>
      <c r="R19" s="704" t="s">
        <v>14</v>
      </c>
      <c r="S19" s="705">
        <f>F19</f>
        <v>100</v>
      </c>
      <c r="T19" s="704" t="s">
        <v>14</v>
      </c>
      <c r="U19" s="705">
        <f>H19</f>
        <v>102</v>
      </c>
      <c r="V19" s="704" t="s">
        <v>14</v>
      </c>
      <c r="W19" s="705">
        <f>J19</f>
        <v>102</v>
      </c>
      <c r="X19" s="1354"/>
      <c r="Y19" s="3695"/>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93"/>
      <c r="Q20" s="1351"/>
      <c r="R20" s="704"/>
      <c r="S20" s="705"/>
      <c r="T20" s="704"/>
      <c r="U20" s="705"/>
      <c r="V20" s="704"/>
      <c r="W20" s="705"/>
      <c r="X20" s="1354"/>
      <c r="Y20" s="3695"/>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1351"/>
      <c r="R22" s="704"/>
      <c r="S22" s="705"/>
      <c r="T22" s="704"/>
      <c r="U22" s="705"/>
      <c r="V22" s="704"/>
      <c r="W22" s="705"/>
      <c r="X22" s="1354"/>
      <c r="Y22" s="3695"/>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1351"/>
      <c r="R24" s="704"/>
      <c r="S24" s="705"/>
      <c r="T24" s="704"/>
      <c r="U24" s="705"/>
      <c r="V24" s="704"/>
      <c r="W24" s="705"/>
      <c r="X24" s="1354"/>
      <c r="Y24" s="3695"/>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93"/>
      <c r="Q26" s="1351"/>
      <c r="R26" s="704"/>
      <c r="S26" s="705"/>
      <c r="T26" s="704"/>
      <c r="U26" s="705"/>
      <c r="V26" s="704"/>
      <c r="W26" s="705"/>
      <c r="X26" s="1354"/>
      <c r="Y26" s="3695"/>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164.45</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97"/>
      <c r="Q34" s="706" t="str">
        <f t="shared" si="11"/>
        <v>项目建筑规模</v>
      </c>
      <c r="R34" s="707" t="s">
        <v>14</v>
      </c>
      <c r="S34" s="708">
        <f t="shared" si="12"/>
        <v>95</v>
      </c>
      <c r="T34" s="707" t="s">
        <v>14</v>
      </c>
      <c r="U34" s="708">
        <f t="shared" si="13"/>
        <v>98</v>
      </c>
      <c r="V34" s="707" t="s">
        <v>14</v>
      </c>
      <c r="W34" s="708">
        <f t="shared" si="14"/>
        <v>99</v>
      </c>
      <c r="X34" s="709"/>
      <c r="Y34" s="3699"/>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7"/>
      <c r="Q43" s="1351" t="str">
        <f t="shared" si="11"/>
        <v>内部装修</v>
      </c>
      <c r="R43" s="704" t="s">
        <v>14</v>
      </c>
      <c r="S43" s="705">
        <f t="shared" si="12"/>
        <v>100</v>
      </c>
      <c r="T43" s="704" t="s">
        <v>14</v>
      </c>
      <c r="U43" s="705">
        <f t="shared" si="13"/>
        <v>101</v>
      </c>
      <c r="V43" s="704" t="s">
        <v>14</v>
      </c>
      <c r="W43" s="705">
        <f t="shared" si="14"/>
        <v>101</v>
      </c>
      <c r="X43" s="1354"/>
      <c r="Y43" s="3699"/>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97"/>
      <c r="Q45" s="1342" t="str">
        <f t="shared" si="11"/>
        <v>销售方式</v>
      </c>
      <c r="R45" s="700" t="s">
        <v>14</v>
      </c>
      <c r="S45" s="701">
        <f t="shared" si="12"/>
        <v>98</v>
      </c>
      <c r="T45" s="700" t="s">
        <v>14</v>
      </c>
      <c r="U45" s="701">
        <f t="shared" si="13"/>
        <v>100</v>
      </c>
      <c r="V45" s="700" t="s">
        <v>14</v>
      </c>
      <c r="W45" s="701">
        <f t="shared" si="14"/>
        <v>100</v>
      </c>
      <c r="X45" s="702"/>
      <c r="Y45" s="3699"/>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72" t="str">
        <f>A48</f>
        <v>成交单价（元/平方米）</v>
      </c>
      <c r="Q48" s="3701"/>
      <c r="R48" s="3702">
        <f>E48</f>
        <v>25000</v>
      </c>
      <c r="S48" s="3702"/>
      <c r="T48" s="3702">
        <f>G48</f>
        <v>27000</v>
      </c>
      <c r="U48" s="3702"/>
      <c r="V48" s="3702">
        <f>I48</f>
        <v>29000</v>
      </c>
      <c r="W48" s="3702"/>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72" t="str">
        <f>A49</f>
        <v>比较价值（元/平方米）</v>
      </c>
      <c r="Q49" s="3701"/>
      <c r="R49" s="3702">
        <f>IF(F1="售价",ROUND(PRODUCT(R48,AA7:AA47),0),ROUND(PRODUCT(R48,AA7:AA47),1))</f>
        <v>25574</v>
      </c>
      <c r="S49" s="3702"/>
      <c r="T49" s="3702">
        <f>IF(F1="售价",ROUND(PRODUCT(T48,AB7:AB47),0),ROUND(PRODUCT(T48,AB7:AB47),1))</f>
        <v>25990</v>
      </c>
      <c r="U49" s="3702"/>
      <c r="V49" s="3702">
        <f>IF(F1="售价",ROUND(PRODUCT(V48,AC7:AC47),0),ROUND(PRODUCT(V48,AC7:AC47),1))</f>
        <v>27633</v>
      </c>
      <c r="W49" s="3702"/>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26399</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509</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300.83409999999998</v>
      </c>
      <c r="C2" s="1386" t="s">
        <v>879</v>
      </c>
      <c r="D2" s="1470">
        <f ca="1">C40+J29+L46</f>
        <v>3008341</v>
      </c>
      <c r="E2" s="1387" t="s">
        <v>880</v>
      </c>
      <c r="F2" s="1388"/>
      <c r="G2" s="2705"/>
      <c r="H2" s="2694"/>
      <c r="I2" s="2694"/>
      <c r="J2" s="2694"/>
      <c r="K2" s="2695"/>
      <c r="L2" s="2694"/>
      <c r="M2" s="2694"/>
    </row>
    <row r="3" spans="1:37" ht="18" customHeight="1" thickBot="1">
      <c r="A3" s="1389" t="s">
        <v>881</v>
      </c>
      <c r="B3" s="1390">
        <f ca="1">IF(ISERROR(D2/F43),0,ROUND(D2/F43,0))</f>
        <v>18293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178795</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178572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164.45</v>
      </c>
      <c r="G7" s="1383"/>
      <c r="H7" s="304"/>
      <c r="I7" s="3707"/>
      <c r="J7" s="306"/>
      <c r="K7" s="307"/>
      <c r="L7" s="302" t="s">
        <v>697</v>
      </c>
      <c r="M7" s="303">
        <f ca="1">F7</f>
        <v>164.45</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223</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819479</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657800</v>
      </c>
      <c r="D14" s="1344" t="s">
        <v>708</v>
      </c>
      <c r="E14" s="1341"/>
      <c r="F14" s="319"/>
      <c r="G14" s="1383"/>
      <c r="H14" s="981" t="s">
        <v>398</v>
      </c>
      <c r="I14" s="302" t="s">
        <v>709</v>
      </c>
      <c r="J14" s="21">
        <f ca="1">C29</f>
        <v>941930</v>
      </c>
      <c r="K14" s="12"/>
      <c r="L14" s="806"/>
      <c r="M14" s="807"/>
    </row>
    <row r="15" spans="1:37" s="1396" customFormat="1" ht="18" customHeight="1" thickBot="1">
      <c r="A15" s="981" t="s">
        <v>399</v>
      </c>
      <c r="B15" s="302" t="s">
        <v>710</v>
      </c>
      <c r="C15" s="21">
        <f ca="1">ROUND(C14*F15,0)</f>
        <v>19734</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14129</v>
      </c>
      <c r="K16" s="1086" t="s">
        <v>715</v>
      </c>
      <c r="L16" s="1087"/>
      <c r="M16" s="1071"/>
    </row>
    <row r="17" spans="1:37" s="1396" customFormat="1" ht="18" customHeight="1">
      <c r="A17" s="981" t="s">
        <v>681</v>
      </c>
      <c r="B17" s="302" t="s">
        <v>716</v>
      </c>
      <c r="C17" s="21">
        <f ca="1">ROUND(F17*(F43+INDIRECT("'数据-取费表'!S"&amp;$G$1)),0)</f>
        <v>32890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9867</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720291</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14406</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14129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25347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-14129</v>
      </c>
      <c r="K25" s="1094" t="s">
        <v>753</v>
      </c>
      <c r="L25" s="1095"/>
      <c r="M25" s="1096"/>
    </row>
    <row r="26" spans="1:37" ht="18" customHeight="1">
      <c r="A26" s="981" t="s">
        <v>397</v>
      </c>
      <c r="B26" s="302" t="s">
        <v>754</v>
      </c>
      <c r="C26" s="21">
        <f ca="1">ROUND((C19+C20)*F26,0)</f>
        <v>110205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941930</v>
      </c>
      <c r="D29" s="1091"/>
      <c r="E29" s="1089"/>
      <c r="F29" s="1092"/>
      <c r="G29" s="1395"/>
      <c r="H29" s="334" t="s">
        <v>396</v>
      </c>
      <c r="I29" s="335" t="s">
        <v>768</v>
      </c>
      <c r="J29" s="336">
        <f ca="1">ROUND(J26/(1+F40)^F41,0)</f>
        <v>0</v>
      </c>
      <c r="K29" s="337" t="s">
        <v>769</v>
      </c>
      <c r="L29" s="338"/>
      <c r="M29" s="339">
        <f ca="1">INDIRECT("'数据-取费表'!k"&amp;$G$1)</f>
        <v>164.45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46908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29762</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9354</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20408</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14129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1229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1788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131887</v>
      </c>
      <c r="D39" s="1094" t="s">
        <v>773</v>
      </c>
      <c r="E39" s="1095"/>
      <c r="F39" s="1096"/>
      <c r="G39" s="1383"/>
      <c r="H39" s="2699"/>
      <c r="I39" s="1397"/>
      <c r="J39" s="1398"/>
      <c r="K39" s="2703"/>
      <c r="L39" s="2699"/>
      <c r="M39" s="2699"/>
    </row>
    <row r="40" spans="1:18" ht="18" customHeight="1">
      <c r="A40" s="299" t="s">
        <v>395</v>
      </c>
      <c r="B40" s="300" t="s">
        <v>774</v>
      </c>
      <c r="C40" s="301">
        <f ca="1">ROUND(C39*(1-((1+F42)/(1+F40))^F41)/(F40-F42),0)</f>
        <v>2990345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18184</v>
      </c>
      <c r="D43" s="337" t="s">
        <v>777</v>
      </c>
      <c r="E43" s="338" t="s">
        <v>778</v>
      </c>
      <c r="F43" s="339">
        <f ca="1">INDIRECT("'数据-取费表'!k"&amp;$G$1)</f>
        <v>164.45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-323.59280000000001</v>
      </c>
      <c r="D45" s="3431" t="s">
        <v>3348</v>
      </c>
      <c r="E45" s="1399"/>
      <c r="F45" s="1399"/>
      <c r="O45" s="1402" t="s">
        <v>808</v>
      </c>
      <c r="P45" s="1460"/>
      <c r="Q45" s="1460"/>
      <c r="R45" s="1460"/>
    </row>
    <row r="46" spans="1:18" s="1383" customFormat="1" ht="13.5" thickBot="1">
      <c r="A46" s="1403" t="s">
        <v>809</v>
      </c>
      <c r="C46" s="1404">
        <f ca="1">ROUND(C45,0)</f>
        <v>-324</v>
      </c>
      <c r="D46" s="1405" t="str">
        <f>C2</f>
        <v>万元</v>
      </c>
      <c r="I46" s="1406" t="s">
        <v>810</v>
      </c>
      <c r="J46" s="1407"/>
      <c r="K46" s="1408"/>
      <c r="L46" s="1409">
        <f ca="1">IF(M47="住宅",0,IF(L48&gt;J51,L60,J60))</f>
        <v>17996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2990345</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17996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941930</v>
      </c>
      <c r="R49" s="1419" t="s">
        <v>818</v>
      </c>
    </row>
    <row r="50" spans="1:18" s="1383" customFormat="1" ht="13.5" thickBot="1">
      <c r="A50" s="975"/>
      <c r="B50" s="978"/>
      <c r="C50" s="979"/>
      <c r="D50" s="952"/>
      <c r="E50" s="1055" t="s">
        <v>697</v>
      </c>
      <c r="F50" s="1056">
        <f ca="1">F7</f>
        <v>164.45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1297113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3008341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819479</v>
      </c>
      <c r="D56" s="1446"/>
      <c r="E56" s="1447"/>
      <c r="F56" s="1439"/>
      <c r="I56" s="1448" t="s">
        <v>842</v>
      </c>
      <c r="J56" s="3463" t="s">
        <v>3445</v>
      </c>
      <c r="K56" s="1420" t="s">
        <v>843</v>
      </c>
      <c r="L56" s="1423" t="str">
        <f ca="1">IF(L48&lt;J51,"——",L48-J51)</f>
        <v>——</v>
      </c>
      <c r="O56" s="1417" t="s">
        <v>403</v>
      </c>
      <c r="P56" s="1418" t="s">
        <v>817</v>
      </c>
      <c r="Q56" s="1419">
        <f ca="1">C40+J29</f>
        <v>2990345</v>
      </c>
      <c r="R56" s="1419" t="s">
        <v>818</v>
      </c>
    </row>
    <row r="57" spans="1:18" s="1383" customFormat="1" ht="24.75" thickBot="1">
      <c r="A57" s="1450"/>
      <c r="B57" s="949" t="s">
        <v>767</v>
      </c>
      <c r="C57" s="238">
        <f ca="1">C29</f>
        <v>941930</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15358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376772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17996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2990345</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14129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1229</v>
      </c>
      <c r="D65" s="963" t="s">
        <v>743</v>
      </c>
      <c r="E65" s="949" t="s">
        <v>744</v>
      </c>
      <c r="F65" s="330">
        <f t="shared" ca="1" si="0"/>
        <v>1.5E-3</v>
      </c>
      <c r="I65" s="1461" t="s">
        <v>867</v>
      </c>
      <c r="J65" s="1462">
        <v>40</v>
      </c>
      <c r="K65" s="1462">
        <v>30</v>
      </c>
      <c r="L65" s="1462">
        <v>50</v>
      </c>
      <c r="M65" s="1464">
        <v>0.02</v>
      </c>
      <c r="O65" s="1417" t="s">
        <v>403</v>
      </c>
      <c r="P65" s="1418" t="s">
        <v>868</v>
      </c>
      <c r="Q65" s="1419">
        <f ca="1">C40+J29</f>
        <v>2990345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-15358</v>
      </c>
      <c r="D67" s="962" t="s">
        <v>753</v>
      </c>
      <c r="E67" s="967"/>
      <c r="F67" s="968"/>
      <c r="O67" s="1427" t="s">
        <v>405</v>
      </c>
      <c r="P67" s="1418" t="s">
        <v>850</v>
      </c>
      <c r="Q67" s="1465">
        <f ca="1">L51</f>
        <v>1297113</v>
      </c>
      <c r="R67" s="1419" t="s">
        <v>870</v>
      </c>
    </row>
    <row r="68" spans="1:18" s="1383" customFormat="1" ht="16.5" thickBot="1">
      <c r="A68" s="946" t="s">
        <v>395</v>
      </c>
      <c r="B68" s="947" t="s">
        <v>774</v>
      </c>
      <c r="C68" s="301">
        <f ca="1">ROUND(C67*(1-((1+F70)/(1+F68))^F69)/(F68-F70),0)</f>
        <v>-245583</v>
      </c>
      <c r="D68" s="964" t="s">
        <v>758</v>
      </c>
      <c r="E68" s="949" t="s">
        <v>759</v>
      </c>
      <c r="F68" s="312">
        <f ca="1">F40</f>
        <v>5.5E-2</v>
      </c>
      <c r="O68" s="1427" t="s">
        <v>406</v>
      </c>
      <c r="P68" s="1466" t="s">
        <v>871</v>
      </c>
      <c r="Q68" s="1419">
        <f ca="1">ROUND(Q69-Q70*Q71,0)</f>
        <v>70426</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131887</v>
      </c>
      <c r="R69" s="1419" t="s">
        <v>818</v>
      </c>
    </row>
    <row r="70" spans="1:18" s="1383" customFormat="1" ht="13.5" thickBot="1">
      <c r="A70" s="953"/>
      <c r="B70" s="954"/>
      <c r="C70" s="310"/>
      <c r="D70" s="965"/>
      <c r="E70" s="949" t="s">
        <v>766</v>
      </c>
      <c r="F70" s="1053"/>
      <c r="O70" s="1427" t="s">
        <v>412</v>
      </c>
      <c r="P70" s="1466" t="s">
        <v>873</v>
      </c>
      <c r="Q70" s="1419">
        <f ca="1">C13</f>
        <v>819479</v>
      </c>
      <c r="R70" s="1419" t="s">
        <v>818</v>
      </c>
    </row>
    <row r="71" spans="1:18" s="1383" customFormat="1" ht="13.5" thickBot="1">
      <c r="A71" s="970" t="s">
        <v>396</v>
      </c>
      <c r="B71" s="971" t="s">
        <v>776</v>
      </c>
      <c r="C71" s="336">
        <f ca="1">ROUND(C68/F71,0)</f>
        <v>-1493</v>
      </c>
      <c r="D71" s="972" t="s">
        <v>777</v>
      </c>
      <c r="E71" s="973" t="s">
        <v>778</v>
      </c>
      <c r="F71" s="339">
        <f ca="1">F43</f>
        <v>164.45</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61461</v>
      </c>
      <c r="D75" s="1383"/>
      <c r="E75" s="1383"/>
      <c r="F75" s="1383"/>
      <c r="K75" s="1401"/>
      <c r="L75" s="1383"/>
      <c r="O75" s="1417" t="s">
        <v>409</v>
      </c>
      <c r="P75" s="1418" t="s">
        <v>838</v>
      </c>
      <c r="Q75" s="1419">
        <f ca="1">Q65+Q66</f>
        <v>2990345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0.53400000000000003</v>
      </c>
    </row>
    <row r="80" spans="1:18">
      <c r="B80" s="340" t="s">
        <v>800</v>
      </c>
      <c r="C80" s="274">
        <f ca="1">ROUND(C75/C39,3)</f>
        <v>0.46600000000000003</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3454"/>
      <c r="Y4" s="3658" t="s">
        <v>1775</v>
      </c>
      <c r="Z4" s="3659"/>
      <c r="AA4" s="3653" t="s">
        <v>1771</v>
      </c>
      <c r="AB4" s="3653" t="s">
        <v>1772</v>
      </c>
      <c r="AC4" s="3673" t="s">
        <v>1773</v>
      </c>
    </row>
    <row r="5" spans="1:29" ht="15">
      <c r="A5" s="358"/>
      <c r="B5" s="359"/>
      <c r="C5" s="3664">
        <v>503</v>
      </c>
      <c r="D5" s="3665"/>
      <c r="E5" s="3662" t="s">
        <v>3439</v>
      </c>
      <c r="F5" s="3663"/>
      <c r="G5" s="3668" t="s">
        <v>3440</v>
      </c>
      <c r="H5" s="3665"/>
      <c r="I5" s="3668" t="s">
        <v>3440</v>
      </c>
      <c r="J5" s="3665"/>
      <c r="K5" s="559"/>
      <c r="L5" s="2714"/>
      <c r="M5" s="2715"/>
      <c r="N5" s="2715"/>
      <c r="O5" s="2715"/>
      <c r="P5" s="3682"/>
      <c r="Q5" s="3683"/>
      <c r="R5" s="3660"/>
      <c r="S5" s="3661"/>
      <c r="T5" s="3660"/>
      <c r="U5" s="3661"/>
      <c r="V5" s="3689"/>
      <c r="W5" s="3689"/>
      <c r="X5" s="3455"/>
      <c r="Y5" s="3660"/>
      <c r="Z5" s="3661"/>
      <c r="AA5" s="3654"/>
      <c r="AB5" s="3654"/>
      <c r="AC5" s="3674"/>
    </row>
    <row r="6" spans="1:29" ht="15.75" thickBot="1">
      <c r="A6" s="360"/>
      <c r="B6" s="361"/>
      <c r="C6" s="3666" t="s">
        <v>1677</v>
      </c>
      <c r="D6" s="3667"/>
      <c r="E6" s="3669"/>
      <c r="F6" s="3670"/>
      <c r="G6" s="3671"/>
      <c r="H6" s="3667"/>
      <c r="I6" s="3671"/>
      <c r="J6" s="3667"/>
      <c r="K6" s="559" t="s">
        <v>1678</v>
      </c>
      <c r="L6" s="2714"/>
      <c r="M6" s="2715"/>
      <c r="N6" s="2715"/>
      <c r="O6" s="2715"/>
      <c r="P6" s="3684"/>
      <c r="Q6" s="3685"/>
      <c r="R6" s="3660"/>
      <c r="S6" s="3661"/>
      <c r="T6" s="3686"/>
      <c r="U6" s="3687"/>
      <c r="V6" s="3689"/>
      <c r="W6" s="3689"/>
      <c r="X6" s="3455"/>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0" t="s">
        <v>1683</v>
      </c>
      <c r="Q8" s="3657"/>
      <c r="R8" s="700" t="s">
        <v>14</v>
      </c>
      <c r="S8" s="701">
        <f t="shared" si="0"/>
        <v>102</v>
      </c>
      <c r="T8" s="700" t="s">
        <v>14</v>
      </c>
      <c r="U8" s="701">
        <f t="shared" si="1"/>
        <v>102</v>
      </c>
      <c r="V8" s="700" t="s">
        <v>14</v>
      </c>
      <c r="W8" s="701">
        <f t="shared" si="2"/>
        <v>102</v>
      </c>
      <c r="X8" s="702"/>
      <c r="Y8" s="3656" t="s">
        <v>1683</v>
      </c>
      <c r="Z8" s="365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3450" t="str">
        <f t="shared" ref="Q9:Q15" si="6">B9</f>
        <v>用途</v>
      </c>
      <c r="R9" s="700" t="s">
        <v>14</v>
      </c>
      <c r="S9" s="701">
        <f t="shared" si="0"/>
        <v>100</v>
      </c>
      <c r="T9" s="700" t="s">
        <v>14</v>
      </c>
      <c r="U9" s="701">
        <f t="shared" si="1"/>
        <v>100</v>
      </c>
      <c r="V9" s="700" t="s">
        <v>14</v>
      </c>
      <c r="W9" s="701">
        <f t="shared" si="2"/>
        <v>100</v>
      </c>
      <c r="X9" s="702"/>
      <c r="Y9" s="3626"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3450" t="str">
        <f t="shared" si="6"/>
        <v>土地使用年限（年）</v>
      </c>
      <c r="R10" s="700" t="s">
        <v>14</v>
      </c>
      <c r="S10" s="701">
        <f t="shared" si="0"/>
        <v>100</v>
      </c>
      <c r="T10" s="700" t="s">
        <v>14</v>
      </c>
      <c r="U10" s="701">
        <f t="shared" si="1"/>
        <v>100</v>
      </c>
      <c r="V10" s="700" t="s">
        <v>14</v>
      </c>
      <c r="W10" s="701">
        <f t="shared" si="2"/>
        <v>100</v>
      </c>
      <c r="X10" s="702"/>
      <c r="Y10" s="3626"/>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3450" t="str">
        <f t="shared" si="6"/>
        <v>容积率</v>
      </c>
      <c r="R11" s="700" t="s">
        <v>14</v>
      </c>
      <c r="S11" s="701">
        <f t="shared" si="0"/>
        <v>100</v>
      </c>
      <c r="T11" s="700" t="s">
        <v>14</v>
      </c>
      <c r="U11" s="701">
        <f t="shared" si="1"/>
        <v>100</v>
      </c>
      <c r="V11" s="700" t="s">
        <v>14</v>
      </c>
      <c r="W11" s="701">
        <f t="shared" si="2"/>
        <v>100</v>
      </c>
      <c r="X11" s="702"/>
      <c r="Y11" s="3626"/>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3450">
        <f t="shared" si="6"/>
        <v>111</v>
      </c>
      <c r="R12" s="700" t="s">
        <v>14</v>
      </c>
      <c r="S12" s="701">
        <f t="shared" si="0"/>
        <v>100</v>
      </c>
      <c r="T12" s="700" t="s">
        <v>14</v>
      </c>
      <c r="U12" s="701">
        <f t="shared" si="1"/>
        <v>100</v>
      </c>
      <c r="V12" s="700" t="s">
        <v>14</v>
      </c>
      <c r="W12" s="701">
        <f t="shared" si="2"/>
        <v>100</v>
      </c>
      <c r="X12" s="702"/>
      <c r="Y12" s="3626"/>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3450">
        <f t="shared" si="6"/>
        <v>111</v>
      </c>
      <c r="R13" s="700" t="s">
        <v>14</v>
      </c>
      <c r="S13" s="701">
        <f t="shared" si="0"/>
        <v>100</v>
      </c>
      <c r="T13" s="700" t="s">
        <v>14</v>
      </c>
      <c r="U13" s="701">
        <f t="shared" si="1"/>
        <v>100</v>
      </c>
      <c r="V13" s="700" t="s">
        <v>14</v>
      </c>
      <c r="W13" s="701">
        <f t="shared" si="2"/>
        <v>100</v>
      </c>
      <c r="X13" s="702"/>
      <c r="Y13" s="3626"/>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3450">
        <f t="shared" si="6"/>
        <v>111</v>
      </c>
      <c r="R14" s="700" t="s">
        <v>14</v>
      </c>
      <c r="S14" s="701">
        <f t="shared" si="0"/>
        <v>100</v>
      </c>
      <c r="T14" s="700" t="s">
        <v>14</v>
      </c>
      <c r="U14" s="701">
        <f t="shared" si="1"/>
        <v>100</v>
      </c>
      <c r="V14" s="700" t="s">
        <v>14</v>
      </c>
      <c r="W14" s="701">
        <f t="shared" si="2"/>
        <v>100</v>
      </c>
      <c r="X14" s="702"/>
      <c r="Y14" s="3626"/>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2" t="s">
        <v>1691</v>
      </c>
      <c r="Q15" s="3451" t="str">
        <f t="shared" si="6"/>
        <v>办公集聚程度</v>
      </c>
      <c r="R15" s="704" t="s">
        <v>14</v>
      </c>
      <c r="S15" s="705">
        <f t="shared" si="0"/>
        <v>100</v>
      </c>
      <c r="T15" s="704" t="s">
        <v>14</v>
      </c>
      <c r="U15" s="705">
        <f t="shared" si="1"/>
        <v>100</v>
      </c>
      <c r="V15" s="704" t="s">
        <v>14</v>
      </c>
      <c r="W15" s="705">
        <f t="shared" si="2"/>
        <v>100</v>
      </c>
      <c r="X15" s="3455"/>
      <c r="Y15" s="3694"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93"/>
      <c r="Q16" s="3451"/>
      <c r="R16" s="704"/>
      <c r="S16" s="705"/>
      <c r="T16" s="704"/>
      <c r="U16" s="705"/>
      <c r="V16" s="704"/>
      <c r="W16" s="705"/>
      <c r="X16" s="3455"/>
      <c r="Y16" s="3695"/>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3451" t="str">
        <f>B17</f>
        <v>交通便捷度</v>
      </c>
      <c r="R17" s="704" t="s">
        <v>14</v>
      </c>
      <c r="S17" s="705">
        <f>F17</f>
        <v>100</v>
      </c>
      <c r="T17" s="704" t="s">
        <v>14</v>
      </c>
      <c r="U17" s="705">
        <f>H17</f>
        <v>100</v>
      </c>
      <c r="V17" s="704" t="s">
        <v>14</v>
      </c>
      <c r="W17" s="705">
        <f>J17</f>
        <v>100</v>
      </c>
      <c r="X17" s="3455"/>
      <c r="Y17" s="3695"/>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3451"/>
      <c r="R18" s="704"/>
      <c r="S18" s="705"/>
      <c r="T18" s="704"/>
      <c r="U18" s="705"/>
      <c r="V18" s="704"/>
      <c r="W18" s="705"/>
      <c r="X18" s="3455"/>
      <c r="Y18" s="3695"/>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93"/>
      <c r="Q19" s="3451" t="str">
        <f>B19</f>
        <v>公共配套设施</v>
      </c>
      <c r="R19" s="704" t="s">
        <v>14</v>
      </c>
      <c r="S19" s="705">
        <f>F19</f>
        <v>100</v>
      </c>
      <c r="T19" s="704" t="s">
        <v>14</v>
      </c>
      <c r="U19" s="705">
        <f>H19</f>
        <v>100</v>
      </c>
      <c r="V19" s="704" t="s">
        <v>14</v>
      </c>
      <c r="W19" s="705">
        <f>J19</f>
        <v>100</v>
      </c>
      <c r="X19" s="3455"/>
      <c r="Y19" s="3695"/>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93"/>
      <c r="Q20" s="3451"/>
      <c r="R20" s="704"/>
      <c r="S20" s="705"/>
      <c r="T20" s="704"/>
      <c r="U20" s="705"/>
      <c r="V20" s="704"/>
      <c r="W20" s="705"/>
      <c r="X20" s="3455"/>
      <c r="Y20" s="3695"/>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3451" t="str">
        <f>B21</f>
        <v>基础设施水平</v>
      </c>
      <c r="R21" s="704" t="s">
        <v>14</v>
      </c>
      <c r="S21" s="705">
        <f>F21</f>
        <v>100</v>
      </c>
      <c r="T21" s="704" t="s">
        <v>14</v>
      </c>
      <c r="U21" s="705">
        <f>H21</f>
        <v>100</v>
      </c>
      <c r="V21" s="704" t="s">
        <v>14</v>
      </c>
      <c r="W21" s="705">
        <f>J21</f>
        <v>100</v>
      </c>
      <c r="X21" s="3455"/>
      <c r="Y21" s="3695"/>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3451"/>
      <c r="R22" s="704"/>
      <c r="S22" s="705"/>
      <c r="T22" s="704"/>
      <c r="U22" s="705"/>
      <c r="V22" s="704"/>
      <c r="W22" s="705"/>
      <c r="X22" s="3455"/>
      <c r="Y22" s="3695"/>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3451" t="str">
        <f>B23</f>
        <v>环境质量</v>
      </c>
      <c r="R23" s="704" t="s">
        <v>14</v>
      </c>
      <c r="S23" s="705">
        <f>F23</f>
        <v>100</v>
      </c>
      <c r="T23" s="704" t="s">
        <v>14</v>
      </c>
      <c r="U23" s="705">
        <f>H23</f>
        <v>100</v>
      </c>
      <c r="V23" s="704" t="s">
        <v>14</v>
      </c>
      <c r="W23" s="705">
        <f>J23</f>
        <v>100</v>
      </c>
      <c r="X23" s="3455"/>
      <c r="Y23" s="3695"/>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3451"/>
      <c r="R24" s="704"/>
      <c r="S24" s="705"/>
      <c r="T24" s="704"/>
      <c r="U24" s="705"/>
      <c r="V24" s="704"/>
      <c r="W24" s="705"/>
      <c r="X24" s="3455"/>
      <c r="Y24" s="3695"/>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3451" t="str">
        <f>B25</f>
        <v>毗邻道路的类型与等级</v>
      </c>
      <c r="R25" s="704" t="s">
        <v>14</v>
      </c>
      <c r="S25" s="705">
        <f>F25</f>
        <v>100</v>
      </c>
      <c r="T25" s="704" t="s">
        <v>14</v>
      </c>
      <c r="U25" s="705">
        <f>H25</f>
        <v>100</v>
      </c>
      <c r="V25" s="704" t="s">
        <v>14</v>
      </c>
      <c r="W25" s="705">
        <f>J25</f>
        <v>100</v>
      </c>
      <c r="X25" s="3455"/>
      <c r="Y25" s="3695"/>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93"/>
      <c r="Q26" s="3451"/>
      <c r="R26" s="704"/>
      <c r="S26" s="705"/>
      <c r="T26" s="704"/>
      <c r="U26" s="705"/>
      <c r="V26" s="704"/>
      <c r="W26" s="705"/>
      <c r="X26" s="3455"/>
      <c r="Y26" s="3695"/>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3451" t="str">
        <f t="shared" ref="Q27:Q47" si="11">B27</f>
        <v>楼层</v>
      </c>
      <c r="R27" s="704" t="s">
        <v>14</v>
      </c>
      <c r="S27" s="705">
        <f>F27</f>
        <v>100</v>
      </c>
      <c r="T27" s="704" t="s">
        <v>14</v>
      </c>
      <c r="U27" s="705">
        <f>H27</f>
        <v>100</v>
      </c>
      <c r="V27" s="704" t="s">
        <v>14</v>
      </c>
      <c r="W27" s="705">
        <f>J27</f>
        <v>100</v>
      </c>
      <c r="X27" s="3455"/>
      <c r="Y27" s="3695"/>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3450" t="str">
        <f t="shared" si="11"/>
        <v>朝向</v>
      </c>
      <c r="R28" s="700" t="s">
        <v>14</v>
      </c>
      <c r="S28" s="701">
        <f>F28</f>
        <v>100</v>
      </c>
      <c r="T28" s="700" t="s">
        <v>14</v>
      </c>
      <c r="U28" s="701">
        <f>H28</f>
        <v>100</v>
      </c>
      <c r="V28" s="700" t="s">
        <v>14</v>
      </c>
      <c r="W28" s="701">
        <f>J28</f>
        <v>100</v>
      </c>
      <c r="X28" s="702"/>
      <c r="Y28" s="3695"/>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3451">
        <f t="shared" si="11"/>
        <v>111</v>
      </c>
      <c r="R29" s="704" t="s">
        <v>14</v>
      </c>
      <c r="S29" s="705">
        <f t="shared" ref="S29:S47" si="12">F29</f>
        <v>100</v>
      </c>
      <c r="T29" s="704" t="s">
        <v>14</v>
      </c>
      <c r="U29" s="705">
        <f t="shared" ref="U29:U47" si="13">H29</f>
        <v>100</v>
      </c>
      <c r="V29" s="704" t="s">
        <v>14</v>
      </c>
      <c r="W29" s="705">
        <f t="shared" ref="W29:W47" si="14">J29</f>
        <v>100</v>
      </c>
      <c r="X29" s="3455"/>
      <c r="Y29" s="3695"/>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3451">
        <f t="shared" si="11"/>
        <v>111</v>
      </c>
      <c r="R30" s="704" t="s">
        <v>14</v>
      </c>
      <c r="S30" s="705">
        <f t="shared" si="12"/>
        <v>100</v>
      </c>
      <c r="T30" s="704" t="s">
        <v>14</v>
      </c>
      <c r="U30" s="705">
        <f t="shared" si="13"/>
        <v>100</v>
      </c>
      <c r="V30" s="704" t="s">
        <v>14</v>
      </c>
      <c r="W30" s="705">
        <f t="shared" si="14"/>
        <v>100</v>
      </c>
      <c r="X30" s="3455"/>
      <c r="Y30" s="3695"/>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3451">
        <f t="shared" si="11"/>
        <v>111</v>
      </c>
      <c r="R31" s="704" t="s">
        <v>14</v>
      </c>
      <c r="S31" s="705">
        <f t="shared" si="12"/>
        <v>100</v>
      </c>
      <c r="T31" s="704" t="s">
        <v>14</v>
      </c>
      <c r="U31" s="705">
        <f t="shared" si="13"/>
        <v>100</v>
      </c>
      <c r="V31" s="704" t="s">
        <v>14</v>
      </c>
      <c r="W31" s="705">
        <f t="shared" si="14"/>
        <v>100</v>
      </c>
      <c r="X31" s="3455"/>
      <c r="Y31" s="3695"/>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3451">
        <f t="shared" si="11"/>
        <v>111</v>
      </c>
      <c r="R32" s="704" t="s">
        <v>14</v>
      </c>
      <c r="S32" s="705">
        <f t="shared" si="12"/>
        <v>100</v>
      </c>
      <c r="T32" s="704" t="s">
        <v>14</v>
      </c>
      <c r="U32" s="705">
        <f t="shared" si="13"/>
        <v>100</v>
      </c>
      <c r="V32" s="704" t="s">
        <v>14</v>
      </c>
      <c r="W32" s="705">
        <f t="shared" si="14"/>
        <v>100</v>
      </c>
      <c r="X32" s="3455"/>
      <c r="Y32" s="3695"/>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3451" t="str">
        <f t="shared" si="11"/>
        <v>建筑类型</v>
      </c>
      <c r="R33" s="704" t="s">
        <v>14</v>
      </c>
      <c r="S33" s="705">
        <f t="shared" si="12"/>
        <v>100</v>
      </c>
      <c r="T33" s="704" t="s">
        <v>14</v>
      </c>
      <c r="U33" s="705">
        <f t="shared" si="13"/>
        <v>100</v>
      </c>
      <c r="V33" s="704" t="s">
        <v>14</v>
      </c>
      <c r="W33" s="705">
        <f t="shared" si="14"/>
        <v>100</v>
      </c>
      <c r="X33" s="3455"/>
      <c r="Y33" s="3699"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164.45</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3451" t="str">
        <f t="shared" si="11"/>
        <v>建筑结构</v>
      </c>
      <c r="R35" s="704" t="s">
        <v>14</v>
      </c>
      <c r="S35" s="705">
        <f t="shared" si="12"/>
        <v>100</v>
      </c>
      <c r="T35" s="704" t="s">
        <v>14</v>
      </c>
      <c r="U35" s="705">
        <f t="shared" si="13"/>
        <v>100</v>
      </c>
      <c r="V35" s="704" t="s">
        <v>14</v>
      </c>
      <c r="W35" s="705">
        <f t="shared" si="14"/>
        <v>100</v>
      </c>
      <c r="X35" s="3455"/>
      <c r="Y35" s="3699"/>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3451" t="str">
        <f t="shared" si="11"/>
        <v>公共部分装修</v>
      </c>
      <c r="R36" s="704" t="s">
        <v>14</v>
      </c>
      <c r="S36" s="705">
        <f t="shared" si="12"/>
        <v>100</v>
      </c>
      <c r="T36" s="704" t="s">
        <v>14</v>
      </c>
      <c r="U36" s="705">
        <f t="shared" si="13"/>
        <v>100</v>
      </c>
      <c r="V36" s="704" t="s">
        <v>14</v>
      </c>
      <c r="W36" s="705">
        <f t="shared" si="14"/>
        <v>100</v>
      </c>
      <c r="X36" s="3455"/>
      <c r="Y36" s="3699"/>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3451" t="str">
        <f t="shared" si="11"/>
        <v>成新度</v>
      </c>
      <c r="R37" s="704" t="s">
        <v>14</v>
      </c>
      <c r="S37" s="705">
        <f t="shared" si="12"/>
        <v>100</v>
      </c>
      <c r="T37" s="704" t="s">
        <v>14</v>
      </c>
      <c r="U37" s="705">
        <f t="shared" si="13"/>
        <v>100</v>
      </c>
      <c r="V37" s="704" t="s">
        <v>14</v>
      </c>
      <c r="W37" s="705">
        <f t="shared" si="14"/>
        <v>100</v>
      </c>
      <c r="X37" s="3455"/>
      <c r="Y37" s="3699"/>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3450" t="str">
        <f t="shared" si="11"/>
        <v>写字楼等级</v>
      </c>
      <c r="R38" s="700" t="s">
        <v>14</v>
      </c>
      <c r="S38" s="701">
        <f t="shared" si="12"/>
        <v>100</v>
      </c>
      <c r="T38" s="700" t="s">
        <v>14</v>
      </c>
      <c r="U38" s="701">
        <f t="shared" si="13"/>
        <v>100</v>
      </c>
      <c r="V38" s="700" t="s">
        <v>14</v>
      </c>
      <c r="W38" s="701">
        <f t="shared" si="14"/>
        <v>100</v>
      </c>
      <c r="X38" s="702"/>
      <c r="Y38" s="3699"/>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3451" t="str">
        <f t="shared" si="11"/>
        <v>物业管理</v>
      </c>
      <c r="R39" s="704" t="s">
        <v>14</v>
      </c>
      <c r="S39" s="705">
        <f t="shared" si="12"/>
        <v>100</v>
      </c>
      <c r="T39" s="704" t="s">
        <v>14</v>
      </c>
      <c r="U39" s="705">
        <f t="shared" si="13"/>
        <v>100</v>
      </c>
      <c r="V39" s="704" t="s">
        <v>14</v>
      </c>
      <c r="W39" s="705">
        <f t="shared" si="14"/>
        <v>100</v>
      </c>
      <c r="X39" s="3455"/>
      <c r="Y39" s="3699"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3451" t="str">
        <f t="shared" si="11"/>
        <v>市政基础设施</v>
      </c>
      <c r="R40" s="704" t="s">
        <v>14</v>
      </c>
      <c r="S40" s="705">
        <f t="shared" si="12"/>
        <v>100</v>
      </c>
      <c r="T40" s="704" t="s">
        <v>14</v>
      </c>
      <c r="U40" s="705">
        <f t="shared" si="13"/>
        <v>100</v>
      </c>
      <c r="V40" s="704" t="s">
        <v>14</v>
      </c>
      <c r="W40" s="705">
        <f t="shared" si="14"/>
        <v>100</v>
      </c>
      <c r="X40" s="3455"/>
      <c r="Y40" s="3699"/>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3451" t="str">
        <f t="shared" si="11"/>
        <v>层高</v>
      </c>
      <c r="R41" s="704" t="s">
        <v>14</v>
      </c>
      <c r="S41" s="705">
        <f t="shared" si="12"/>
        <v>100</v>
      </c>
      <c r="T41" s="704" t="s">
        <v>14</v>
      </c>
      <c r="U41" s="705">
        <f t="shared" si="13"/>
        <v>100</v>
      </c>
      <c r="V41" s="704" t="s">
        <v>14</v>
      </c>
      <c r="W41" s="705">
        <f t="shared" si="14"/>
        <v>100</v>
      </c>
      <c r="X41" s="3455"/>
      <c r="Y41" s="3699"/>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7"/>
      <c r="Q43" s="3451" t="str">
        <f t="shared" si="11"/>
        <v>内部装修</v>
      </c>
      <c r="R43" s="704" t="s">
        <v>14</v>
      </c>
      <c r="S43" s="705">
        <f t="shared" si="12"/>
        <v>100</v>
      </c>
      <c r="T43" s="704" t="s">
        <v>14</v>
      </c>
      <c r="U43" s="705">
        <f t="shared" si="13"/>
        <v>102</v>
      </c>
      <c r="V43" s="704" t="s">
        <v>14</v>
      </c>
      <c r="W43" s="705">
        <f t="shared" si="14"/>
        <v>102</v>
      </c>
      <c r="X43" s="3455"/>
      <c r="Y43" s="3699"/>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3451" t="str">
        <f t="shared" si="11"/>
        <v>内部装修维护情况</v>
      </c>
      <c r="R44" s="704" t="s">
        <v>14</v>
      </c>
      <c r="S44" s="705">
        <f t="shared" si="12"/>
        <v>100</v>
      </c>
      <c r="T44" s="704" t="s">
        <v>14</v>
      </c>
      <c r="U44" s="705">
        <f t="shared" si="13"/>
        <v>100</v>
      </c>
      <c r="V44" s="704" t="s">
        <v>14</v>
      </c>
      <c r="W44" s="705">
        <f t="shared" si="14"/>
        <v>100</v>
      </c>
      <c r="X44" s="3455"/>
      <c r="Y44" s="3699"/>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3450">
        <f t="shared" si="11"/>
        <v>111</v>
      </c>
      <c r="R45" s="700" t="s">
        <v>14</v>
      </c>
      <c r="S45" s="701">
        <f t="shared" si="12"/>
        <v>100</v>
      </c>
      <c r="T45" s="700" t="s">
        <v>14</v>
      </c>
      <c r="U45" s="701">
        <f t="shared" si="13"/>
        <v>100</v>
      </c>
      <c r="V45" s="700" t="s">
        <v>14</v>
      </c>
      <c r="W45" s="701">
        <f t="shared" si="14"/>
        <v>100</v>
      </c>
      <c r="X45" s="702"/>
      <c r="Y45" s="3699"/>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3451">
        <f t="shared" si="11"/>
        <v>111</v>
      </c>
      <c r="R46" s="704" t="s">
        <v>14</v>
      </c>
      <c r="S46" s="705">
        <f t="shared" si="12"/>
        <v>100</v>
      </c>
      <c r="T46" s="704" t="s">
        <v>14</v>
      </c>
      <c r="U46" s="705">
        <f t="shared" si="13"/>
        <v>100</v>
      </c>
      <c r="V46" s="704" t="s">
        <v>14</v>
      </c>
      <c r="W46" s="705">
        <f t="shared" si="14"/>
        <v>100</v>
      </c>
      <c r="X46" s="3455"/>
      <c r="Y46" s="3699"/>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3451">
        <f t="shared" si="11"/>
        <v>111</v>
      </c>
      <c r="R47" s="704" t="s">
        <v>14</v>
      </c>
      <c r="S47" s="705">
        <f t="shared" si="12"/>
        <v>100</v>
      </c>
      <c r="T47" s="704" t="s">
        <v>14</v>
      </c>
      <c r="U47" s="705">
        <f t="shared" si="13"/>
        <v>100</v>
      </c>
      <c r="V47" s="704" t="s">
        <v>14</v>
      </c>
      <c r="W47" s="705">
        <f t="shared" si="14"/>
        <v>100</v>
      </c>
      <c r="X47" s="3455"/>
      <c r="Y47" s="3700"/>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72" t="str">
        <f>A48</f>
        <v>成交单价（元/平方米）</v>
      </c>
      <c r="Q48" s="3701"/>
      <c r="R48" s="3702">
        <f>E48</f>
        <v>3.5</v>
      </c>
      <c r="S48" s="3702"/>
      <c r="T48" s="3702">
        <f>G48</f>
        <v>3.6</v>
      </c>
      <c r="U48" s="3702"/>
      <c r="V48" s="3702">
        <f>I48</f>
        <v>3.6</v>
      </c>
      <c r="W48" s="3702"/>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72" t="str">
        <f>A49</f>
        <v>比较价值（元/平方米）</v>
      </c>
      <c r="Q49" s="3701"/>
      <c r="R49" s="3702">
        <f>IF(F1="售价",ROUND(PRODUCT(R48,AA7:AA47),0),ROUND(PRODUCT(R48,AA7:AA47),1))</f>
        <v>3.4</v>
      </c>
      <c r="S49" s="3702"/>
      <c r="T49" s="3702">
        <f>IF(F1="售价",ROUND(PRODUCT(T48,AB7:AB47),0),ROUND(PRODUCT(T48,AB7:AB47),1))</f>
        <v>3.5</v>
      </c>
      <c r="U49" s="3702"/>
      <c r="V49" s="3702">
        <f>IF(F1="售价",ROUND(PRODUCT(V48,AC7:AC47),0),ROUND(PRODUCT(V48,AC7:AC47),1))</f>
        <v>3.5</v>
      </c>
      <c r="W49" s="3702"/>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3.5</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284.18880000000001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1502157.5</v>
      </c>
      <c r="D5" s="211" t="s">
        <v>1469</v>
      </c>
      <c r="E5" s="212" t="s">
        <v>1470</v>
      </c>
      <c r="F5" s="212" t="s">
        <v>1471</v>
      </c>
      <c r="G5" s="213"/>
    </row>
    <row r="6" spans="1:8" s="214" customFormat="1" ht="13.5" customHeight="1">
      <c r="A6" s="777" t="s">
        <v>1472</v>
      </c>
      <c r="B6" s="215" t="s">
        <v>1473</v>
      </c>
      <c r="C6" s="216">
        <f>基准地价修正!C33*基准地价修正!D33</f>
        <v>1425781.5</v>
      </c>
      <c r="D6" s="217"/>
      <c r="E6" s="218"/>
      <c r="F6" s="218"/>
      <c r="G6" s="219"/>
    </row>
    <row r="7" spans="1:8" s="214" customFormat="1" ht="13.5" customHeight="1">
      <c r="A7" s="777" t="s">
        <v>1474</v>
      </c>
      <c r="B7" s="215" t="s">
        <v>1475</v>
      </c>
      <c r="C7" s="220">
        <f>ROUND(C6*F7,0)</f>
        <v>43486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32890</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32890</v>
      </c>
      <c r="D10" s="844">
        <f ca="1">IF(B1="",'数据-汇总表'!E6,IF(INDIRECT("'数据-取费表'!c"&amp;$G$1)="住宅",INDIRECT("'数据-取费表'!s"&amp;$G$1),INDIRECT("'数据-取费表'!k"&amp;$G$1)+INDIRECT("'数据-取费表'!s"&amp;$G$1)))</f>
        <v>164.45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164.45</v>
      </c>
      <c r="E19" s="211">
        <f>'数据-取费表'!B31</f>
        <v>200</v>
      </c>
      <c r="F19" s="231"/>
      <c r="G19" s="1855" t="s">
        <v>3390</v>
      </c>
    </row>
    <row r="20" spans="1:7" s="214" customFormat="1" ht="13.5" customHeight="1">
      <c r="A20" s="255" t="s">
        <v>1574</v>
      </c>
      <c r="B20" s="210" t="s">
        <v>1575</v>
      </c>
      <c r="C20" s="232">
        <f ca="1">ROUND((C5+C19)*F20,0)</f>
        <v>30043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106473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105437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1036</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229830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229830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2022409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720291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657800</v>
      </c>
      <c r="D34" s="217"/>
      <c r="E34" s="220"/>
      <c r="F34" s="257"/>
      <c r="G34" s="219"/>
    </row>
    <row r="35" spans="1:7" ht="13.5" customHeight="1">
      <c r="A35" s="779" t="s">
        <v>351</v>
      </c>
      <c r="B35" s="215" t="s">
        <v>1527</v>
      </c>
      <c r="C35" s="220">
        <f ca="1">ROUND(C34*F35,0)</f>
        <v>19734</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32890</v>
      </c>
      <c r="D37" s="217">
        <f ca="1">D19</f>
        <v>164.45</v>
      </c>
      <c r="E37" s="249">
        <f>'数据-取费表'!B35</f>
        <v>200</v>
      </c>
      <c r="F37" s="259"/>
      <c r="G37" s="261"/>
    </row>
    <row r="38" spans="1:7" ht="13.5" customHeight="1">
      <c r="A38" s="779" t="s">
        <v>354</v>
      </c>
      <c r="B38" s="215" t="s">
        <v>1533</v>
      </c>
      <c r="C38" s="220">
        <f ca="1">ROUND(C34*F38,0)</f>
        <v>9867</v>
      </c>
      <c r="D38" s="220"/>
      <c r="E38" s="220"/>
      <c r="F38" s="259">
        <f>'数据-取费表'!B36</f>
        <v>1.4999999999999999E-2</v>
      </c>
      <c r="G38" s="219" t="s">
        <v>1528</v>
      </c>
    </row>
    <row r="39" spans="1:7" s="214" customFormat="1" ht="13.5" customHeight="1">
      <c r="A39" s="255" t="s">
        <v>1534</v>
      </c>
      <c r="B39" s="210" t="s">
        <v>1535</v>
      </c>
      <c r="C39" s="232">
        <f ca="1">ROUND(C33*F20,0)</f>
        <v>14406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25347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24850</v>
      </c>
      <c r="D42" s="238"/>
      <c r="E42" s="238"/>
      <c r="F42" s="239"/>
      <c r="G42" s="3650" t="s">
        <v>1591</v>
      </c>
    </row>
    <row r="43" spans="1:7" ht="13.5" customHeight="1">
      <c r="A43" s="779" t="s">
        <v>347</v>
      </c>
      <c r="B43" s="215" t="s">
        <v>1545</v>
      </c>
      <c r="C43" s="238">
        <f ca="1">ROUND(IF('数据-取费表'!B22&lt;=1,C39*F22*'数据-取费表'!B20/2,C39*(POWER((1+F22),'数据-取费表'!B20/2)-1)),0)</f>
        <v>497</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110205</v>
      </c>
      <c r="D45" s="235">
        <f ca="1">C47</f>
        <v>3.0000000000000001E-3</v>
      </c>
      <c r="E45" s="236" t="s">
        <v>1539</v>
      </c>
      <c r="F45" s="246">
        <f ca="1">F27</f>
        <v>0.15</v>
      </c>
      <c r="G45" s="247" t="s">
        <v>1548</v>
      </c>
    </row>
    <row r="46" spans="1:7" s="214" customFormat="1" ht="13.5" customHeight="1">
      <c r="A46" s="779" t="s">
        <v>346</v>
      </c>
      <c r="B46" s="248" t="s">
        <v>1549</v>
      </c>
      <c r="C46" s="249">
        <f ca="1">ROUND((C33+C39)*F27,0)</f>
        <v>110205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941930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819479</v>
      </c>
      <c r="D51" s="232"/>
      <c r="E51" s="232"/>
      <c r="F51" s="264"/>
      <c r="G51" s="234" t="s">
        <v>1560</v>
      </c>
    </row>
    <row r="52" spans="1:7" s="208" customFormat="1" ht="16.5" thickBot="1">
      <c r="A52" s="265" t="s">
        <v>1561</v>
      </c>
      <c r="B52" s="266"/>
      <c r="C52" s="267">
        <f ca="1">C31+C51</f>
        <v>2841888</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164.45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164.45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-0.28900000000000015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164.45</v>
      </c>
      <c r="E20" s="21">
        <f>'数据-取费表'!B28</f>
        <v>200</v>
      </c>
      <c r="F20" s="803"/>
      <c r="G20" s="12"/>
      <c r="H20" s="808"/>
      <c r="I20" s="808"/>
      <c r="J20" s="808"/>
      <c r="K20" s="809"/>
    </row>
    <row r="21" spans="1:33" s="802" customFormat="1" ht="13.5" customHeight="1">
      <c r="A21" s="789" t="s">
        <v>357</v>
      </c>
      <c r="B21" s="812" t="s">
        <v>1628</v>
      </c>
      <c r="C21" s="813">
        <f ca="1">C16+C17+C18</f>
        <v>-0.28900000000000015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164.45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143</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8696</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143</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164.45</v>
      </c>
      <c r="E33" s="772">
        <f>ROUND(C33*D33/10000,0)</f>
        <v>143</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0" t="s">
        <v>2311</v>
      </c>
      <c r="K2" s="3731"/>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2" t="s">
        <v>2321</v>
      </c>
      <c r="K3" s="3733"/>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2" t="s">
        <v>2323</v>
      </c>
      <c r="K4" s="3733"/>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34" t="s">
        <v>2327</v>
      </c>
      <c r="B6" s="3735"/>
      <c r="C6" s="3736"/>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1" t="s">
        <v>2341</v>
      </c>
      <c r="C8" s="3742"/>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1" t="s">
        <v>2347</v>
      </c>
      <c r="C9" s="3742"/>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15" customHeight="1">
      <c r="A10" s="2887">
        <v>2</v>
      </c>
      <c r="B10" s="3741" t="s">
        <v>2350</v>
      </c>
      <c r="C10" s="3742"/>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15" customHeight="1">
      <c r="A11" s="2887">
        <v>3</v>
      </c>
      <c r="B11" s="3741" t="s">
        <v>2353</v>
      </c>
      <c r="C11" s="3742"/>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3" t="s">
        <v>2356</v>
      </c>
      <c r="C12" s="3744"/>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3" t="s">
        <v>2362</v>
      </c>
      <c r="C14" s="3744"/>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3" t="s">
        <v>2366</v>
      </c>
      <c r="C15" s="3744"/>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3" t="s">
        <v>2375</v>
      </c>
      <c r="C16" s="3744"/>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2378</v>
      </c>
      <c r="C17" s="3746"/>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7">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0" t="s">
        <v>2311</v>
      </c>
      <c r="K32" s="3731"/>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2" t="s">
        <v>2321</v>
      </c>
      <c r="K33" s="3733"/>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2" t="s">
        <v>2323</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300.83409999999998</v>
      </c>
      <c r="C2" s="1871" t="s">
        <v>1651</v>
      </c>
      <c r="D2" s="1872" t="s">
        <v>1652</v>
      </c>
      <c r="E2" s="2606">
        <f>SUM(E6:E13)</f>
        <v>164.45</v>
      </c>
      <c r="F2" s="2706"/>
      <c r="G2" s="1488"/>
      <c r="H2" s="1488"/>
      <c r="I2" s="1488"/>
      <c r="J2" s="1488"/>
      <c r="K2" s="1488"/>
      <c r="L2" s="1488"/>
      <c r="M2" s="1488"/>
      <c r="N2" s="1488"/>
      <c r="O2" s="1488"/>
      <c r="P2" s="1488"/>
      <c r="Q2" s="1488"/>
      <c r="R2" s="1488"/>
      <c r="S2" s="1488"/>
    </row>
    <row r="3" spans="1:22" ht="15.75">
      <c r="A3" s="1869" t="s">
        <v>686</v>
      </c>
      <c r="B3" s="2600">
        <f ca="1">ROUND(B2*10000/E2,0)</f>
        <v>18293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300.83409999999998</v>
      </c>
      <c r="C6" s="1871" t="s">
        <v>1651</v>
      </c>
      <c r="D6" s="2708"/>
      <c r="E6" s="2605">
        <f>IF(OR(A6=0,F6="否"),0,'数据-取费表'!K6+'数据-取费表'!S6)</f>
        <v>164.45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164.45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4"/>
      <c r="M4" s="2715"/>
      <c r="N4" s="2715"/>
      <c r="O4" s="2715"/>
      <c r="P4" s="3756" t="s">
        <v>1672</v>
      </c>
      <c r="Q4" s="3757"/>
      <c r="R4" s="3752" t="s">
        <v>1668</v>
      </c>
      <c r="S4" s="3753"/>
      <c r="T4" s="3752" t="s">
        <v>1669</v>
      </c>
      <c r="U4" s="3753"/>
      <c r="V4" s="3689" t="s">
        <v>1670</v>
      </c>
      <c r="W4" s="3689"/>
      <c r="X4" s="1354"/>
      <c r="Y4" s="3752" t="s">
        <v>1672</v>
      </c>
      <c r="Z4" s="3753"/>
      <c r="AA4" s="3751" t="s">
        <v>1668</v>
      </c>
      <c r="AB4" s="3751" t="s">
        <v>1669</v>
      </c>
      <c r="AC4" s="3751" t="s">
        <v>1670</v>
      </c>
    </row>
    <row r="5" spans="1:29" ht="15">
      <c r="A5" s="358"/>
      <c r="B5" s="359"/>
      <c r="C5" s="3664" t="s">
        <v>1673</v>
      </c>
      <c r="D5" s="3665"/>
      <c r="E5" s="3754" t="s">
        <v>1674</v>
      </c>
      <c r="F5" s="3663"/>
      <c r="G5" s="3664" t="s">
        <v>1675</v>
      </c>
      <c r="H5" s="3665"/>
      <c r="I5" s="3664" t="s">
        <v>1676</v>
      </c>
      <c r="J5" s="3665"/>
      <c r="K5" s="188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188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6" t="s">
        <v>1680</v>
      </c>
      <c r="Q7" s="3691"/>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估价对象为北京市房地产,属开发建设的，该项目尚在开发建设中。根据《国有土地使用证》[]，估价对象（分摊）出让国有建设用地使用权面积为0平方米，规划建筑面积为164.45平方米。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164.45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89"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89"/>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89"/>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3"/>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1" t="str">
        <f>A47</f>
        <v>成交单价（元/平方米）</v>
      </c>
      <c r="Q47" s="3701"/>
      <c r="R47" s="3689">
        <f>E47</f>
        <v>0</v>
      </c>
      <c r="S47" s="3689"/>
      <c r="T47" s="3689">
        <f>G47</f>
        <v>0</v>
      </c>
      <c r="U47" s="3689"/>
      <c r="V47" s="3689">
        <f>I47</f>
        <v>0</v>
      </c>
      <c r="W47" s="3689"/>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164.45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912"/>
      <c r="M4" s="913"/>
      <c r="N4" s="913"/>
      <c r="O4" s="913"/>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912"/>
      <c r="M5" s="913"/>
      <c r="N5" s="913"/>
      <c r="O5" s="913"/>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912"/>
      <c r="M6" s="913"/>
      <c r="N6" s="913"/>
      <c r="O6" s="913"/>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0" t="str">
        <f>A39</f>
        <v>估价对象XX用房的比较价值（楼面单价，元/平方米）</v>
      </c>
      <c r="Q39" s="3761"/>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30"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30"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689">
        <f>E46</f>
        <v>0</v>
      </c>
      <c r="S46" s="3689"/>
      <c r="T46" s="3689">
        <f>G46</f>
        <v>0</v>
      </c>
      <c r="U46" s="3689"/>
      <c r="V46" s="3689">
        <f>I46</f>
        <v>0</v>
      </c>
      <c r="W46" s="368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164.45</v>
      </c>
      <c r="F56" s="885" t="e">
        <f t="shared" ref="F56:F64" si="15">ROUND(B56*E56/10000,0)</f>
        <v>#DIV/0!</v>
      </c>
      <c r="G56" s="367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164.45</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689">
        <f>E41</f>
        <v>0</v>
      </c>
      <c r="S41" s="3689"/>
      <c r="T41" s="3689">
        <f>G41</f>
        <v>0</v>
      </c>
      <c r="U41" s="3689"/>
      <c r="V41" s="3689">
        <f>I41</f>
        <v>0</v>
      </c>
      <c r="W41" s="368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164.45</v>
      </c>
      <c r="F51" s="639" t="e">
        <f t="shared" ref="F51:F60" si="15">ROUND(B51*E51/10000,0)</f>
        <v>#DIV/0!</v>
      </c>
      <c r="G51" s="367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9" sqref="V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23170</v>
      </c>
      <c r="S22" s="21">
        <f ca="1">SUM(S24:S10000)</f>
        <v>2059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23157</v>
      </c>
      <c r="S24" s="665">
        <f t="shared" ref="S24:S54" ca="1" si="11">ROUND(R24*B24/10000,0)</f>
        <v>337</v>
      </c>
      <c r="T24" s="729">
        <f ca="1">ROUND(R24*B24,0)</f>
        <v>3368649</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23157</v>
      </c>
      <c r="S25" s="316">
        <f t="shared" ca="1" si="11"/>
        <v>381</v>
      </c>
      <c r="T25" s="729">
        <f t="shared" ref="T25:T29" ca="1" si="12">ROUND(R25*B25,0)</f>
        <v>3808169</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23157</v>
      </c>
      <c r="S26" s="316">
        <f t="shared" ca="1" si="11"/>
        <v>191</v>
      </c>
      <c r="T26" s="729">
        <f t="shared" ca="1" si="12"/>
        <v>1907905</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23157</v>
      </c>
      <c r="S27" s="316">
        <f t="shared" ca="1" si="11"/>
        <v>473</v>
      </c>
      <c r="T27" s="729">
        <f t="shared" ca="1" si="12"/>
        <v>4730049</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23157</v>
      </c>
      <c r="S28" s="316">
        <f t="shared" ca="1" si="11"/>
        <v>381</v>
      </c>
      <c r="T28" s="729">
        <f t="shared" ca="1" si="12"/>
        <v>3808169</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23157</v>
      </c>
      <c r="S29" s="316">
        <f t="shared" ca="1" si="11"/>
        <v>296</v>
      </c>
      <c r="T29" s="729">
        <f t="shared" ca="1" si="12"/>
        <v>2955759</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143</v>
      </c>
      <c r="C2" s="2144" t="s">
        <v>2074</v>
      </c>
      <c r="D2" s="2144" t="s">
        <v>2075</v>
      </c>
      <c r="E2" s="2611">
        <f ca="1">SUMIF(E6:E13,"&lt;&gt;#ref!",E6:E13)</f>
        <v>164.45</v>
      </c>
      <c r="F2" s="2792"/>
      <c r="G2" s="2792"/>
      <c r="H2" s="2792"/>
      <c r="I2" s="2792"/>
      <c r="J2" s="2792"/>
      <c r="K2" s="2792"/>
      <c r="L2" s="2792"/>
      <c r="M2" s="2792"/>
      <c r="N2" s="2792"/>
      <c r="O2" s="2792"/>
      <c r="P2" s="2792"/>
    </row>
    <row r="3" spans="1:16" ht="15.75">
      <c r="A3" s="2144" t="s">
        <v>2076</v>
      </c>
      <c r="B3" s="2601">
        <f ca="1">ROUND(B2*10000/E2,0)</f>
        <v>8696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143</v>
      </c>
      <c r="C6" s="2144" t="s">
        <v>2074</v>
      </c>
      <c r="D6" s="2792"/>
      <c r="E6" s="2611">
        <f ca="1">SUMIF(INDIRECT("'"&amp;A6&amp;"'"&amp;"!C:C"),"建筑面积",INDIRECT("'"&amp;A6&amp;"'"&amp;"!D:D"))</f>
        <v>164.45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27832</v>
      </c>
      <c r="C2" s="2" t="s">
        <v>106</v>
      </c>
      <c r="D2" s="199"/>
      <c r="E2" s="199"/>
      <c r="F2" s="199"/>
      <c r="G2" s="199"/>
    </row>
    <row r="3" spans="1:7" s="200" customFormat="1" ht="18" customHeight="1" thickBot="1">
      <c r="A3" s="203" t="s">
        <v>58</v>
      </c>
      <c r="B3" s="204">
        <f ca="1">ROUND(B2*10000/'数据-汇总表'!E3,0)</f>
        <v>1692429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164.45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164.45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164.45</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11</v>
      </c>
      <c r="D45" s="235">
        <f>C47</f>
        <v>3.0000000000000001E-3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93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81</v>
      </c>
      <c r="D51" s="232"/>
      <c r="E51" s="232"/>
      <c r="F51" s="264"/>
      <c r="G51" s="234" t="s">
        <v>37</v>
      </c>
    </row>
    <row r="52" spans="1:7" s="208" customFormat="1" ht="16.5" thickBot="1">
      <c r="A52" s="265" t="s">
        <v>38</v>
      </c>
      <c r="B52" s="266"/>
      <c r="C52" s="267">
        <f ca="1">C31+C51</f>
        <v>27832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164.45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2023-10-16T09:33:05Z</dcterms:modified>
</cp:coreProperties>
</file>