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3"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租金比较法" sheetId="81"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3" sheetId="82"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租金比较法!$A$1:$L$50</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1">租金比较法!$A$1:$K$55,租金比较法!$A$58:$M$132</definedName>
    <definedName name="八级">区片价!$P$1:$P$44</definedName>
    <definedName name="办公层高" localSheetId="21">租金比较法!$B$119:$M$119</definedName>
    <definedName name="办公层高">'比较法-办公'!$B$119:$M$119</definedName>
    <definedName name="办公朝向" localSheetId="21">租金比较法!$B$91:$M$91</definedName>
    <definedName name="办公朝向">'比较法-办公'!$B$91:$M$91</definedName>
    <definedName name="办公道路级别" localSheetId="21">租金比较法!$B$87:$M$87</definedName>
    <definedName name="办公道路级别">'比较法-办公'!$B$87:$M$87</definedName>
    <definedName name="办公公共部分装修" localSheetId="21">租金比较法!$B$108:$M$108</definedName>
    <definedName name="办公公共部分装修">'比较法-办公'!$B$108:$M$108</definedName>
    <definedName name="办公基础设施水平" localSheetId="21">租金比较法!$B$117:$M$117</definedName>
    <definedName name="办公基础设施水平">'比较法-办公'!$B$117:$M$117</definedName>
    <definedName name="办公集聚程度">定义!$M$1:$M$6</definedName>
    <definedName name="办公建筑结构" localSheetId="21">租金比较法!$B$106:$M$106</definedName>
    <definedName name="办公建筑结构">'比较法-办公'!$B$106:$M$106</definedName>
    <definedName name="办公建筑类型" localSheetId="21">租金比较法!$B$101:$M$101</definedName>
    <definedName name="办公建筑类型">'比较法-办公'!$B$101:$M$101</definedName>
    <definedName name="办公交易情况" localSheetId="21">租金比较法!$A$62:$M$62</definedName>
    <definedName name="办公交易情况">'比较法-办公'!$A$62:$M$62</definedName>
    <definedName name="办公楼层" localSheetId="21">租金比较法!$B$89:$M$89</definedName>
    <definedName name="办公楼层">'比较法-办公'!$B$89:$M$89</definedName>
    <definedName name="办公内部装修" localSheetId="21">租金比较法!$B$123:$M$123</definedName>
    <definedName name="办公内部装修">'比较法-办公'!$B$123:$M$123</definedName>
    <definedName name="办公物业管理" localSheetId="21">租金比较法!$B$115:$M$115</definedName>
    <definedName name="办公物业管理">'比较法-办公'!$B$115:$M$115</definedName>
    <definedName name="办公用途" localSheetId="21">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C34" i="81"/>
  <c r="H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W8" i="81"/>
  <c r="S8" i="81"/>
  <c r="J8" i="81"/>
  <c r="AC8" i="81" s="1"/>
  <c r="H8" i="81"/>
  <c r="AB8" i="81" s="1"/>
  <c r="F8" i="81"/>
  <c r="AA8" i="81" s="1"/>
  <c r="C7" i="81"/>
  <c r="C59" i="81" s="1"/>
  <c r="D59" i="81" s="1"/>
  <c r="E59" i="81" s="1"/>
  <c r="F59" i="81" s="1"/>
  <c r="G59" i="81" s="1"/>
  <c r="H59" i="81" s="1"/>
  <c r="I59" i="81" s="1"/>
  <c r="J59" i="81" s="1"/>
  <c r="K59" i="81" s="1"/>
  <c r="L59" i="81" s="1"/>
  <c r="M59" i="81" s="1"/>
  <c r="N59" i="81" s="1"/>
  <c r="O59" i="81" s="1"/>
  <c r="D3" i="81"/>
  <c r="D2" i="81"/>
  <c r="E7" i="81" l="1"/>
  <c r="F7" i="81" s="1"/>
  <c r="G7" i="81"/>
  <c r="H7" i="81" s="1"/>
  <c r="I7" i="81"/>
  <c r="J7" i="81" s="1"/>
  <c r="U8" i="81"/>
  <c r="U9" i="81"/>
  <c r="S10" i="81"/>
  <c r="W10" i="81"/>
  <c r="U11" i="81"/>
  <c r="S12" i="81"/>
  <c r="W12" i="81"/>
  <c r="U13" i="81"/>
  <c r="S14" i="81"/>
  <c r="W14" i="81"/>
  <c r="U15" i="81"/>
  <c r="U17" i="81"/>
  <c r="U19" i="81"/>
  <c r="AB34" i="81"/>
  <c r="U34" i="81"/>
  <c r="S9" i="81"/>
  <c r="W9" i="81"/>
  <c r="U10" i="81"/>
  <c r="S11" i="81"/>
  <c r="W11" i="81"/>
  <c r="U12" i="81"/>
  <c r="S13" i="81"/>
  <c r="W13" i="81"/>
  <c r="U14" i="81"/>
  <c r="S15" i="81"/>
  <c r="W15" i="81"/>
  <c r="S17" i="81"/>
  <c r="W17" i="81"/>
  <c r="S19" i="81"/>
  <c r="W19" i="81"/>
  <c r="S21" i="81"/>
  <c r="W21" i="81"/>
  <c r="S23" i="81"/>
  <c r="W23" i="81"/>
  <c r="U25" i="81"/>
  <c r="S27" i="81"/>
  <c r="W27" i="81"/>
  <c r="U28" i="81"/>
  <c r="S29" i="81"/>
  <c r="W29" i="81"/>
  <c r="U30" i="81"/>
  <c r="S31" i="81"/>
  <c r="W31" i="81"/>
  <c r="U32" i="81"/>
  <c r="S33" i="81"/>
  <c r="W33" i="81"/>
  <c r="F34" i="81"/>
  <c r="J34" i="81"/>
  <c r="U35" i="81"/>
  <c r="S36" i="81"/>
  <c r="W36" i="81"/>
  <c r="U37" i="81"/>
  <c r="S38" i="81"/>
  <c r="W38" i="81"/>
  <c r="U39" i="81"/>
  <c r="S40" i="81"/>
  <c r="W40" i="81"/>
  <c r="U41" i="81"/>
  <c r="S42" i="81"/>
  <c r="W42" i="81"/>
  <c r="U43" i="81"/>
  <c r="S44" i="81"/>
  <c r="W44" i="81"/>
  <c r="U45" i="81"/>
  <c r="S46" i="81"/>
  <c r="W46" i="81"/>
  <c r="U47"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H4" i="31"/>
  <c r="G4" i="31"/>
  <c r="F4" i="31"/>
  <c r="E4" i="31"/>
  <c r="D4" i="31"/>
  <c r="C4" i="31"/>
  <c r="H3" i="31"/>
  <c r="G3" i="31"/>
  <c r="F3" i="31"/>
  <c r="E3" i="31"/>
  <c r="D3" i="31"/>
  <c r="C3" i="31"/>
  <c r="AC34" i="81" l="1"/>
  <c r="W34" i="81"/>
  <c r="AA34" i="81"/>
  <c r="S34" i="81"/>
  <c r="U7" i="81"/>
  <c r="AB7" i="81"/>
  <c r="T49" i="81" s="1"/>
  <c r="G49" i="81" s="1"/>
  <c r="AC7" i="81"/>
  <c r="V49" i="81" s="1"/>
  <c r="I49" i="81" s="1"/>
  <c r="W7" i="81"/>
  <c r="AA7" i="81"/>
  <c r="R49" i="81" s="1"/>
  <c r="S7" i="81"/>
  <c r="B25" i="31"/>
  <c r="B26" i="31"/>
  <c r="B27" i="31"/>
  <c r="B28" i="31"/>
  <c r="B29" i="31"/>
  <c r="B24" i="31"/>
  <c r="A25" i="31"/>
  <c r="A26" i="31"/>
  <c r="A27" i="31"/>
  <c r="A28" i="31"/>
  <c r="A29" i="31"/>
  <c r="A24" i="31"/>
  <c r="C34" i="34"/>
  <c r="R50" i="81" l="1"/>
  <c r="E49" i="81"/>
  <c r="I54" i="81" s="1"/>
  <c r="J54" i="81" s="1"/>
  <c r="G54" i="81"/>
  <c r="H54" i="81" s="1"/>
  <c r="G53" i="81"/>
  <c r="H53" i="81" s="1"/>
  <c r="I53" i="81"/>
  <c r="J53" i="81" s="1"/>
  <c r="I7" i="34"/>
  <c r="G7" i="34"/>
  <c r="E7" i="34"/>
  <c r="E54" i="81" l="1"/>
  <c r="F54" i="81" s="1"/>
  <c r="E53" i="81"/>
  <c r="F53" i="81" s="1"/>
  <c r="C49" i="81"/>
  <c r="C50" i="81"/>
  <c r="U6" i="1" s="1"/>
  <c r="G62" i="43"/>
  <c r="G63" i="43"/>
  <c r="G64" i="43"/>
  <c r="G65" i="43"/>
  <c r="G66" i="43"/>
  <c r="G67" i="43"/>
  <c r="G68" i="43"/>
  <c r="G69" i="43"/>
  <c r="G61" i="43"/>
  <c r="G44" i="43"/>
  <c r="D33" i="43"/>
  <c r="N6" i="1"/>
  <c r="Y6" i="1" s="1"/>
  <c r="F19" i="6"/>
  <c r="B3" i="81" l="1"/>
  <c r="B2" i="8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T28" i="71"/>
  <c r="C27"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U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S36" i="34" s="1"/>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28" i="34"/>
  <c r="AA28" i="34" s="1"/>
  <c r="F27" i="34"/>
  <c r="AA27" i="34" s="1"/>
  <c r="F25" i="34"/>
  <c r="S25"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s="1"/>
  <c r="I114" i="34" s="1"/>
  <c r="J114" i="34" s="1"/>
  <c r="K114" i="34" s="1"/>
  <c r="L114" i="34" s="1"/>
  <c r="M114" i="34" s="1"/>
  <c r="H38" i="34"/>
  <c r="AB38" i="34" s="1"/>
  <c r="J36" i="34"/>
  <c r="W36" i="34" s="1"/>
  <c r="H25" i="34"/>
  <c r="AB25" i="34" s="1"/>
  <c r="J25" i="34"/>
  <c r="AC25" i="34" s="1"/>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A38" i="34"/>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AB8" i="34"/>
  <c r="AA33" i="34"/>
  <c r="U43" i="34"/>
  <c r="AC39" i="34"/>
  <c r="W41" i="34"/>
  <c r="AC42" i="34"/>
  <c r="AB35" i="34"/>
  <c r="U39" i="34"/>
  <c r="AB41" i="34"/>
  <c r="AA25" i="34"/>
  <c r="U28" i="34"/>
  <c r="AA29" i="34"/>
  <c r="U27"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AC40" i="34"/>
  <c r="W40" i="34"/>
  <c r="AA36" i="34"/>
  <c r="S8" i="34"/>
  <c r="AB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23"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13" i="67"/>
  <c r="E9" i="76"/>
  <c r="F36" i="67"/>
  <c r="F16" i="67"/>
  <c r="M24" i="67"/>
  <c r="F7" i="73"/>
  <c r="E7" i="76"/>
  <c r="F26" i="15"/>
  <c r="M26" i="67"/>
  <c r="B12" i="76"/>
  <c r="F8" i="67"/>
  <c r="E10" i="76"/>
  <c r="AO13" i="1"/>
  <c r="E11" i="76"/>
  <c r="F43" i="67"/>
  <c r="D5" i="73"/>
  <c r="F40" i="15"/>
  <c r="F5" i="73"/>
  <c r="F13" i="15"/>
  <c r="F43" i="15"/>
  <c r="E8" i="76"/>
  <c r="M9" i="15"/>
  <c r="C76" i="67"/>
  <c r="M8" i="15"/>
  <c r="M28" i="67"/>
  <c r="E2" i="69"/>
  <c r="F8" i="15"/>
  <c r="F38" i="15"/>
  <c r="J15" i="67"/>
  <c r="F38" i="67"/>
  <c r="F42" i="67"/>
  <c r="F36" i="15"/>
  <c r="E13" i="76"/>
  <c r="M22" i="15"/>
  <c r="F42" i="15"/>
  <c r="F20" i="31"/>
  <c r="M23" i="15"/>
  <c r="F37" i="67"/>
  <c r="F40" i="67"/>
  <c r="D6" i="73"/>
  <c r="F9" i="15"/>
  <c r="B7" i="76"/>
  <c r="B9" i="76"/>
  <c r="M28" i="15"/>
  <c r="M24" i="15"/>
  <c r="D3" i="73"/>
  <c r="B13" i="76"/>
  <c r="M6" i="15"/>
  <c r="F6" i="15"/>
  <c r="M8" i="67"/>
  <c r="E12" i="76"/>
  <c r="C76" i="15"/>
  <c r="M29" i="67"/>
  <c r="F9" i="67"/>
  <c r="D7" i="73"/>
  <c r="M6" i="67"/>
  <c r="F3" i="73"/>
  <c r="F6" i="67"/>
  <c r="D4" i="73"/>
  <c r="L48" i="15"/>
  <c r="F7" i="15"/>
  <c r="M22" i="67"/>
  <c r="F6" i="73"/>
  <c r="F16" i="15"/>
  <c r="F4" i="73"/>
  <c r="D35" i="9"/>
  <c r="M29" i="15"/>
  <c r="F26" i="67"/>
  <c r="M26" i="15"/>
  <c r="L47" i="15"/>
  <c r="B11" i="76"/>
  <c r="M9" i="67"/>
  <c r="E2" i="68"/>
  <c r="L47" i="67"/>
  <c r="L48" i="67"/>
  <c r="F7" i="67"/>
  <c r="D34" i="9"/>
  <c r="B10" i="76"/>
  <c r="J15" i="15"/>
  <c r="F37" i="15"/>
  <c r="B8" i="76"/>
  <c r="M23" i="67"/>
  <c r="AC43" i="34" l="1"/>
  <c r="AC15" i="34"/>
  <c r="F86" i="34"/>
  <c r="G86" i="34" s="1"/>
  <c r="J23" i="34"/>
  <c r="F23" i="34"/>
  <c r="AA23" i="34" s="1"/>
  <c r="H23" i="34"/>
  <c r="U23" i="34" s="1"/>
  <c r="F82" i="34"/>
  <c r="G82" i="34" s="1"/>
  <c r="J19" i="34"/>
  <c r="F19" i="34"/>
  <c r="H19" i="34"/>
  <c r="F80" i="34"/>
  <c r="G80" i="34" s="1"/>
  <c r="H17" i="34"/>
  <c r="F17" i="34"/>
  <c r="AA17" i="34" s="1"/>
  <c r="J17" i="34"/>
  <c r="G112" i="34"/>
  <c r="H112" i="34" s="1"/>
  <c r="I112" i="34" s="1"/>
  <c r="J112" i="34" s="1"/>
  <c r="K112" i="34" s="1"/>
  <c r="L112" i="34" s="1"/>
  <c r="M112" i="34" s="1"/>
  <c r="F37" i="34"/>
  <c r="J37" i="34"/>
  <c r="AC37" i="34" s="1"/>
  <c r="S35" i="34"/>
  <c r="U38" i="34"/>
  <c r="AB33" i="34"/>
  <c r="U44" i="34"/>
  <c r="AB23" i="34"/>
  <c r="S23" i="34"/>
  <c r="U21" i="34"/>
  <c r="S21" i="34"/>
  <c r="U15" i="34"/>
  <c r="W8" i="34"/>
  <c r="AA45" i="34"/>
  <c r="S43" i="34"/>
  <c r="AA40" i="34"/>
  <c r="AC38" i="34"/>
  <c r="AC36" i="34"/>
  <c r="W25" i="34"/>
  <c r="H50" i="43"/>
  <c r="C21" i="40"/>
  <c r="C17" i="40"/>
  <c r="C21" i="68"/>
  <c r="C28" i="67"/>
  <c r="E19" i="71"/>
  <c r="E18" i="71" s="1"/>
  <c r="E17" i="71" s="1"/>
  <c r="E16" i="71" s="1"/>
  <c r="V20" i="71"/>
  <c r="AZ557" i="3"/>
  <c r="D17" i="71"/>
  <c r="C16" i="71"/>
  <c r="D19" i="53"/>
  <c r="B38" i="72" s="1"/>
  <c r="D16" i="53"/>
  <c r="B34" i="72" s="1"/>
  <c r="AB15" i="21"/>
  <c r="W17" i="21"/>
  <c r="AC15" i="21"/>
  <c r="S20" i="35"/>
  <c r="U12" i="39"/>
  <c r="AA27" i="40"/>
  <c r="AB27" i="40"/>
  <c r="G28" i="6"/>
  <c r="G30" i="6" s="1"/>
  <c r="G31" i="6" s="1"/>
  <c r="F29" i="6"/>
  <c r="U43" i="33"/>
  <c r="AA41" i="34"/>
  <c r="U46" i="33"/>
  <c r="AA13" i="35"/>
  <c r="B94" i="43"/>
  <c r="B73" i="43"/>
  <c r="B99" i="43"/>
  <c r="B76" i="43"/>
  <c r="J9" i="34"/>
  <c r="F9" i="34"/>
  <c r="AA9" i="34" s="1"/>
  <c r="AZ409" i="3"/>
  <c r="AZ416" i="3"/>
  <c r="AZ425" i="3"/>
  <c r="AZ432" i="3"/>
  <c r="AZ445" i="3"/>
  <c r="AZ447" i="3"/>
  <c r="AZ464" i="3"/>
  <c r="AZ467" i="3"/>
  <c r="AZ474" i="3"/>
  <c r="AZ480" i="3"/>
  <c r="AZ482" i="3"/>
  <c r="AZ486" i="3"/>
  <c r="AZ488" i="3"/>
  <c r="AZ216" i="3"/>
  <c r="BL5" i="3"/>
  <c r="G5" i="3"/>
  <c r="B3" i="3" s="1"/>
  <c r="E253" i="3" s="1"/>
  <c r="B101" i="43"/>
  <c r="B79" i="43"/>
  <c r="B97" i="43"/>
  <c r="B75" i="43"/>
  <c r="F12" i="34"/>
  <c r="F34" i="35"/>
  <c r="H34" i="35"/>
  <c r="J36" i="35"/>
  <c r="F23" i="36"/>
  <c r="H23" i="36"/>
  <c r="AZ219" i="3"/>
  <c r="AZ221" i="3"/>
  <c r="AZ230" i="3"/>
  <c r="AZ236" i="3"/>
  <c r="AZ242" i="3"/>
  <c r="AZ246" i="3"/>
  <c r="AZ258" i="3"/>
  <c r="AZ262" i="3"/>
  <c r="AZ267" i="3"/>
  <c r="AZ278" i="3"/>
  <c r="AZ284" i="3"/>
  <c r="AZ292" i="3"/>
  <c r="AZ302" i="3"/>
  <c r="AZ113" i="3"/>
  <c r="AZ126" i="3"/>
  <c r="AZ129" i="3"/>
  <c r="AZ141" i="3"/>
  <c r="AZ205" i="3"/>
  <c r="AZ18" i="3"/>
  <c r="AZ23" i="3"/>
  <c r="AZ27" i="3"/>
  <c r="AZ52" i="3"/>
  <c r="AZ56" i="3"/>
  <c r="AZ60" i="3"/>
  <c r="AZ73" i="3"/>
  <c r="AZ78" i="3"/>
  <c r="AZ87" i="3"/>
  <c r="AZ91" i="3"/>
  <c r="AZ95" i="3"/>
  <c r="AZ98" i="3"/>
  <c r="AZ108" i="3"/>
  <c r="S21" i="21"/>
  <c r="U18" i="36"/>
  <c r="AB25" i="71"/>
  <c r="AB27" i="71"/>
  <c r="X9" i="71"/>
  <c r="X10" i="71"/>
  <c r="AB10" i="71"/>
  <c r="AB9" i="71"/>
  <c r="V68" i="71"/>
  <c r="F67" i="71"/>
  <c r="AA24" i="71"/>
  <c r="X22" i="71"/>
  <c r="X21" i="71"/>
  <c r="AA22" i="71"/>
  <c r="AA21" i="71"/>
  <c r="Y18" i="71"/>
  <c r="Z18" i="71" s="1"/>
  <c r="AB18" i="71"/>
  <c r="X14" i="71"/>
  <c r="AA13" i="71"/>
  <c r="X17" i="71"/>
  <c r="AA17" i="71"/>
  <c r="S28" i="71"/>
  <c r="AA29" i="71"/>
  <c r="X39" i="71"/>
  <c r="Y9" i="71"/>
  <c r="Z9" i="71" s="1"/>
  <c r="Y10" i="71"/>
  <c r="Z10" i="71" s="1"/>
  <c r="AA9" i="71"/>
  <c r="AA10" i="71"/>
  <c r="AB39" i="71"/>
  <c r="AB24" i="71"/>
  <c r="Y21" i="71"/>
  <c r="Z21" i="71" s="1"/>
  <c r="AB21" i="71"/>
  <c r="X18" i="71"/>
  <c r="AA18" i="71"/>
  <c r="Y14" i="71"/>
  <c r="Z14" i="71" s="1"/>
  <c r="Y17" i="71"/>
  <c r="Z17" i="71" s="1"/>
  <c r="AB17" i="71"/>
  <c r="X24" i="71"/>
  <c r="Y24" i="71"/>
  <c r="Z24" i="71" s="1"/>
  <c r="AB15" i="71"/>
  <c r="AA11" i="71"/>
  <c r="X11" i="71"/>
  <c r="AB13" i="71"/>
  <c r="AB14" i="71"/>
  <c r="Y12" i="71"/>
  <c r="Z12" i="71" s="1"/>
  <c r="Y13" i="71"/>
  <c r="Z13" i="71" s="1"/>
  <c r="Y23" i="71"/>
  <c r="Z23" i="71" s="1"/>
  <c r="Y22" i="71"/>
  <c r="Z22" i="71" s="1"/>
  <c r="AA23" i="71"/>
  <c r="AB23" i="71"/>
  <c r="X15" i="71"/>
  <c r="AA15" i="71"/>
  <c r="AA12" i="71"/>
  <c r="AA14" i="71"/>
  <c r="X12" i="71"/>
  <c r="X13" i="71"/>
  <c r="AB12" i="71"/>
  <c r="AB11"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AC23" i="34" l="1"/>
  <c r="W23" i="34"/>
  <c r="AB19" i="34"/>
  <c r="U19" i="34"/>
  <c r="AC19" i="34"/>
  <c r="W19" i="34"/>
  <c r="S19" i="34"/>
  <c r="AA19" i="34"/>
  <c r="S17" i="34"/>
  <c r="W17" i="34"/>
  <c r="AC17" i="34"/>
  <c r="U17" i="34"/>
  <c r="AB17" i="34"/>
  <c r="W37" i="34"/>
  <c r="AA37" i="34"/>
  <c r="S37" i="34"/>
  <c r="S9" i="34"/>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H7" i="36"/>
  <c r="F66" i="71"/>
  <c r="Q67" i="71"/>
  <c r="AA23" i="36"/>
  <c r="S23" i="36"/>
  <c r="AB34" i="35"/>
  <c r="U34" i="35"/>
  <c r="S12" i="34"/>
  <c r="AA12" i="34"/>
  <c r="AC9" i="34"/>
  <c r="W9" i="34"/>
  <c r="C15" i="71"/>
  <c r="T16" i="71"/>
  <c r="E15" i="71"/>
  <c r="E14" i="71" s="1"/>
  <c r="E13" i="71" s="1"/>
  <c r="E12" i="71" s="1"/>
  <c r="V16" i="71"/>
  <c r="D16" i="71"/>
  <c r="U16" i="71" s="1"/>
  <c r="B15" i="71"/>
  <c r="B14" i="71" s="1"/>
  <c r="B13" i="71" s="1"/>
  <c r="B12" i="71" s="1"/>
  <c r="S16" i="71"/>
  <c r="D17" i="53"/>
  <c r="B36" i="72" s="1"/>
  <c r="N370" i="46"/>
  <c r="G26" i="43"/>
  <c r="AB23" i="36"/>
  <c r="U23" i="36"/>
  <c r="AC36" i="35"/>
  <c r="W36" i="35"/>
  <c r="AA34" i="35"/>
  <c r="S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D15" i="71"/>
  <c r="C14" i="71"/>
  <c r="Q66" i="71"/>
  <c r="Q65" i="71"/>
  <c r="R36" i="36"/>
  <c r="R37" i="36" s="1"/>
  <c r="E65" i="39"/>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25" i="11" l="1"/>
  <c r="C22" i="11" s="1"/>
  <c r="C31" i="11" s="1"/>
  <c r="H25" i="6"/>
  <c r="R25" i="6" s="1"/>
  <c r="R12" i="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7" i="21"/>
  <c r="F7" i="21"/>
  <c r="J48" i="35"/>
  <c r="C8" i="68" l="1"/>
  <c r="C5" i="68" s="1"/>
  <c r="C23" i="68" s="1"/>
  <c r="C18" i="12"/>
  <c r="C21"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U37" i="34" l="1"/>
  <c r="AB37" i="34"/>
  <c r="T49" i="34"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G54" i="34" s="1"/>
  <c r="H54" i="34" s="1"/>
  <c r="R50" i="34"/>
  <c r="G53" i="34"/>
  <c r="H53" i="34"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54" i="34" l="1"/>
  <c r="F54" i="34" s="1"/>
  <c r="C49" i="34"/>
  <c r="C50" i="34"/>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L51" i="15"/>
  <c r="D2" i="36"/>
  <c r="D2" i="37"/>
  <c r="D2" i="34"/>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9" i="1"/>
  <c r="AO8" i="1"/>
  <c r="C19" i="9"/>
  <c r="AO10" i="1"/>
  <c r="AO11" i="1"/>
  <c r="AO6" i="1"/>
  <c r="AO7" i="1"/>
  <c r="AO12"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9" i="31"/>
  <c r="R25" i="31"/>
  <c r="R26" i="31"/>
  <c r="R27" i="31"/>
  <c r="R28"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5" i="31"/>
  <c r="T25" i="31"/>
  <c r="S28" i="31"/>
  <c r="T28" i="31"/>
  <c r="S26" i="31"/>
  <c r="T26" i="31"/>
  <c r="S29" i="31"/>
  <c r="T29" i="31"/>
  <c r="S22" i="31"/>
  <c r="E14" i="74"/>
  <c r="F14" i="74"/>
  <c r="B5" i="74"/>
  <c r="D5" i="74" s="1"/>
  <c r="R22" i="31" l="1"/>
  <c r="B20" i="31"/>
  <c r="B21" i="31" s="1"/>
  <c r="B6" i="74"/>
  <c r="D6" i="74" s="1"/>
  <c r="D52" i="9" l="1"/>
  <c r="D53" i="9"/>
  <c r="N60" i="9"/>
  <c r="N61" i="9"/>
  <c r="H4" i="52"/>
  <c r="C104" i="9"/>
  <c r="C105" i="9"/>
  <c r="I4" i="52"/>
  <c r="P57" i="9"/>
  <c r="N58" i="9"/>
  <c r="N59" i="9"/>
  <c r="C6" i="74"/>
  <c r="C5" i="74"/>
  <c r="N57" i="9"/>
  <c r="L65" i="9"/>
  <c r="M65" i="9"/>
  <c r="M54" i="9"/>
  <c r="M55" i="9"/>
  <c r="M48" i="9"/>
  <c r="E97" i="9"/>
  <c r="D56" i="9"/>
  <c r="L66" i="9"/>
  <c r="M66" i="9"/>
  <c r="E81" i="9"/>
  <c r="B30" i="72"/>
  <c r="H119" i="9"/>
  <c r="H5" i="52"/>
  <c r="B48" i="72"/>
  <c r="C81" i="9"/>
  <c r="B22" i="72"/>
  <c r="D59" i="9"/>
  <c r="H102" i="9"/>
  <c r="D7" i="53"/>
  <c r="B21" i="72"/>
  <c r="B20" i="72"/>
  <c r="D5" i="53"/>
  <c r="D6" i="53"/>
  <c r="D55" i="9"/>
  <c r="M53" i="9"/>
  <c r="D13" i="53"/>
  <c r="D14" i="53"/>
  <c r="B32" i="72"/>
  <c r="C93" i="9"/>
  <c r="C86" i="9"/>
  <c r="C72" i="9"/>
  <c r="C79" i="9"/>
  <c r="C80" i="9"/>
  <c r="E80" i="9"/>
  <c r="L68" i="9"/>
  <c r="M68" i="9"/>
  <c r="D8" i="52"/>
  <c r="D58" i="9"/>
  <c r="N69" i="9"/>
  <c r="B53" i="72"/>
  <c r="C78" i="9"/>
  <c r="C73" i="9"/>
  <c r="C97" i="9"/>
  <c r="E4" i="52"/>
  <c r="F4" i="52"/>
  <c r="B51" i="72"/>
  <c r="D122" i="9"/>
  <c r="D123" i="9"/>
  <c r="D9" i="52"/>
  <c r="L64" i="9"/>
  <c r="M64" i="9"/>
  <c r="C64" i="9"/>
  <c r="C63" i="9"/>
  <c r="C67" i="9"/>
  <c r="C68" i="9"/>
  <c r="D54" i="9"/>
  <c r="G4" i="52"/>
  <c r="B52" i="72"/>
  <c r="L67" i="9"/>
  <c r="M67" i="9"/>
  <c r="D4" i="52"/>
  <c r="B47" i="72"/>
  <c r="H108" i="9"/>
  <c r="D15" i="53"/>
  <c r="B31" i="72"/>
  <c r="G118" i="9"/>
  <c r="F118" i="9"/>
  <c r="F119" i="9"/>
  <c r="F5" i="52"/>
  <c r="M69" i="9"/>
  <c r="H107" i="9"/>
  <c r="M49" i="9"/>
  <c r="L63" i="9"/>
  <c r="M63" i="9"/>
  <c r="H101" i="9"/>
  <c r="D45" i="9"/>
  <c r="C85" i="9"/>
  <c r="C95" i="9"/>
  <c r="C96" i="9"/>
  <c r="E96" i="9"/>
  <c r="H118" i="9"/>
  <c r="I118" i="9"/>
  <c r="E118" i="9"/>
  <c r="D118" i="9"/>
  <c r="D119" i="9"/>
  <c r="D5" i="52"/>
  <c r="B49"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<sst xmlns="http://schemas.openxmlformats.org/spreadsheetml/2006/main" count="8205" uniqueCount="3445">
  <si>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</si>
  <si>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</si>
  <si>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</si>
  <si>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</si>
  <si>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</si>
  <si>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</si>
  <si>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</si>
  <si>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</si>
  <si>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</si>
  <si>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</si>
  <si>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</si>
  <si>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</si>
  <si>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</si>
  <si>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</si>
  <si>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</si>
  <si>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</si>
  <si>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</si>
  <si>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</si>
  <si>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</si>
  <si>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</si>
  <si>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</si>
  <si>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</si>
  <si>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</si>
  <si>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</si>
  <si>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</si>
  <si>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</si>
  <si>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</si>
  <si>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</si>
  <si>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</si>
  <si>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</si>
  <si>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</si>
  <si>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</si>
  <si>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</si>
  <si>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</si>
  <si>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</si>
  <si>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</si>
  <si>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</si>
  <si>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</si>
  <si>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</si>
  <si>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</si>
  <si>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</si>
  <si>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</si>
  <si>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</si>
  <si>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</si>
  <si>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</si>
  <si>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</si>
  <si>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</si>
  <si>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</si>
  <si>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</si>
  <si>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</si>
  <si>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</si>
  <si>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</si>
  <si>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</si>
  <si>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</si>
  <si>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</si>
  <si>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</si>
  <si>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</si>
  <si>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</si>
  <si>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</si>
  <si>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</si>
  <si>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</si>
  <si>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</si>
  <si>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</si>
  <si>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</si>
  <si>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</si>
  <si>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</si>
  <si>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</si>
  <si>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</si>
  <si>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</si>
  <si>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</si>
  <si>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</si>
  <si>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</si>
  <si>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</si>
  <si>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</si>
  <si>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</si>
  <si>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</si>
  <si>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</si>
  <si>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</si>
  <si>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</si>
  <si>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</si>
  <si>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</si>
  <si>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</si>
  <si>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</si>
  <si>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</si>
  <si>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</si>
  <si>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</si>
  <si>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</si>
  <si>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</si>
  <si>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</si>
  <si>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</si>
  <si>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</si>
  <si>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</si>
  <si>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</si>
  <si>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</si>
  <si>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</si>
  <si>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</si>
  <si>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</si>
  <si>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</si>
  <si>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</si>
  <si>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</si>
  <si>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</si>
  <si>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</si>
  <si>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</si>
  <si>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</si>
  <si>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</si>
  <si>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</si>
  <si>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</si>
  <si>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</si>
  <si>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</si>
  <si>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</si>
  <si>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</si>
  <si>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</si>
  <si>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</si>
  <si>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</si>
  <si>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</si>
  <si>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</si>
  <si>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</si>
  <si>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</si>
  <si>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</si>
  <si>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</si>
  <si>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</si>
  <si>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</si>
  <si>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</si>
  <si>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</si>
  <si>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</si>
  <si>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</si>
  <si>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</si>
  <si>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</si>
  <si>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</si>
  <si>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</si>
  <si>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</si>
  <si>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</si>
  <si>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</si>
  <si>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</si>
  <si>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</si>
  <si>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</si>
  <si>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</si>
  <si>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</si>
  <si>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</si>
  <si>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</si>
  <si>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</si>
  <si>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</si>
  <si>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</si>
  <si>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</si>
  <si>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</si>
  <si>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</si>
  <si>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</si>
  <si>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</si>
  <si>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</si>
  <si>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</si>
  <si>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</si>
  <si>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</si>
  <si>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</si>
  <si>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</si>
  <si>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</si>
  <si>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</si>
  <si>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</si>
  <si>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</si>
  <si>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</si>
  <si>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</si>
  <si>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</si>
  <si>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</si>
  <si>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</si>
  <si>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</si>
  <si>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</si>
  <si>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</si>
  <si>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</si>
  <si>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</si>
  <si>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</si>
  <si>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</si>
  <si>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</si>
  <si>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</si>
  <si>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</si>
  <si>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</si>
  <si>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</si>
  <si>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</si>
  <si>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</si>
  <si>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</si>
  <si>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</si>
  <si>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</si>
  <si>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</si>
  <si>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</si>
  <si>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</si>
  <si>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</si>
  <si>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</si>
  <si>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</si>
  <si>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</si>
  <si>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</si>
  <si>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</si>
  <si>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</si>
  <si>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</si>
  <si>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</si>
  <si>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</si>
  <si>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</si>
  <si>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</si>
  <si>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</si>
  <si>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</si>
  <si>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</si>
  <si>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</si>
  <si>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</si>
  <si>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</si>
  <si>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</si>
  <si>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</si>
  <si>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</si>
  <si>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</si>
  <si>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</si>
  <si>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</si>
  <si>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</si>
  <si>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</si>
  <si>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</si>
  <si>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</si>
  <si>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</si>
  <si>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</si>
  <si>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</si>
  <si>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</si>
  <si>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</si>
  <si>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</si>
  <si>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</si>
  <si>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</si>
  <si>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</si>
  <si>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</si>
  <si>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</si>
  <si>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</si>
  <si>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</si>
  <si>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</si>
  <si>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</si>
  <si>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</si>
  <si>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</si>
  <si>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</si>
  <si>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</si>
  <si>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</si>
  <si>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</si>
  <si>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</si>
  <si>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</si>
  <si>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</si>
  <si>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</si>
  <si>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</si>
  <si>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</si>
  <si>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</si>
  <si>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</si>
  <si>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</si>
  <si>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</si>
  <si>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</si>
  <si>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</si>
  <si>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</si>
  <si>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</si>
  <si>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</si>
  <si>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</si>
  <si>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</si>
  <si>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</si>
  <si>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</si>
  <si>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</si>
  <si>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</si>
  <si>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</si>
  <si>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</si>
  <si>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</si>
  <si>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</si>
  <si>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</si>
  <si>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</si>
  <si>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</si>
  <si>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</si>
  <si>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</si>
  <si>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</si>
  <si>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</si>
  <si>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</si>
  <si>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</si>
  <si>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</si>
  <si>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</si>
  <si>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</si>
  <si>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</si>
  <si>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</si>
  <si>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</si>
  <si>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</si>
  <si>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</si>
  <si>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</si>
  <si>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</si>
  <si>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</si>
  <si>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</si>
  <si>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</si>
  <si>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</si>
  <si>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</si>
  <si>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</si>
  <si>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</si>
  <si>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</si>
  <si>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</si>
  <si>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</si>
  <si>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</si>
  <si>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</si>
  <si>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</si>
  <si>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</si>
  <si>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</si>
  <si>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</si>
  <si>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</si>
  <si>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</si>
  <si>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</si>
  <si>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</si>
  <si>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</si>
  <si>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</si>
  <si>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</si>
  <si>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</si>
  <si>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</si>
  <si>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</si>
  <si>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</si>
  <si>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</si>
  <si>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</si>
  <si>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</si>
  <si>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</si>
  <si>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</si>
  <si>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</si>
  <si>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</si>
  <si>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</si>
  <si>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</si>
  <si>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</si>
  <si>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</si>
  <si>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</si>
  <si>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</si>
  <si>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</si>
  <si>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</si>
  <si>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</si>
  <si>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</si>
  <si>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</si>
  <si>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</si>
  <si>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</si>
  <si>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</si>
  <si>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</si>
  <si>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</si>
  <si>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</si>
  <si>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</si>
  <si>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</si>
  <si>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</si>
  <si>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</si>
  <si>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</si>
  <si>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</si>
  <si>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</si>
  <si>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</si>
  <si>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</si>
  <si>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</si>
  <si>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</si>
  <si>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</si>
  <si>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</si>
  <si>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</si>
  <si>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</si>
  <si>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</si>
  <si>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</si>
  <si>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</si>
  <si>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</si>
  <si>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</si>
  <si>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</si>
  <si>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</si>
  <si>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</si>
  <si>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</si>
  <si>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</si>
  <si>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</si>
  <si>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</si>
  <si>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</si>
  <si>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</si>
  <si>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</si>
  <si>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</si>
  <si>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</si>
  <si>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</si>
  <si>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</si>
  <si>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</si>
  <si>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</si>
  <si>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</si>
  <si>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</si>
  <si>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</si>
  <si>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</si>
  <si>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</si>
  <si>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</si>
  <si>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</si>
  <si>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</si>
  <si>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</si>
  <si>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</si>
  <si>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</si>
  <si>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</si>
  <si>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</si>
  <si>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</si>
  <si>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</si>
  <si>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</si>
  <si>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</si>
  <si>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</si>
  <si>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</si>
  <si>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</si>
  <si>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</si>
  <si>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</si>
  <si>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</si>
  <si>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</si>
  <si>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</si>
  <si>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</si>
  <si>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</si>
  <si>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</si>
  <si>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</si>
  <si>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</si>
  <si>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</si>
  <si>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</si>
  <si>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</si>
  <si>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</si>
  <si>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</si>
  <si>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</si>
  <si>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</si>
  <si>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</si>
  <si>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</si>
  <si>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</si>
  <si>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</si>
  <si>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</si>
  <si>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</si>
  <si>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</si>
  <si>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</si>
  <si>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</si>
  <si>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</si>
  <si>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</si>
  <si>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</si>
  <si>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</si>
  <si>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</si>
  <si>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</si>
  <si>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</si>
  <si>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</si>
  <si>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</si>
  <si>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</si>
  <si>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</si>
  <si>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</si>
  <si>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</si>
  <si>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</si>
  <si>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</si>
  <si>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</si>
  <si>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</si>
  <si>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</si>
  <si>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</si>
  <si>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</si>
  <si>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</si>
  <si>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</si>
  <si>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</si>
  <si>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</si>
  <si>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</si>
  <si>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</si>
  <si>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</si>
  <si>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</si>
  <si>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</si>
  <si>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</si>
  <si>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</si>
  <si>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</si>
  <si>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</si>
  <si>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</si>
  <si>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</si>
  <si>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</si>
  <si>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</si>
  <si>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</si>
  <si>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</si>
  <si>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</si>
  <si>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</si>
  <si>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</si>
  <si>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</si>
  <si>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</si>
  <si>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</si>
  <si>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</si>
  <si>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</si>
  <si>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</si>
  <si>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</si>
  <si>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</si>
  <si>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</si>
  <si>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</si>
  <si>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</si>
  <si>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</si>
  <si>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</si>
  <si>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</si>
  <si>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</si>
  <si>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</si>
  <si>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</si>
  <si>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</si>
  <si>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</si>
  <si>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</si>
  <si>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</si>
  <si>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</si>
  <si>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</si>
  <si>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</si>
  <si>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</si>
  <si>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</si>
  <si>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</si>
  <si>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</si>
  <si>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</si>
  <si>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</si>
  <si>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</si>
  <si>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</si>
  <si>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</si>
  <si>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</si>
  <si>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</si>
  <si>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</si>
  <si>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</si>
  <si>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</si>
  <si>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</si>
  <si>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</si>
  <si>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</si>
  <si>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</si>
  <si>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</si>
  <si>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</si>
  <si>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</si>
  <si>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</si>
  <si>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</si>
  <si>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</si>
  <si>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</si>
  <si>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</si>
  <si>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</si>
  <si>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</si>
  <si>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</si>
  <si>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</si>
  <si>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</si>
  <si>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</si>
  <si>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</si>
  <si>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</si>
  <si>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</si>
  <si>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</si>
  <si>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</si>
  <si>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</si>
  <si>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</si>
  <si>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</si>
  <si>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</si>
  <si>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</si>
  <si>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</si>
  <si>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</si>
  <si>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</si>
  <si>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</si>
  <si>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</si>
  <si>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</si>
  <si>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</si>
  <si>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</si>
  <si>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</si>
  <si>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</si>
  <si>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</si>
  <si>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</si>
  <si>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</si>
  <si>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</si>
  <si>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</si>
  <si>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</si>
  <si>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</si>
  <si>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</si>
  <si>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</si>
  <si>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</si>
  <si>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</si>
  <si>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</si>
  <si>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</si>
  <si>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</si>
  <si>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</si>
  <si>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</si>
  <si>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</si>
  <si>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</si>
  <si>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</si>
  <si>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</si>
  <si>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</si>
  <si>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</si>
  <si>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</si>
  <si>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</si>
  <si>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</si>
  <si>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</si>
  <si>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</si>
  <si>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</si>
  <si>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</si>
  <si>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</si>
  <si>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</si>
  <si>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</si>
  <si>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</si>
  <si>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</si>
  <si>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</si>
  <si>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</si>
  <si>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</si>
  <si>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</si>
  <si>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</si>
  <si>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</si>
  <si>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</si>
  <si>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</si>
  <si>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</si>
  <si>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</si>
  <si>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</si>
  <si>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</si>
  <si>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</si>
  <si>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</si>
  <si>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</si>
  <si>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</si>
  <si>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</si>
  <si>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</si>
  <si>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</si>
  <si>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</si>
  <si>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</si>
  <si>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</si>
  <si>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</si>
  <si>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</si>
  <si>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</si>
  <si>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</si>
  <si>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</si>
  <si>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</si>
  <si>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</si>
  <si>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</si>
  <si>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</si>
  <si>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</si>
  <si>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</si>
  <si>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</si>
  <si>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</si>
  <si>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</si>
  <si>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</si>
  <si>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</si>
  <si>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</si>
  <si>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</si>
  <si>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</si>
  <si>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</si>
  <si>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</si>
  <si>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</si>
  <si>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</si>
  <si>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</si>
  <si>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</si>
  <si>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</si>
  <si>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</si>
  <si>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</si>
  <si>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</si>
  <si>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</si>
  <si>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</si>
  <si>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</si>
  <si>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</si>
  <si>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</si>
  <si>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</si>
  <si>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</si>
  <si>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</si>
  <si>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</si>
  <si>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</si>
  <si>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</si>
  <si>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</si>
  <si>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</si>
  <si>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</si>
  <si>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</si>
  <si>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</si>
  <si>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</si>
  <si>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</si>
  <si>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</si>
  <si>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</si>
  <si>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</si>
  <si>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</si>
  <si>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</si>
  <si>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</si>
  <si>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</si>
  <si>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</si>
  <si>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</si>
  <si>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</si>
  <si>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</si>
  <si>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</si>
  <si>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</si>
  <si>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</si>
  <si>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</si>
  <si>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</si>
  <si>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</si>
  <si>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</si>
  <si>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</si>
  <si>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</si>
  <si>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</si>
  <si>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</si>
  <si>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</si>
  <si>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</si>
  <si>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</si>
  <si>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</si>
  <si>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</si>
  <si>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</si>
  <si>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</si>
  <si>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</si>
  <si>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</si>
  <si>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</si>
  <si>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</si>
  <si>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</si>
  <si>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</si>
  <si>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</si>
  <si>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</si>
  <si>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</si>
  <si>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</si>
  <si>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</si>
  <si>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</si>
  <si>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</si>
  <si>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</si>
  <si>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</si>
  <si>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</si>
  <si>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</si>
  <si>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</si>
  <si>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</si>
  <si>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</si>
  <si>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</si>
  <si>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</si>
  <si>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</si>
  <si>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</si>
  <si>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</si>
  <si>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</si>
  <si>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</si>
  <si>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</si>
  <si>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</si>
  <si>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</si>
  <si>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</si>
  <si>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</si>
  <si>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</si>
  <si>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</si>
  <si>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</si>
  <si>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</si>
  <si>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</si>
  <si>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</si>
  <si>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</si>
  <si>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</si>
  <si>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</si>
  <si>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</si>
  <si>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</si>
  <si>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</si>
  <si>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</si>
  <si>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</si>
  <si>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</si>
  <si>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</si>
  <si>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</si>
  <si>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</si>
  <si>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</si>
  <si>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</si>
  <si>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</si>
  <si>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</si>
  <si>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</si>
  <si>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</si>
  <si>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</si>
  <si>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</si>
  <si>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</si>
  <si>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</si>
  <si>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</si>
  <si>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</si>
  <si>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</si>
  <si>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</si>
  <si>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</si>
  <si>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</si>
  <si>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</si>
  <si>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</si>
  <si>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</si>
  <si>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</si>
  <si>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</si>
  <si>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</si>
  <si>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</si>
  <si>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</si>
  <si>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</si>
  <si>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</si>
  <si>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</si>
  <si>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</si>
  <si>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</si>
  <si>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</si>
  <si>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</si>
  <si>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</si>
  <si>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</si>
  <si>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</si>
  <si>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</si>
  <si>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</si>
  <si>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</si>
  <si>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</si>
  <si>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</si>
  <si>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</si>
  <si>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</si>
  <si>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</si>
  <si>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</si>
  <si>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</si>
  <si>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</si>
  <si>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</si>
  <si>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</si>
  <si>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</si>
  <si>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</si>
  <si>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</si>
  <si>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</si>
  <si>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</si>
  <si>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</si>
  <si>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</si>
  <si>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</si>
  <si>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</si>
  <si>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</si>
  <si>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</si>
  <si>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</si>
  <si>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</si>
  <si>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</si>
  <si>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</si>
  <si>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</si>
  <si>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</si>
  <si>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</si>
  <si>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</si>
  <si>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</si>
  <si>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</si>
  <si>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</si>
  <si>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</si>
  <si>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</si>
  <si>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</si>
  <si>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</si>
  <si>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</si>
  <si>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</si>
  <si>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</si>
  <si>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</si>
  <si>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</si>
  <si>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</si>
  <si>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</si>
  <si>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</si>
  <si>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</si>
  <si>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</si>
  <si>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</si>
  <si>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</si>
  <si>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</si>
  <si>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</si>
  <si>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</si>
  <si>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</si>
  <si>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</si>
  <si>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</si>
  <si>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</si>
  <si>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</si>
  <si>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</si>
  <si>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</si>
  <si>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</si>
  <si>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</si>
  <si>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</si>
  <si>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</si>
  <si>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</si>
  <si>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</si>
  <si>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</si>
  <si>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</si>
  <si>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</si>
  <si>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</si>
  <si>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</si>
  <si>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</si>
  <si>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</si>
  <si>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</si>
  <si>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</si>
  <si>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</si>
  <si>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</si>
  <si>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</si>
  <si>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</si>
  <si>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</si>
  <si>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</si>
  <si>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</si>
  <si>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</si>
  <si>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</si>
  <si>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</si>
  <si>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</si>
  <si>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</si>
  <si>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</si>
  <si>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</si>
  <si>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</si>
  <si>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</si>
  <si>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</si>
  <si>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</si>
  <si>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</si>
  <si>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</si>
  <si>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</si>
  <si>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</si>
  <si>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</si>
  <si>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</si>
  <si>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</si>
  <si>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</si>
  <si>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</si>
  <si>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</si>
  <si>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</si>
  <si>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</si>
  <si>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</si>
  <si>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</si>
  <si>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</si>
  <si>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</si>
  <si>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</si>
  <si>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</si>
  <si>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</si>
  <si>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</si>
  <si>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</si>
  <si>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</si>
  <si>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</si>
  <si>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</si>
  <si>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</si>
  <si>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</si>
  <si>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</si>
  <si>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</si>
  <si>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</si>
  <si>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</si>
  <si>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</si>
  <si>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</si>
  <si>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</si>
  <si>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</si>
  <si>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</si>
  <si>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</si>
  <si>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</si>
  <si>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</si>
  <si>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</si>
  <si>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</si>
  <si>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</si>
  <si>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</si>
  <si>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</si>
  <si>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</si>
  <si>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</si>
  <si>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</si>
  <si>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</si>
  <si>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</si>
  <si>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</si>
  <si>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</si>
  <si>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</si>
  <si>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</si>
  <si>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</si>
  <si>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</si>
  <si>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</si>
  <si>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</si>
  <si>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</si>
  <si>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</si>
  <si>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</si>
  <si>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</si>
  <si>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</si>
  <si>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</si>
  <si>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</si>
  <si>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</si>
  <si>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</si>
  <si>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</si>
  <si>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</si>
  <si>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</si>
  <si>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</si>
  <si>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</si>
  <si>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</si>
  <si>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</si>
  <si>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</si>
  <si>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</si>
  <si>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</si>
  <si>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</si>
  <si>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</si>
  <si>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</si>
  <si>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</si>
  <si>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</si>
  <si>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</si>
  <si>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</si>
  <si>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</si>
  <si>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</si>
  <si>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</si>
  <si>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</si>
  <si>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</si>
  <si>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</si>
  <si>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</si>
  <si>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</si>
  <si>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</si>
  <si>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</si>
  <si>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</si>
  <si>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</si>
  <si>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</si>
  <si>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</si>
  <si>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</si>
  <si>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</si>
  <si>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</si>
  <si>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</si>
  <si>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</si>
  <si>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</si>
  <si>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</si>
  <si>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</si>
  <si>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</si>
  <si>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</si>
  <si>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</si>
  <si>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</si>
  <si>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</si>
  <si>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</si>
  <si>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</si>
  <si>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</si>
  <si>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</si>
  <si>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</si>
  <si>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</si>
  <si>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</si>
  <si>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</si>
  <si>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</si>
  <si>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</si>
  <si>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</si>
  <si>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</si>
  <si>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</si>
  <si>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</si>
  <si>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</si>
  <si>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</si>
  <si>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</si>
  <si>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</si>
  <si>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</si>
  <si>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</si>
  <si>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</si>
  <si>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</si>
  <si>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</si>
  <si>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</si>
  <si>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</si>
  <si>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</si>
  <si>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</si>
  <si>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</si>
  <si>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</si>
  <si>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</si>
  <si>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</si>
  <si>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</si>
  <si>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</si>
  <si>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</si>
  <si>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</si>
  <si>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</si>
  <si>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</si>
  <si>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</si>
  <si>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</si>
  <si>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</si>
  <si>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</si>
  <si>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</si>
  <si>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</si>
  <si>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</si>
  <si>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</si>
  <si>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</si>
  <si>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</si>
  <si>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</si>
  <si>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</si>
  <si>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</si>
  <si>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</si>
  <si>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</si>
  <si>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</si>
  <si>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</si>
  <si>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</si>
  <si>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</si>
  <si>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</si>
  <si>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</si>
  <si>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</si>
  <si>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</si>
  <si>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</si>
  <si>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</si>
  <si>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</si>
  <si>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</si>
  <si>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</si>
  <si>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</si>
  <si>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</si>
  <si>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</si>
  <si>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</si>
  <si>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</si>
  <si>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</si>
  <si>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</si>
  <si>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</si>
  <si>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</si>
  <si>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</si>
  <si>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</si>
  <si>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</si>
  <si>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</si>
  <si>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</si>
  <si>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</si>
  <si>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</si>
  <si>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</si>
  <si>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</si>
  <si>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</si>
  <si>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</si>
  <si>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</si>
  <si>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</si>
  <si>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</si>
  <si>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</si>
  <si>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</si>
  <si>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</si>
  <si>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</si>
  <si>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</si>
  <si>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</si>
  <si>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</si>
  <si>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</si>
  <si>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</si>
  <si>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</si>
  <si>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</si>
  <si>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</si>
  <si>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</si>
  <si>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</si>
  <si>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</si>
  <si>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</si>
  <si>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</si>
  <si>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</si>
  <si>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</si>
  <si>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</si>
  <si>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</si>
  <si>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</si>
  <si>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</si>
  <si>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</si>
  <si>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</si>
  <si>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</si>
  <si>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</si>
  <si>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</si>
  <si>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</si>
  <si>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</si>
  <si>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</si>
  <si>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</si>
  <si>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</si>
  <si>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</si>
  <si>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</si>
  <si>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</si>
  <si>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</si>
  <si>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</si>
  <si>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</si>
  <si>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</si>
  <si>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</si>
  <si>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</si>
  <si>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</si>
  <si>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</si>
  <si>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</si>
  <si>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</si>
  <si>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</si>
  <si>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</si>
  <si>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</si>
  <si>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</si>
  <si>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</si>
  <si>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</si>
  <si>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</si>
  <si>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</si>
  <si>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</si>
  <si>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</si>
  <si>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</si>
  <si>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</si>
  <si>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</si>
  <si>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</si>
  <si>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</si>
  <si>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</si>
  <si>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</si>
  <si>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</si>
  <si>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</si>
  <si>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</si>
  <si>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</si>
  <si>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</si>
  <si>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</si>
  <si>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</si>
  <si>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</si>
  <si>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</si>
  <si>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</si>
  <si>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</si>
  <si>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</si>
  <si>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</si>
  <si>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</si>
  <si>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</si>
  <si>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</si>
  <si>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</si>
  <si>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</si>
  <si>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</si>
  <si>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</si>
  <si>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</si>
  <si>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</si>
  <si>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</si>
  <si>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</si>
  <si>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</si>
  <si>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</si>
  <si>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</si>
  <si>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</si>
  <si>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</si>
  <si>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</si>
  <si>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</si>
  <si>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</si>
  <si>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</si>
  <si>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</si>
  <si>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</si>
  <si>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</si>
  <si>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</si>
  <si>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</si>
  <si>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</si>
  <si>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</si>
  <si>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</si>
  <si>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</si>
  <si>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</si>
  <si>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</si>
  <si>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</si>
  <si>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</si>
  <si>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</si>
  <si>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</si>
  <si>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</si>
  <si>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</si>
  <si>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</si>
  <si>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</si>
  <si>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</si>
  <si>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</si>
  <si>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</si>
  <si>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</si>
  <si>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</si>
  <si>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</si>
  <si>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</si>
  <si>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</si>
  <si>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</si>
  <si>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</si>
  <si>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</si>
  <si>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</si>
  <si>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</si>
  <si>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</si>
  <si>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</si>
  <si>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</si>
  <si>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</si>
  <si>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</si>
  <si>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</si>
  <si>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</si>
  <si>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</si>
  <si>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</si>
  <si>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</si>
  <si>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</si>
  <si>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</si>
  <si>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</si>
  <si>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</si>
  <si>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</si>
  <si>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</si>
  <si>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</si>
  <si>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</si>
  <si>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</si>
  <si>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</si>
  <si>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</si>
  <si>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</si>
  <si>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</si>
  <si>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</si>
  <si>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</si>
  <si>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</si>
  <si>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</si>
  <si>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</si>
  <si>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</si>
  <si>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</si>
  <si>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</si>
  <si>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</si>
  <si>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</si>
  <si>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</si>
  <si>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</si>
  <si>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</si>
  <si>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</si>
  <si>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</si>
  <si>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</si>
  <si>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</si>
  <si>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</si>
  <si>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</si>
  <si>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</si>
  <si>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</si>
  <si>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</si>
  <si>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</si>
  <si>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</si>
  <si>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</si>
  <si>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</si>
  <si>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</si>
  <si>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</si>
  <si>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</si>
  <si>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</si>
  <si>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</si>
  <si>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</si>
  <si>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</si>
  <si>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</si>
  <si>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</si>
  <si>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</si>
  <si>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</si>
  <si>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</si>
  <si>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</si>
  <si>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</si>
  <si>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</si>
  <si>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</si>
  <si>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</si>
  <si>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</si>
  <si>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</si>
  <si>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</si>
  <si>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</si>
  <si>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</si>
  <si>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</si>
  <si>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</si>
  <si>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</si>
  <si>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</si>
  <si>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</si>
  <si>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</si>
  <si>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</si>
  <si>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</si>
  <si>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</si>
  <si>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</si>
  <si>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</si>
  <si>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</si>
  <si>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</si>
  <si>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</si>
  <si>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</si>
  <si>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</si>
  <si>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</si>
  <si>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</si>
  <si>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</si>
  <si>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</si>
  <si>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</si>
  <si>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</si>
  <si>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</si>
  <si>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</si>
  <si>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</si>
  <si>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</si>
  <si>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</si>
  <si>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</si>
  <si>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</si>
  <si>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</si>
  <si>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</si>
  <si>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</si>
  <si>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</si>
  <si>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</si>
  <si>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</si>
  <si>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</si>
  <si>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</si>
  <si>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</si>
  <si>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</si>
  <si>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</si>
  <si>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</si>
  <si>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</si>
  <si>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</si>
  <si>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</si>
  <si>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</si>
  <si>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</si>
  <si>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</si>
  <si>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</si>
  <si>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</si>
  <si>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</si>
  <si>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</si>
  <si>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</si>
  <si>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</si>
  <si>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</si>
  <si>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</si>
  <si>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</si>
  <si>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</si>
  <si>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</si>
  <si>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</si>
  <si>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</si>
  <si>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</si>
  <si>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</si>
  <si>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</si>
  <si>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</si>
  <si>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</si>
  <si>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</si>
  <si>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</si>
  <si>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</si>
  <si>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</si>
  <si>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</si>
  <si>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</si>
  <si>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</si>
  <si>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</si>
  <si>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</si>
  <si>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</si>
  <si>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</si>
  <si>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</si>
  <si>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</si>
  <si>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</si>
  <si>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</si>
  <si>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</si>
  <si>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</si>
  <si>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</si>
  <si>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</si>
  <si>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</si>
  <si>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</si>
  <si>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</si>
  <si>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</si>
  <si>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</si>
  <si>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</si>
  <si>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</si>
  <si>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</si>
  <si>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</si>
  <si>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</si>
  <si>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</si>
  <si>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</si>
  <si>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</si>
  <si>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</si>
  <si>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</si>
  <si>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</si>
  <si>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</si>
  <si>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</si>
  <si>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</si>
  <si>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</si>
  <si>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</si>
  <si>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</si>
  <si>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</si>
  <si>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</si>
  <si>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</si>
  <si>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</si>
  <si>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</si>
  <si>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</si>
  <si>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</si>
  <si>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</si>
  <si>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</si>
  <si>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</si>
  <si>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</si>
  <si>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</si>
  <si>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</si>
  <si>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</si>
  <si>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</si>
  <si>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</si>
  <si>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</si>
  <si>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</si>
  <si>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</si>
  <si>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</si>
  <si>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</si>
  <si>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</si>
  <si>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</si>
  <si>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</si>
  <si>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</si>
  <si>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</si>
  <si>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</si>
  <si>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</si>
  <si>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</si>
  <si>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</si>
  <si>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</si>
  <si>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</si>
  <si>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</si>
  <si>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</si>
  <si>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</si>
  <si>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</si>
  <si>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</si>
  <si>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</si>
  <si>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</si>
  <si>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</si>
  <si>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</si>
  <si>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</si>
  <si>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</si>
  <si>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</si>
  <si>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</si>
  <si>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</si>
  <si>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</si>
  <si>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</si>
  <si>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</si>
  <si>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</si>
  <si>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</si>
  <si>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</si>
  <si>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</si>
  <si>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</si>
  <si>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</si>
  <si>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</si>
  <si>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</si>
  <si>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</si>
  <si>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</si>
  <si>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</si>
  <si>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</si>
  <si>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</si>
  <si>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</si>
  <si>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</si>
  <si>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</si>
  <si>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</si>
  <si>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</si>
  <si>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</si>
  <si>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</si>
  <si>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</si>
  <si>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</si>
  <si>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</si>
  <si>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</si>
  <si>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</si>
  <si>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</si>
  <si>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</si>
  <si>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</si>
  <si>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</si>
  <si>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</si>
  <si>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</si>
  <si>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</si>
  <si>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</si>
  <si>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</si>
  <si>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</si>
  <si>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</si>
  <si>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</si>
  <si>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</si>
  <si>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</si>
  <si>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</si>
  <si>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</si>
  <si>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</si>
  <si>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</si>
  <si>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</si>
  <si>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</si>
  <si>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</si>
  <si>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</si>
  <si>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</si>
  <si>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</si>
  <si>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</si>
  <si>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</si>
  <si>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</si>
  <si>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</si>
  <si>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</si>
  <si>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</si>
  <si>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</si>
  <si>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</si>
  <si>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</si>
  <si>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</si>
  <si>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</si>
  <si>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</si>
  <si>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</si>
  <si>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</si>
  <si>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</si>
  <si>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</si>
  <si>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</si>
  <si>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</si>
  <si>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</si>
  <si>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</si>
  <si>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</si>
  <si>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</si>
  <si>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</si>
  <si>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</si>
  <si>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</si>
  <si>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</si>
  <si>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</si>
  <si>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</si>
  <si>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</si>
  <si>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</si>
  <si>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</si>
  <si>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</si>
  <si>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</si>
  <si>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</si>
  <si>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</si>
  <si>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</si>
  <si>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</si>
  <si>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</si>
  <si>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</si>
  <si>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</si>
  <si>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</si>
  <si>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</si>
  <si>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</si>
  <si>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</si>
  <si>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</si>
  <si>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</si>
  <si>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</si>
  <si>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</si>
  <si>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</si>
  <si>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</si>
  <si>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</si>
  <si>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</si>
  <si>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</si>
  <si>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</si>
  <si>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</si>
  <si>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</si>
  <si>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</si>
  <si>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</si>
  <si>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</si>
  <si>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</si>
  <si>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</si>
  <si>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</si>
  <si>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</si>
  <si>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</si>
  <si>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</si>
  <si>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</si>
  <si>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</si>
  <si>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</si>
  <si>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</si>
  <si>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</si>
  <si>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</si>
  <si>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</si>
  <si>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</si>
  <si>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</si>
  <si>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</si>
  <si>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</si>
  <si>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</si>
  <si>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</si>
  <si>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</si>
  <si>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</si>
  <si>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</si>
  <si>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</si>
  <si>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</si>
  <si>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</si>
  <si>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</si>
  <si>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</si>
  <si>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</si>
  <si>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</si>
  <si>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</si>
  <si>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</si>
  <si>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</si>
  <si>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</si>
  <si>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</si>
  <si>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</si>
  <si>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</si>
  <si>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</si>
  <si>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</si>
  <si>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</si>
  <si>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</si>
  <si>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</si>
  <si>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</si>
  <si>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</si>
  <si>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</si>
  <si>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</si>
  <si>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</si>
  <si>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</si>
  <si>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</si>
  <si>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</si>
  <si>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</si>
  <si>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</si>
  <si>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</si>
  <si>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</si>
  <si>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</si>
  <si>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</si>
  <si>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</si>
  <si>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</si>
  <si>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</si>
  <si>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</si>
  <si>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</si>
  <si>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</si>
  <si>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</si>
  <si>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</si>
  <si>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</si>
  <si>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</si>
  <si>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</si>
  <si>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</si>
  <si>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</si>
  <si>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</si>
  <si>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</si>
  <si>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</si>
  <si>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</si>
  <si>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</si>
  <si>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</si>
  <si>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</si>
  <si>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</si>
  <si>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</si>
  <si>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</si>
  <si>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</si>
  <si>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</si>
  <si>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</si>
  <si>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</si>
  <si>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</si>
  <si>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</si>
  <si>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</si>
  <si>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</si>
  <si>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</si>
  <si>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</si>
  <si>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</si>
  <si>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</si>
  <si>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</si>
  <si>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</si>
  <si>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</si>
  <si>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</si>
  <si>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</si>
  <si>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</si>
  <si>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</si>
  <si>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</si>
  <si>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</si>
  <si>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</si>
  <si>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</si>
  <si>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</si>
  <si>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</si>
  <si>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</si>
  <si>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</si>
  <si>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</si>
  <si>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</si>
  <si>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</si>
  <si>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</si>
  <si>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</si>
  <si>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</si>
  <si>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</si>
  <si>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</si>
  <si>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</si>
  <si>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</si>
  <si>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</si>
  <si>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</si>
  <si>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</si>
  <si>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</si>
  <si>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</si>
  <si>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</si>
  <si>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</si>
  <si>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</si>
  <si>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</si>
  <si>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</si>
  <si>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</si>
  <si>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</si>
  <si>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</si>
  <si>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</si>
  <si>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</si>
  <si>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</si>
  <si>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</si>
  <si>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</si>
  <si>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</si>
  <si>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</si>
  <si>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</si>
  <si>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</si>
  <si>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</si>
  <si>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</si>
  <si>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</si>
  <si>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</si>
  <si>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</si>
  <si>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</si>
  <si>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</si>
  <si>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</si>
  <si>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</si>
  <si>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</si>
  <si>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</si>
  <si>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</si>
  <si>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</si>
  <si>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</si>
  <si>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</si>
  <si>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</si>
  <si>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</si>
  <si>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</si>
  <si>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</si>
  <si>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</si>
  <si>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</si>
  <si>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</si>
  <si>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</si>
  <si>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</si>
  <si>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</si>
  <si>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</si>
  <si>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</si>
  <si>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</si>
  <si>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</si>
  <si>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</si>
  <si>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</si>
  <si>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</si>
  <si>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</si>
  <si>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</si>
  <si>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</si>
  <si>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</si>
  <si>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</si>
  <si>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</si>
  <si>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</si>
  <si>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</si>
  <si>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</si>
  <si>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</si>
  <si>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</si>
  <si>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</si>
  <si>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</si>
  <si>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</si>
  <si>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</si>
  <si>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</si>
  <si>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</si>
  <si>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</si>
  <si>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</si>
  <si>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</si>
  <si>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</si>
  <si>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</si>
  <si>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</si>
  <si>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</si>
  <si>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</si>
  <si>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</si>
  <si>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</si>
  <si>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</si>
  <si>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</si>
  <si>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</si>
  <si>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</si>
  <si>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</si>
  <si>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</si>
  <si>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</si>
  <si>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</si>
  <si>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</si>
  <si>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</si>
  <si>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</si>
  <si>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</si>
  <si>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</si>
  <si>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</si>
  <si>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</si>
  <si>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</si>
  <si>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</si>
  <si>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</si>
  <si>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</si>
  <si>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</si>
  <si>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</si>
  <si>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</si>
  <si>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</si>
  <si>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</si>
  <si>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</si>
  <si>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</si>
  <si>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</si>
  <si>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</si>
  <si>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</si>
  <si>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</si>
  <si>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</si>
  <si>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</si>
  <si>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</si>
  <si>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</si>
  <si>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</si>
  <si>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</si>
  <si>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</si>
  <si>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</si>
  <si>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</si>
  <si>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</si>
  <si>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</si>
  <si>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</si>
  <si>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</si>
  <si>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</si>
  <si>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</si>
  <si>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</si>
  <si>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</si>
  <si>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</si>
  <si>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</si>
  <si>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</si>
  <si>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</si>
  <si>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</si>
  <si>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</si>
  <si>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</si>
  <si>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</si>
  <si>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</si>
  <si>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</si>
  <si>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</si>
  <si>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</si>
  <si>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</si>
  <si>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</si>
  <si>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</si>
  <si>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</si>
  <si>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</si>
  <si>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</si>
  <si>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</si>
  <si>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</si>
  <si>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</si>
  <si>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</si>
  <si>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</si>
  <si>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</si>
  <si>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</si>
  <si>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</si>
  <si>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</si>
  <si>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</si>
  <si>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</si>
  <si>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</si>
  <si>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</si>
  <si>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</si>
  <si>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</si>
  <si>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</si>
  <si>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</si>
  <si>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</si>
  <si>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</si>
  <si>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</si>
  <si>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</si>
  <si>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</si>
  <si>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</si>
  <si>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</si>
  <si>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</si>
  <si>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</si>
  <si>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</si>
  <si>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</si>
  <si>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</si>
  <si>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</si>
  <si>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</si>
  <si>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</si>
  <si>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</si>
  <si>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</si>
  <si>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</si>
  <si>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</si>
  <si>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</si>
  <si>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</si>
  <si>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</si>
  <si>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</si>
  <si>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</si>
  <si>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</si>
  <si>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</si>
  <si>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</si>
  <si>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</si>
  <si>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</si>
  <si>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</si>
  <si>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</si>
  <si>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</si>
  <si>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</si>
  <si>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</si>
  <si>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</si>
  <si>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</si>
  <si>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</si>
  <si>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</si>
  <si>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</si>
  <si>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</si>
  <si>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</si>
  <si>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</si>
  <si>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</si>
  <si>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</si>
  <si>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</si>
  <si>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</si>
  <si>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</si>
  <si>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</si>
  <si>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</si>
  <si>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</si>
  <si>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</si>
  <si>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</si>
  <si>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</si>
  <si>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</si>
  <si>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</si>
  <si>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</si>
  <si>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</si>
  <si>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</si>
  <si>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</si>
  <si>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</si>
  <si>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</si>
  <si>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</si>
  <si>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</si>
  <si>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</si>
  <si>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</si>
  <si>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</si>
  <si>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</si>
  <si>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</si>
  <si>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</si>
  <si>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</si>
  <si>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</si>
  <si>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</si>
  <si>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</si>
  <si>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</si>
  <si>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</si>
  <si>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</si>
  <si>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</si>
  <si>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</si>
  <si>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</si>
  <si>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</si>
  <si>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</si>
  <si>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</si>
  <si>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</si>
  <si>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</si>
  <si>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</si>
  <si>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</si>
  <si>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</si>
  <si>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</si>
  <si>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</si>
  <si>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</si>
  <si>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</si>
  <si>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</si>
  <si>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</si>
  <si>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</si>
  <si>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</si>
  <si>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</si>
  <si>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</si>
  <si>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</si>
  <si>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</si>
  <si>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</si>
  <si>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</si>
  <si>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</si>
  <si>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</si>
  <si>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</si>
  <si>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</si>
  <si>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</si>
  <si>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</si>
  <si>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</si>
  <si>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</si>
  <si>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</si>
  <si>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</si>
  <si>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</si>
  <si>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</si>
  <si>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</si>
  <si>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</si>
  <si>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</si>
  <si>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</si>
  <si>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</si>
  <si>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</si>
  <si>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</si>
  <si>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</si>
  <si>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</si>
  <si>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</si>
  <si>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</si>
  <si>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</si>
  <si>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</si>
  <si>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</si>
  <si>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</si>
  <si>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</si>
  <si>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</si>
  <si>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</si>
  <si>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</si>
  <si>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</si>
  <si>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</si>
  <si>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</si>
  <si>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</si>
  <si>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</si>
  <si>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</si>
  <si>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</si>
  <si>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</si>
  <si>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</si>
  <si>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</si>
  <si>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</si>
  <si>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</si>
  <si>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</si>
  <si>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</si>
  <si>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</si>
  <si>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</si>
  <si>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</si>
  <si>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</si>
  <si>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</si>
  <si>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</si>
  <si>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</si>
  <si>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</si>
  <si>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</si>
  <si>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</si>
  <si>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</si>
  <si>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</si>
  <si>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</si>
  <si>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</si>
  <si>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</si>
  <si>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</si>
  <si>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</si>
  <si>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</si>
  <si>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</si>
  <si>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</si>
  <si>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</si>
  <si>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</si>
  <si>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</si>
  <si>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</si>
  <si>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</si>
  <si>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</si>
  <si>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</si>
  <si>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</si>
  <si>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</si>
  <si>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</si>
  <si>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</si>
  <si>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</si>
  <si>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</si>
  <si>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</si>
  <si>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</si>
  <si>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</si>
  <si>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</si>
  <si>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</si>
  <si>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</si>
  <si>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</si>
  <si>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</si>
  <si>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</si>
  <si>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</si>
  <si>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</si>
  <si>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</si>
  <si>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</si>
  <si>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</si>
  <si>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</si>
  <si>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</si>
  <si>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</si>
  <si>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</si>
  <si>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</si>
  <si>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</si>
  <si>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</si>
  <si>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</si>
  <si>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</si>
  <si>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</si>
  <si>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</si>
  <si>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</si>
  <si>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</si>
  <si>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</si>
  <si>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</si>
  <si>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</si>
  <si>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</si>
  <si>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</si>
  <si>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</si>
  <si>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</si>
  <si>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</si>
  <si>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</si>
  <si>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</si>
  <si>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</si>
  <si>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</si>
  <si>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</si>
  <si>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</si>
  <si>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</si>
  <si>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</si>
  <si>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</si>
  <si>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</si>
  <si>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</si>
  <si>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</si>
  <si>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</si>
  <si>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</si>
  <si>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</si>
  <si>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</si>
  <si>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</si>
  <si>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</si>
  <si>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</si>
  <si>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</si>
  <si>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</si>
  <si>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</si>
  <si>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</si>
  <si>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</si>
  <si>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</si>
  <si>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</si>
  <si>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</si>
  <si>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</si>
  <si>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</si>
  <si>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</si>
  <si>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</si>
  <si>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</si>
  <si>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</si>
  <si>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</si>
  <si>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</si>
  <si>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</si>
  <si>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</si>
  <si>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</si>
  <si>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</si>
  <si>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</si>
  <si>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</si>
  <si>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</si>
  <si>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</si>
  <si>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</si>
  <si>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</si>
  <si>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</si>
  <si>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</si>
  <si>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</si>
  <si>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</si>
  <si>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</si>
  <si>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</si>
  <si>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</si>
  <si>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</si>
  <si>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</si>
  <si>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</si>
  <si>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</si>
  <si>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</si>
  <si>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</si>
  <si>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</si>
  <si>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</si>
  <si>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</si>
  <si>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</si>
  <si>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</si>
  <si>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</si>
  <si>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</si>
  <si>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</si>
  <si>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</si>
  <si>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</si>
  <si>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</si>
  <si>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</si>
  <si>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</si>
  <si>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</si>
  <si>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</si>
  <si>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</si>
  <si>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</si>
  <si>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</si>
  <si>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</si>
  <si>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</si>
  <si>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</si>
  <si>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</si>
  <si>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</si>
  <si>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</si>
  <si>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</si>
  <si>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</si>
  <si>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</si>
  <si>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</si>
  <si>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</si>
  <si>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</si>
  <si>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</si>
  <si>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</si>
  <si>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</si>
  <si>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</si>
  <si>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</si>
  <si>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</si>
  <si>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</si>
  <si>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</si>
  <si>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</si>
  <si>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</si>
  <si>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</si>
  <si>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</si>
  <si>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</si>
  <si>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</si>
  <si>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</si>
  <si>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</si>
  <si>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</si>
  <si>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</si>
  <si>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</si>
  <si>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</si>
  <si>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</si>
  <si>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</si>
  <si>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</si>
  <si>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</si>
  <si>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</si>
  <si>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</si>
  <si>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</si>
  <si>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</si>
  <si>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</si>
  <si>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</si>
  <si>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</si>
  <si>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</si>
  <si>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</si>
  <si>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</si>
  <si>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</si>
  <si>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</si>
  <si>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</si>
  <si>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</si>
  <si>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</si>
  <si>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</si>
  <si>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</si>
  <si>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</si>
  <si>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</si>
  <si>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</si>
  <si>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</si>
  <si>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</si>
  <si>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</si>
  <si>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</si>
  <si>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</si>
  <si>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</si>
  <si>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</si>
  <si>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</si>
  <si>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</si>
  <si>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</si>
  <si>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</si>
  <si>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</si>
  <si>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</si>
  <si>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</si>
  <si>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</si>
  <si>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</si>
  <si>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</si>
  <si>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</si>
  <si>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</si>
  <si>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</si>
  <si>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</si>
  <si>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</si>
  <si>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</si>
  <si>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</si>
  <si>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</si>
  <si>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</si>
  <si>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</si>
  <si>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</si>
  <si>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</si>
  <si>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</si>
  <si>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</si>
  <si>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</si>
  <si>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</si>
  <si>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</si>
  <si>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</si>
  <si>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</si>
  <si>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</si>
  <si>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</si>
  <si>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</si>
  <si>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</si>
  <si>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</si>
  <si>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</si>
  <si>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</si>
  <si>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</si>
  <si>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</si>
  <si>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</si>
  <si>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</si>
  <si>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</si>
  <si>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</si>
  <si>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</si>
  <si>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</si>
  <si>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</si>
  <si>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</si>
  <si>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</si>
  <si>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</si>
  <si>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</si>
  <si>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</si>
  <si>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</si>
  <si>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</si>
  <si>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</si>
  <si>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</si>
  <si>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</si>
  <si>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</si>
  <si>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</si>
  <si>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</si>
  <si>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</si>
  <si>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</si>
  <si>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</si>
  <si>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</si>
  <si>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</si>
  <si>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</si>
  <si>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</si>
  <si>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</si>
  <si>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</si>
  <si>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</si>
  <si>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</si>
  <si>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</si>
  <si>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</si>
  <si>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</si>
  <si>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</si>
  <si>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</si>
  <si>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</si>
  <si>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</si>
  <si>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</si>
  <si>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</si>
  <si>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</si>
  <si>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</si>
  <si>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</si>
  <si>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</si>
  <si>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</si>
  <si>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</si>
  <si>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</si>
  <si>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</si>
  <si>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</si>
  <si>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</si>
  <si>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</si>
  <si>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</si>
  <si>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</si>
  <si>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</si>
  <si>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</si>
  <si>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</si>
  <si>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</si>
  <si>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</si>
  <si>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</si>
  <si>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</si>
  <si>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</si>
  <si>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</si>
  <si>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</si>
  <si>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</si>
  <si>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</si>
  <si>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</si>
  <si>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</si>
  <si>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</si>
  <si>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</si>
  <si>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</si>
  <si>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</si>
  <si>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</si>
  <si>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</si>
  <si>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</si>
  <si>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</si>
  <si>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</si>
  <si>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</si>
  <si>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</si>
  <si>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</si>
  <si>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</si>
  <si>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</si>
  <si>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</si>
  <si>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</si>
  <si>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</si>
  <si>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</si>
  <si>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</si>
  <si>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</si>
  <si>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</si>
  <si>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</si>
  <si>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</si>
  <si>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</si>
  <si>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</si>
  <si>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</si>
  <si>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</si>
  <si>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</si>
  <si>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</si>
  <si>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</si>
  <si>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</si>
  <si>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</si>
  <si>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</si>
  <si>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</si>
  <si>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</si>
  <si>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</si>
  <si>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</si>
  <si>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</si>
  <si>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</si>
  <si>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</si>
  <si>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</si>
  <si>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</si>
  <si>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</si>
  <si>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</si>
  <si>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</si>
  <si>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</si>
  <si>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</si>
  <si>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</si>
  <si>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</si>
  <si>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</si>
  <si>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</si>
  <si>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</si>
  <si>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</si>
  <si>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</si>
  <si>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</si>
  <si>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</si>
  <si>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</si>
  <si>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</si>
  <si>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</si>
  <si>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</si>
  <si>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</si>
  <si>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</si>
  <si>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</si>
  <si>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</si>
  <si>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</si>
  <si>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</si>
  <si>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</si>
  <si>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</si>
  <si>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</si>
  <si>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</si>
  <si>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</si>
  <si>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</si>
  <si>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</si>
  <si>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</si>
  <si>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</si>
  <si>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</si>
  <si>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</si>
  <si>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</si>
  <si>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</si>
  <si>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</si>
  <si>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</si>
  <si>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</si>
  <si>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</si>
  <si>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</si>
  <si>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</si>
  <si>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</si>
  <si>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</si>
  <si>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</si>
  <si>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</si>
  <si>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</si>
  <si>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</si>
  <si>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</si>
  <si>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</si>
  <si>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</si>
  <si>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</si>
  <si>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</si>
  <si>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</si>
  <si>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</si>
  <si>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</si>
  <si>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</si>
  <si>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</si>
  <si>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</si>
  <si>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</si>
  <si>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</si>
  <si>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</si>
  <si>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</si>
  <si>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</si>
  <si>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</si>
  <si>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</si>
  <si>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</si>
  <si>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</si>
  <si>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</si>
  <si>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</si>
  <si>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</si>
  <si>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</si>
  <si>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</si>
  <si>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</si>
  <si>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</si>
  <si>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</si>
  <si>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</si>
  <si>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</si>
  <si>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</si>
  <si>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</si>
  <si>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</si>
  <si>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</si>
  <si>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</si>
  <si>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</si>
  <si>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</si>
  <si>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</si>
  <si>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</si>
  <si>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</si>
  <si>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</si>
  <si>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</si>
  <si>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</si>
  <si>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</si>
  <si>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</si>
  <si>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</si>
  <si>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</si>
  <si>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</si>
  <si>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</si>
  <si>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</si>
  <si>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</si>
  <si>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</si>
  <si>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</si>
  <si>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</si>
  <si>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</si>
  <si>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</si>
  <si>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</si>
  <si>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</si>
  <si>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</si>
  <si>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</si>
  <si>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</si>
  <si>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</si>
  <si>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</si>
  <si>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</si>
  <si>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</si>
  <si>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</si>
  <si>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</si>
  <si>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</si>
  <si>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</si>
  <si>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</si>
  <si>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</si>
  <si>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</si>
  <si>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</si>
  <si>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</si>
  <si>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</si>
  <si>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</si>
  <si>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</si>
  <si>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</si>
  <si>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</si>
  <si>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</si>
  <si>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</si>
  <si>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</si>
  <si>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</si>
  <si>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</si>
  <si>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</si>
  <si>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</si>
  <si>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</si>
  <si>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</si>
  <si>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</si>
  <si>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</si>
  <si>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</si>
  <si>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</si>
  <si>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</si>
  <si>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</si>
  <si>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</si>
  <si>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</si>
  <si>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</si>
  <si>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</si>
  <si>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</si>
  <si>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</si>
  <si>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</si>
  <si>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</si>
  <si>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</si>
  <si>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</si>
  <si>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</si>
  <si>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</si>
  <si>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</si>
  <si>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</si>
  <si>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</si>
  <si>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</si>
  <si>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</si>
  <si>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</si>
  <si>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</si>
  <si>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</si>
  <si>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</si>
  <si>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</si>
  <si>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</si>
  <si>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</si>
  <si>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</si>
  <si>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</si>
  <si>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</si>
  <si>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</si>
  <si>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</si>
  <si>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</si>
  <si>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</si>
  <si>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</si>
  <si>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</si>
  <si>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</si>
  <si>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</si>
  <si>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</si>
  <si>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</si>
  <si>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</si>
  <si>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</si>
  <si>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</si>
  <si>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</si>
  <si>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</si>
  <si>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</si>
  <si>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</si>
  <si>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</si>
  <si>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</si>
  <si>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</si>
  <si>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</si>
  <si>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</si>
  <si>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</si>
  <si>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</si>
  <si>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</si>
  <si>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</si>
  <si>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</si>
  <si>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</si>
  <si>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</si>
  <si>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</si>
  <si>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</si>
  <si>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</si>
  <si>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</si>
  <si>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</si>
  <si>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</si>
  <si>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</si>
  <si>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</si>
  <si>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</si>
  <si>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</si>
  <si>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</si>
  <si>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</si>
  <si>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</si>
  <si>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</si>
  <si>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</si>
  <si>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</si>
  <si>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</si>
  <si>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</si>
  <si>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</si>
  <si>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</si>
  <si>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</si>
  <si>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</si>
  <si>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</si>
  <si>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</si>
  <si>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</si>
  <si>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</si>
  <si>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</si>
  <si>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</si>
  <si>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</si>
  <si>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</si>
  <si>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</si>
  <si>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</si>
  <si>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</si>
  <si>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</si>
  <si>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</si>
  <si>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</si>
  <si>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</si>
  <si>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</si>
  <si>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</si>
  <si>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</si>
  <si>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</si>
  <si>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</si>
  <si>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</si>
  <si>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</si>
  <si>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</si>
  <si>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</si>
  <si>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</si>
  <si>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</si>
  <si>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</si>
  <si>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</si>
  <si>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</si>
  <si>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</si>
  <si>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</si>
  <si>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</si>
  <si>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</si>
  <si>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</si>
  <si>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</si>
  <si>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</si>
  <si>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</si>
  <si>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</si>
  <si>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</si>
  <si>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</si>
  <si>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</si>
  <si>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</si>
  <si>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</si>
  <si>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</si>
  <si>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</si>
  <si>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</si>
  <si>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</si>
  <si>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</si>
  <si>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</si>
  <si>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</si>
  <si>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</si>
  <si>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</si>
  <si>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</si>
  <si>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</si>
  <si>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</si>
  <si>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</si>
  <si>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</si>
  <si>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</si>
  <si>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</si>
  <si>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</si>
  <si>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</si>
  <si>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</si>
  <si>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</si>
  <si>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</si>
  <si>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</si>
  <si>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</si>
  <si>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</si>
  <si>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</si>
  <si>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</si>
  <si>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</si>
  <si>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</si>
  <si>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</si>
  <si>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</si>
  <si>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</si>
  <si>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</si>
  <si>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</si>
  <si>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</si>
  <si>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</si>
  <si>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</si>
  <si>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</si>
  <si>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</si>
  <si>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</si>
  <si>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</si>
  <si>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</si>
  <si>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</si>
  <si>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</si>
  <si>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</si>
  <si>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</si>
  <si>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</si>
  <si>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</si>
  <si>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</si>
  <si>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</si>
  <si>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</si>
  <si>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</si>
  <si>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</si>
  <si>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</si>
  <si>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</si>
  <si>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</si>
  <si>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</si>
  <si>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</si>
  <si>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</si>
  <si>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</si>
  <si>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</si>
  <si>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</si>
  <si>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</si>
  <si>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</si>
  <si>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</si>
  <si>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</si>
  <si>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</si>
  <si>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</si>
  <si>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</si>
  <si>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</si>
  <si>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</si>
  <si>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</si>
  <si>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</si>
  <si>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</si>
  <si>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</si>
  <si>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</si>
  <si>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</si>
  <si>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</si>
  <si>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</si>
  <si>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</si>
  <si>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</si>
  <si>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</si>
  <si>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</si>
  <si>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</si>
  <si>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</si>
  <si>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</si>
  <si>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</si>
  <si>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</si>
  <si>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</si>
  <si>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</si>
  <si>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</si>
  <si>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</si>
  <si>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</si>
  <si>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</si>
  <si>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</si>
  <si>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</si>
  <si>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</si>
  <si>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</si>
  <si>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</si>
  <si>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</si>
  <si>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</si>
  <si>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</si>
  <si>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</si>
  <si>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</si>
  <si>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</si>
  <si>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</si>
  <si>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</si>
  <si>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</si>
  <si>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</si>
  <si>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</si>
  <si>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</si>
  <si>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</si>
  <si>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</si>
  <si>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</si>
  <si>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</si>
  <si>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</si>
  <si>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</si>
  <si>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</si>
  <si>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</si>
  <si>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</si>
  <si>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</si>
  <si>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</si>
  <si>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</si>
  <si>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</si>
  <si>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</si>
  <si>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</si>
  <si>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</si>
  <si>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</si>
  <si>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</si>
  <si>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</si>
  <si>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</si>
  <si>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</si>
  <si>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</si>
  <si>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</si>
  <si>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</si>
  <si>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</si>
  <si>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</si>
  <si>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</si>
  <si>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</si>
  <si>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</si>
  <si>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</si>
  <si>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</si>
  <si>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</si>
  <si>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</si>
  <si>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</si>
  <si>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</si>
  <si>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</si>
  <si>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</si>
  <si>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</si>
  <si>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</si>
  <si>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</si>
  <si>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</si>
  <si>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</si>
  <si>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</si>
  <si>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</si>
  <si>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</si>
  <si>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</si>
  <si>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</si>
  <si>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</si>
  <si>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</si>
  <si>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</si>
  <si>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</si>
  <si>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</si>
  <si>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</si>
  <si>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</si>
  <si>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</si>
  <si>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</si>
  <si>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</si>
  <si>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</si>
  <si>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</si>
  <si>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</si>
  <si>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</si>
  <si>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</si>
  <si>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</si>
  <si>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</si>
  <si>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</si>
  <si>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</si>
  <si>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</si>
  <si>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</si>
  <si>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</si>
  <si>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</si>
  <si>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</si>
  <si>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</si>
  <si>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</si>
  <si>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</si>
  <si>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</si>
  <si>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</si>
  <si>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</si>
  <si>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</si>
  <si>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</si>
  <si>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</si>
  <si>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</si>
  <si>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</si>
  <si>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</si>
  <si>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</si>
  <si>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</si>
  <si>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</si>
  <si>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</si>
  <si>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</si>
  <si>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</si>
  <si>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</si>
  <si>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</si>
  <si>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</si>
  <si>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</si>
  <si>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</si>
  <si>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</si>
  <si>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</si>
  <si>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</si>
  <si>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</si>
  <si>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</si>
  <si>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</si>
  <si>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</si>
  <si>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</si>
  <si>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</si>
  <si>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</si>
  <si>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</si>
  <si>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</si>
  <si>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</si>
  <si>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</si>
  <si>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</si>
  <si>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</si>
  <si>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</si>
  <si>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</si>
  <si>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</si>
  <si>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</si>
  <si>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</si>
  <si>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</si>
  <si>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</si>
  <si>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</si>
  <si>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</si>
  <si>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</si>
  <si>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</si>
  <si>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</si>
  <si>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</si>
  <si>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</si>
  <si>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</si>
  <si>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</si>
  <si>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</si>
  <si>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</si>
  <si>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</si>
  <si>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</si>
  <si>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</si>
  <si>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</si>
  <si>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</si>
  <si>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</si>
  <si>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</si>
  <si>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</si>
  <si>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</si>
  <si>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</si>
  <si>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</si>
  <si>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</si>
  <si>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</si>
  <si>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</si>
  <si>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</si>
  <si>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</si>
  <si>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</si>
  <si>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</si>
  <si>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</si>
  <si>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</si>
  <si>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</si>
  <si>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</si>
  <si>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</si>
  <si>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</si>
  <si>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</si>
  <si>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</si>
  <si>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</si>
  <si>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</si>
  <si>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</si>
  <si>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</si>
  <si>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</si>
  <si>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</si>
  <si>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</si>
  <si>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</si>
  <si>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</si>
  <si>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</si>
  <si>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</si>
  <si>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</si>
  <si>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</si>
  <si>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</si>
  <si>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</si>
  <si>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</si>
  <si>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</si>
  <si>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</si>
  <si>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</si>
  <si>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</si>
  <si>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</si>
  <si>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</si>
  <si>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</si>
  <si>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</si>
  <si>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</si>
  <si>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</si>
  <si>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</si>
  <si>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</si>
  <si>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</si>
  <si>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</si>
  <si>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</si>
  <si>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</si>
  <si>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</si>
  <si>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</si>
  <si>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</si>
  <si>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</si>
  <si>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</si>
  <si>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</si>
  <si>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</si>
  <si>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</si>
  <si>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</si>
  <si>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</si>
  <si>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</si>
  <si>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</si>
  <si>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</si>
  <si>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</si>
  <si>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</si>
  <si>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</si>
  <si>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</si>
  <si>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</si>
  <si>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</si>
  <si>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</si>
  <si>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</si>
  <si>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</si>
  <si>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</si>
  <si>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</si>
  <si>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</si>
  <si>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</si>
  <si>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</si>
  <si>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</si>
  <si>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</si>
  <si>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</si>
  <si>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</si>
  <si>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</si>
  <si>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</si>
  <si>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</si>
  <si>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</si>
  <si>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</si>
  <si>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</si>
  <si>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</si>
  <si>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</si>
  <si>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</si>
  <si>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</si>
  <si>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</si>
  <si>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</si>
  <si>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</si>
  <si>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</si>
  <si>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</si>
  <si>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</si>
  <si>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</si>
  <si>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</si>
  <si>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</si>
  <si>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</si>
  <si>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</si>
  <si>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</si>
  <si>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</si>
  <si>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</si>
  <si>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</si>
  <si>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</si>
  <si>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</si>
  <si>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</si>
  <si>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</si>
  <si>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</si>
  <si>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</si>
  <si>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</si>
  <si>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</si>
  <si>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</si>
  <si>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</si>
  <si>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</si>
  <si>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</si>
  <si>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</si>
  <si>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</si>
  <si>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</si>
  <si>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</si>
  <si>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</si>
  <si>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</si>
  <si>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</si>
  <si>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</si>
  <si>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</si>
  <si>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</si>
  <si>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</si>
  <si>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</si>
  <si>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</si>
  <si>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</si>
  <si>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</si>
  <si>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</si>
  <si>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</si>
  <si>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</si>
  <si>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</si>
  <si>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</si>
  <si>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</si>
  <si>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</si>
  <si>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</si>
  <si>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</si>
  <si>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</si>
  <si>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</si>
  <si>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</si>
  <si>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</si>
  <si>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</si>
  <si>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</si>
  <si>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</si>
  <si>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</si>
  <si>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</si>
  <si>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</si>
  <si>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</si>
  <si>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</si>
  <si>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</si>
  <si>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</si>
  <si>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</si>
  <si>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</si>
  <si>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</si>
  <si>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</si>
  <si>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</si>
  <si>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</si>
  <si>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</si>
  <si>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</si>
  <si>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</si>
  <si>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</si>
  <si>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</si>
  <si>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</si>
  <si>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</si>
  <si>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</si>
  <si>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</si>
  <si>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</si>
  <si>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</si>
  <si>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</si>
  <si>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</si>
  <si>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</si>
  <si>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</si>
  <si>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</si>
  <si>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</si>
  <si>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</si>
  <si>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</si>
  <si>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</si>
  <si>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</si>
  <si>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</si>
  <si>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</si>
  <si>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</si>
  <si>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</si>
  <si>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</si>
  <si>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</si>
  <si>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</si>
  <si>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</si>
  <si>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</si>
  <si>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</si>
  <si>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</si>
  <si>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</si>
  <si>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</si>
  <si>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</si>
  <si>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</si>
  <si>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</si>
  <si>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</si>
  <si>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</si>
  <si>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</si>
  <si>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</si>
  <si>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</si>
  <si>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</si>
  <si>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</si>
  <si>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</si>
  <si>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</si>
  <si>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</si>
  <si>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</si>
  <si>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</si>
  <si>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</si>
  <si>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</si>
  <si>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</si>
  <si>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</si>
  <si>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</si>
  <si>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</si>
  <si>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</si>
  <si>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</si>
  <si>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</si>
  <si>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</si>
  <si>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</si>
  <si>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</si>
  <si>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</si>
  <si>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</si>
  <si>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</si>
  <si>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</si>
  <si>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</si>
  <si>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</si>
  <si>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</si>
  <si>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</si>
  <si>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</si>
  <si>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</si>
  <si>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</si>
  <si>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</si>
  <si>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</si>
  <si>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</si>
  <si>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</si>
  <si>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</si>
  <si>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</si>
  <si>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</si>
  <si>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</si>
  <si>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</si>
  <si>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</si>
  <si>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</si>
  <si>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</si>
  <si>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</si>
  <si>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</si>
  <si>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</si>
  <si>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</si>
  <si>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</si>
  <si>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</si>
  <si>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</si>
  <si>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</si>
  <si>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</si>
  <si>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</si>
  <si>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</si>
  <si>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</si>
  <si>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</si>
  <si>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</si>
  <si>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</si>
  <si>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</si>
  <si>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</si>
  <si>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</si>
  <si>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</si>
  <si>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</si>
  <si>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</si>
  <si>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</si>
  <si>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</si>
  <si>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</si>
  <si>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</si>
  <si>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</si>
  <si>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</si>
  <si>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</si>
  <si>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</si>
  <si>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</si>
  <si>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</si>
  <si>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</si>
  <si>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</si>
  <si>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</si>
  <si>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</si>
  <si>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</si>
  <si>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</si>
  <si>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</si>
  <si>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</si>
  <si>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</si>
  <si>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</si>
  <si>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</si>
  <si>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</si>
  <si>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</si>
  <si>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</si>
  <si>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</si>
  <si>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</si>
  <si>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</si>
  <si>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</si>
  <si>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</si>
  <si>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</si>
  <si>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</si>
  <si>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</si>
  <si>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</si>
  <si>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</si>
  <si>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</si>
  <si>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</si>
  <si>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</si>
  <si>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</si>
  <si>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</si>
  <si>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</si>
  <si>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</si>
  <si>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</si>
  <si>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</si>
  <si>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</si>
  <si>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</si>
  <si>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</si>
  <si>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</si>
  <si>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</si>
  <si>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</si>
  <si>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</si>
  <si>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</si>
  <si>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</si>
  <si>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</si>
  <si>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</si>
  <si>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</si>
  <si>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</si>
  <si>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</si>
  <si>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</si>
  <si>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</si>
  <si>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</si>
  <si>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</si>
  <si>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</si>
  <si>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</si>
  <si>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</si>
  <si>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</si>
  <si>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</si>
  <si>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</si>
  <si>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</si>
  <si>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</si>
  <si>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</si>
  <si>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</si>
  <si>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</si>
  <si>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</si>
  <si>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</si>
  <si>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</si>
  <si>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</si>
  <si>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</si>
  <si>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</si>
  <si>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</si>
  <si>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</si>
  <si>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</si>
  <si>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</si>
  <si>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</si>
  <si>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</si>
  <si>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</si>
  <si>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</si>
  <si>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</si>
  <si>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</si>
  <si>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</si>
  <si>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</si>
  <si>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</si>
  <si>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</si>
  <si>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</si>
  <si>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</si>
  <si>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</si>
  <si>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</si>
  <si>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</si>
  <si>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</si>
  <si>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</si>
  <si>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</si>
  <si>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</si>
  <si>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</si>
  <si>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</si>
  <si>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</si>
  <si>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</si>
  <si>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</si>
  <si>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</si>
  <si>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</si>
  <si>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</si>
  <si>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</si>
  <si>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</si>
  <si>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</si>
  <si>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</si>
  <si>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</si>
  <si>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</si>
  <si>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</si>
  <si>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</si>
  <si>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</si>
  <si>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</si>
  <si>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</si>
  <si>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</si>
  <si>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</si>
  <si>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</si>
  <si>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</si>
  <si>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</si>
  <si>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</si>
  <si>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</si>
  <si>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</si>
  <si>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</si>
  <si>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</si>
  <si>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</si>
  <si>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</si>
  <si>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</si>
  <si>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</si>
  <si>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</si>
  <si>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</si>
  <si>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</si>
  <si>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</si>
  <si>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</si>
  <si>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</si>
  <si>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</si>
  <si>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</si>
  <si>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</si>
  <si>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</si>
  <si>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</si>
  <si>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</si>
  <si>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</si>
  <si>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</si>
  <si>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</si>
  <si>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</si>
  <si>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</si>
  <si>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</si>
  <si>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</si>
  <si>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</si>
  <si>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</si>
  <si>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</si>
  <si>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</si>
  <si>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</si>
  <si>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</si>
  <si>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</si>
  <si>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</si>
  <si>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</si>
  <si>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</si>
  <si>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</si>
  <si>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</si>
  <si>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</si>
  <si>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</si>
  <si>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</si>
  <si>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</si>
  <si>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</si>
  <si>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</si>
  <si>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</si>
  <si>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</si>
  <si>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</si>
  <si>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</si>
  <si>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</si>
  <si>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</si>
  <si>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</si>
  <si>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</si>
  <si>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</si>
  <si>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</si>
  <si>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</si>
  <si>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</si>
  <si>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</si>
  <si>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</si>
  <si>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</si>
  <si>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</si>
  <si>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</si>
  <si>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</si>
  <si>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</si>
  <si>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</si>
  <si>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</si>
  <si>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</si>
  <si>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</si>
  <si>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</si>
  <si>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</si>
  <si>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</si>
  <si>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</si>
  <si>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</si>
  <si>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</si>
  <si>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</si>
  <si>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</si>
  <si>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</si>
  <si>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</si>
  <si>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</si>
  <si>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</si>
  <si>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</si>
  <si>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</si>
  <si>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</si>
  <si>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</si>
  <si>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</si>
  <si>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</si>
  <si>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</si>
  <si>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</si>
  <si>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</si>
  <si>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</si>
  <si>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</si>
  <si>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</si>
  <si>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</si>
  <si>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</si>
  <si>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</si>
  <si>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</si>
  <si>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</si>
  <si>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</si>
  <si>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</si>
  <si>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</si>
  <si>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</si>
  <si>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</si>
  <si>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</si>
  <si>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</si>
  <si>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</si>
  <si>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</si>
  <si>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</si>
  <si>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</si>
  <si>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</si>
  <si>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</si>
  <si>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</si>
  <si>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</si>
  <si>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</si>
  <si>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</si>
  <si>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</si>
  <si>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</si>
  <si>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</si>
  <si>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</si>
  <si>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</si>
  <si>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</si>
  <si>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</si>
  <si>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</si>
  <si>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</si>
  <si>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</si>
  <si>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</si>
  <si>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</si>
  <si>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</si>
  <si>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</si>
  <si>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</si>
  <si>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</si>
  <si>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</si>
  <si>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</si>
  <si>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</si>
  <si>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</si>
  <si>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</si>
  <si>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</si>
  <si>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</si>
  <si>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</si>
  <si>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</si>
  <si>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</si>
  <si>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</si>
  <si>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</si>
  <si>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</si>
  <si>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</si>
  <si>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</si>
  <si>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</si>
  <si>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</si>
  <si>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</si>
  <si>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</si>
  <si>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</si>
  <si>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</si>
  <si>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</si>
  <si>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</si>
  <si>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</si>
  <si>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</si>
  <si>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</si>
  <si>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</si>
  <si>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</si>
  <si>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</si>
  <si>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</si>
  <si>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</si>
  <si>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</si>
  <si>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</si>
  <si>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</si>
  <si>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</si>
  <si>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</si>
  <si>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</si>
  <si>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</si>
  <si>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</si>
  <si>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</si>
  <si>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</si>
  <si>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</si>
  <si>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</si>
  <si>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</si>
  <si>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</si>
  <si>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</si>
  <si>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</si>
  <si>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</si>
  <si>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</si>
  <si>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</si>
  <si>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</si>
  <si>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</si>
  <si>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</si>
  <si>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</si>
  <si>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</si>
  <si>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</si>
  <si>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</si>
  <si>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</si>
  <si>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</si>
  <si>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</si>
  <si>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</si>
  <si>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</si>
  <si>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</si>
  <si>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</si>
  <si>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</si>
  <si>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</si>
  <si>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</si>
  <si>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</si>
  <si>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</si>
  <si>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</si>
  <si>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商务金融用地</t>
  </si>
  <si>
    <t>自定义容积率</t>
  </si>
  <si>
    <t>不临65条商业街</t>
  </si>
  <si>
    <t>与级别开发程度一致</t>
  </si>
  <si>
    <t>中心城区以外</t>
  </si>
  <si>
    <t>较好</t>
  </si>
  <si>
    <t>一般</t>
  </si>
  <si>
    <t>押一</t>
  </si>
  <si>
    <t>钢混</t>
  </si>
  <si>
    <t>非生产用房</t>
  </si>
  <si>
    <t>单套模式</t>
  </si>
  <si>
    <t>售价</t>
  </si>
  <si>
    <t>未包含在土地购买价格中</t>
  </si>
  <si>
    <t>已包含在土地取得成本中</t>
  </si>
  <si>
    <t>房号</t>
  </si>
  <si>
    <t>证号</t>
  </si>
  <si>
    <t>面积</t>
  </si>
  <si>
    <t>使用期限</t>
  </si>
  <si>
    <t>总层数</t>
  </si>
  <si>
    <t>所在层数</t>
  </si>
  <si>
    <t>京（2021）昌不动产权第0033482号</t>
  </si>
  <si>
    <t>京（2021）昌不动产权第0033487号</t>
  </si>
  <si>
    <t>京（2021）昌不动产权第0033489号</t>
  </si>
  <si>
    <t>京（2021）昌不动产权第0049834号</t>
  </si>
  <si>
    <t>京（2021）昌不动产权第0049845号</t>
  </si>
  <si>
    <t>京（2021）昌不动产权第0049847号</t>
  </si>
  <si>
    <t>华润科创大道</t>
    <phoneticPr fontId="3" type="noConversion"/>
  </si>
  <si>
    <t>英才南一街5号</t>
    <phoneticPr fontId="3" type="noConversion"/>
  </si>
  <si>
    <t>英才南一街5号</t>
    <phoneticPr fontId="3" type="noConversion"/>
  </si>
  <si>
    <t>未来科学城路</t>
    <phoneticPr fontId="3" type="noConversion"/>
  </si>
  <si>
    <t>正常</t>
  </si>
  <si>
    <t>挂牌</t>
  </si>
  <si>
    <t>挂牌</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</si>
  <si>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</si>
  <si>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</si>
  <si>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</si>
  <si>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</si>
  <si>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</si>
  <si>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</si>
  <si>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</si>
  <si>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</si>
  <si>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</si>
  <si>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</si>
  <si>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标准</t>
    <phoneticPr fontId="3" type="noConversion"/>
  </si>
  <si>
    <t>单套销售</t>
    <phoneticPr fontId="3" type="noConversion"/>
  </si>
  <si>
    <t>整幢销售</t>
    <phoneticPr fontId="3" type="noConversion"/>
  </si>
  <si>
    <t>办公</t>
    <phoneticPr fontId="31" type="noConversion"/>
  </si>
  <si>
    <t>六通</t>
  </si>
  <si>
    <t>平层</t>
  </si>
  <si>
    <t>精装</t>
  </si>
  <si>
    <t>甲级</t>
  </si>
  <si>
    <t>专业</t>
  </si>
  <si>
    <t>标准</t>
  </si>
  <si>
    <t>毛坯</t>
  </si>
  <si>
    <t>平层</t>
    <phoneticPr fontId="31" type="noConversion"/>
  </si>
  <si>
    <t>现房</t>
  </si>
  <si>
    <t>项目局部</t>
  </si>
  <si>
    <t>比较法-办公</t>
  </si>
  <si>
    <t>简装</t>
  </si>
  <si>
    <t>简装</t>
    <phoneticPr fontId="3" type="noConversion"/>
  </si>
  <si>
    <t>毛坯</t>
    <phoneticPr fontId="31" type="noConversion"/>
  </si>
  <si>
    <t>TBD云集中心</t>
    <phoneticPr fontId="3" type="noConversion"/>
  </si>
  <si>
    <t>绿地中央广场</t>
    <phoneticPr fontId="3" type="noConversion"/>
  </si>
  <si>
    <t>绿地中央广场</t>
    <phoneticPr fontId="3" type="noConversion"/>
  </si>
  <si>
    <t>租金</t>
  </si>
  <si>
    <t>精装</t>
    <phoneticPr fontId="3" type="noConversion"/>
  </si>
  <si>
    <t>简装</t>
    <phoneticPr fontId="31" type="noConversion"/>
  </si>
  <si>
    <t>毛坯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</si>
</sst>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8</xdr:row>
      <xdr:rowOff>19050</xdr:rowOff>
    </xdr:from>
    <xdr:to>
      <xdr:col>10</xdr:col>
      <xdr:colOff>523746</xdr:colOff>
      <xdr:row>45</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390650"/>
          <a:ext cx="9258170" cy="6372225"/>
        </a:xfrm>
        <a:prstGeom prst="rect">
          <a:avLst/>
        </a:prstGeom>
      </xdr:spPr>
    </xdr:pic>
    <xdr:clientData/>
  </xdr:twoCellAnchor>
  <xdr:twoCellAnchor editAs="oneCell">
    <xdr:from>
      <xdr:col>0</xdr:col>
      <xdr:colOff>0</xdr:colOff>
      <xdr:row>44</xdr:row>
      <xdr:rowOff>104775</xdr:rowOff>
    </xdr:from>
    <xdr:to>
      <xdr:col>10</xdr:col>
      <xdr:colOff>508384</xdr:colOff>
      <xdr:row>81</xdr:row>
      <xdr:rowOff>122777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48575"/>
          <a:ext cx="9242809" cy="6361652"/>
        </a:xfrm>
        <a:prstGeom prst="rect">
          <a:avLst/>
        </a:prstGeom>
      </xdr:spPr>
    </xdr:pic>
    <xdr:clientData/>
  </xdr:twoCellAnchor>
  <xdr:twoCellAnchor editAs="oneCell">
    <xdr:from>
      <xdr:col>0</xdr:col>
      <xdr:colOff>0</xdr:colOff>
      <xdr:row>81</xdr:row>
      <xdr:rowOff>95250</xdr:rowOff>
    </xdr:from>
    <xdr:to>
      <xdr:col>10</xdr:col>
      <xdr:colOff>619094</xdr:colOff>
      <xdr:row>119</xdr:row>
      <xdr:rowOff>18002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982700"/>
          <a:ext cx="9353519" cy="6437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27063</xdr:colOff>
      <xdr:row>25</xdr:row>
      <xdr:rowOff>19641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463" cy="4305891"/>
        </a:xfrm>
        <a:prstGeom prst="rect">
          <a:avLst/>
        </a:prstGeom>
      </xdr:spPr>
    </xdr:pic>
    <xdr:clientData/>
  </xdr:twoCellAnchor>
  <xdr:twoCellAnchor editAs="oneCell">
    <xdr:from>
      <xdr:col>0</xdr:col>
      <xdr:colOff>0</xdr:colOff>
      <xdr:row>24</xdr:row>
      <xdr:rowOff>19049</xdr:rowOff>
    </xdr:from>
    <xdr:to>
      <xdr:col>12</xdr:col>
      <xdr:colOff>559983</xdr:colOff>
      <xdr:row>48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33849"/>
          <a:ext cx="8789583" cy="4133851"/>
        </a:xfrm>
        <a:prstGeom prst="rect">
          <a:avLst/>
        </a:prstGeom>
      </xdr:spPr>
    </xdr:pic>
    <xdr:clientData/>
  </xdr:twoCellAnchor>
  <xdr:twoCellAnchor editAs="oneCell">
    <xdr:from>
      <xdr:col>0</xdr:col>
      <xdr:colOff>0</xdr:colOff>
      <xdr:row>47</xdr:row>
      <xdr:rowOff>123824</xdr:rowOff>
    </xdr:from>
    <xdr:to>
      <xdr:col>12</xdr:col>
      <xdr:colOff>599531</xdr:colOff>
      <xdr:row>73</xdr:row>
      <xdr:rowOff>94485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181974"/>
          <a:ext cx="8829131" cy="44283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3\2023-1-0028&#21271;&#20140;&#24066;&#26124;&#24179;&#21306;&#33521;&#25165;&#21271;&#19977;&#34903;16&#21495;&#38498;2&#21495;&#27004;5&#23618;503&#31561;&#20845;&#22871;&#21150;&#20844;&#29992;&#25151;&#25151;&#22320;&#20135;&#25269;&#25276;&#20215;&#20540;&#35780;&#20272;\&#26368;&#32456;\&#26368;&#32456;-&#26410;&#26469;&#31185;&#23398;&#22478;-&#24352;&#27901;-&#20108;&#23457;-&#23828;&#38196;20230118-11073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4">
          <cell r="C104">
            <v>0</v>
          </cell>
          <cell r="D104">
            <v>500</v>
          </cell>
          <cell r="E104">
            <v>1000</v>
          </cell>
          <cell r="F104">
            <v>3000</v>
          </cell>
          <cell r="G104">
            <v>5000</v>
          </cell>
          <cell r="H104">
            <v>10000</v>
          </cell>
        </row>
        <row r="105">
          <cell r="C105">
            <v>100</v>
          </cell>
          <cell r="D105">
            <v>99</v>
          </cell>
          <cell r="E105">
            <v>98</v>
          </cell>
          <cell r="F105">
            <v>97</v>
          </cell>
          <cell r="G105">
            <v>96</v>
          </cell>
          <cell r="H105">
            <v>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估价对象为北京市房地产，为所有。根据《国有土地使用证》[]，估价对象（分摊）出让国有建设用地使用权面积为0平方米，建筑面积为145.47平方米。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估价对象为北京市房地产,属开发建设的，该项目尚在开发建设中。根据《国有土地使用证》[]，估价对象（分摊）出让国有建设用地使用权面积为0平方米，规划建筑面积为145.47平方米。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2023年10月11日（评估专业人员实地查勘之日）</v>
      </c>
    </row>
    <row r="13" spans="1:2" s="1202" customFormat="1">
      <c r="A13" s="1200" t="s">
        <v>529</v>
      </c>
      <c r="B13" s="120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145.47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6" sqref="H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3" t="s">
        <v>385</v>
      </c>
      <c r="C54" s="1550" t="s">
        <v>583</v>
      </c>
    </row>
    <row r="55" spans="1:4">
      <c r="A55" s="3502"/>
      <c r="B55" s="1553" t="s">
        <v>386</v>
      </c>
      <c r="C55" s="1550" t="s">
        <v>584</v>
      </c>
    </row>
    <row r="56" spans="1:4">
      <c r="A56" s="3502"/>
      <c r="B56" s="1553" t="s">
        <v>387</v>
      </c>
      <c r="C56" s="1550" t="s">
        <v>588</v>
      </c>
    </row>
    <row r="57" spans="1:4">
      <c r="A57" s="350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03" t="s">
        <v>2574</v>
      </c>
      <c r="J2" s="3503"/>
      <c r="K2" s="3503"/>
      <c r="L2" s="3503"/>
      <c r="M2" s="3503"/>
      <c r="N2" s="3503"/>
      <c r="O2" s="3503"/>
      <c r="P2" s="3503"/>
      <c r="Q2" s="3503"/>
      <c r="R2" s="3503"/>
    </row>
    <row r="3" spans="1:18">
      <c r="A3" s="3019" t="s">
        <v>2495</v>
      </c>
      <c r="B3" s="3020">
        <f>项目基本情况!D3</f>
        <v>45210</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3.19</v>
      </c>
      <c r="D5" s="3024">
        <f>IF(ISERROR(ROUND(POWER(1+E5,A5-C5)*(POWER(1+E5,C5)-1)/(POWER(1+E5,A5)-1),3)),0,ROUND(POWER(1+E5,A5-C5)*(POWER(1+E5,C5)-1)/(POWER(1+E5,A5)-1),4))</f>
        <v>0.14849999999999999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13.2</v>
      </c>
      <c r="D6" s="3024">
        <f>IF(ISERROR(ROUND(POWER(1+E6,A6-C6)*(POWER(1+E6,C6)-1)/(POWER(1+E6,A6)-1),3)),0,ROUND(POWER(1+E6,A6-C6)*(POWER(1+E6,C6)-1)/(POWER(1+E6,A6)-1),4))</f>
        <v>0.4703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33.21</v>
      </c>
      <c r="D7" s="3024">
        <f>IF(ISERROR(ROUND(POWER(1+E7,A7-C7)*(POWER(1+E7,C7)-1)/(POWER(1+E7,A7)-1),3)),0,ROUND(POWER(1+E7,A7-C7)*(POWER(1+E7,C7)-1)/(POWER(1+E7,A7)-1),4))</f>
        <v>0.77810000000000001</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45210</v>
      </c>
      <c r="C3" s="2373" t="s">
        <v>2170</v>
      </c>
      <c r="D3" s="2372">
        <v>45210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07" t="s">
        <v>2176</v>
      </c>
      <c r="E8" s="2390" t="s">
        <v>3370</v>
      </c>
      <c r="F8" s="2391"/>
      <c r="G8" s="2662"/>
      <c r="H8" s="2662"/>
      <c r="I8" s="2662"/>
      <c r="J8" s="2438"/>
      <c r="K8" s="2613"/>
      <c r="L8" s="2612"/>
      <c r="M8" s="2612"/>
      <c r="N8" s="2438"/>
      <c r="O8" s="2449"/>
      <c r="P8" s="2438"/>
      <c r="Q8" s="2438"/>
      <c r="R8" s="2438"/>
    </row>
    <row r="9" spans="1:30" ht="13.5" thickBot="1">
      <c r="A9" s="2392" t="s">
        <v>2177</v>
      </c>
      <c r="B9" s="2393" t="s">
        <v>3370</v>
      </c>
      <c r="C9" s="2394"/>
      <c r="D9" s="3508"/>
      <c r="E9" s="2393"/>
      <c r="F9" s="2395"/>
      <c r="G9" s="2664"/>
      <c r="H9" s="2664"/>
      <c r="I9" s="2664"/>
      <c r="J9" s="2438"/>
      <c r="K9" s="2615"/>
      <c r="L9" s="2612"/>
      <c r="M9" s="2612"/>
      <c r="N9" s="2438"/>
      <c r="O9" s="2449"/>
      <c r="P9" s="2438"/>
      <c r="Q9" s="2438"/>
      <c r="R9" s="2438"/>
    </row>
    <row r="10" spans="1:30" ht="13.5" thickTop="1">
      <c r="A10" s="2396" t="s">
        <v>2178</v>
      </c>
      <c r="B10" s="2397" t="s">
        <v>3371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c r="E13" s="855">
        <v>59636</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39.520000000000003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4"/>
      <c r="C16" s="3515"/>
      <c r="D16" s="3516"/>
      <c r="E16" s="2412" t="s">
        <v>2193</v>
      </c>
      <c r="F16" s="3517"/>
      <c r="G16" s="3518"/>
      <c r="H16" s="3518"/>
      <c r="I16" s="3519"/>
      <c r="J16" s="2438"/>
      <c r="K16" s="2616"/>
      <c r="L16" s="2450"/>
      <c r="M16" s="2450"/>
      <c r="N16" s="2508"/>
      <c r="O16" s="2450"/>
      <c r="P16" s="2508"/>
      <c r="Q16" s="2438"/>
      <c r="R16" s="2438"/>
    </row>
    <row r="17" spans="1:28">
      <c r="A17" s="313" t="s">
        <v>2194</v>
      </c>
      <c r="B17" s="302" t="s">
        <v>2195</v>
      </c>
      <c r="C17" s="8">
        <f>'数据-汇总表'!E3</f>
        <v>145.47</v>
      </c>
      <c r="D17" s="2321" t="s">
        <v>2196</v>
      </c>
      <c r="E17" s="3520" t="s">
        <v>2197</v>
      </c>
      <c r="F17" s="3521"/>
      <c r="G17" s="3521"/>
      <c r="H17" s="3521"/>
      <c r="I17" s="3522"/>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3" t="s">
        <v>2201</v>
      </c>
      <c r="F18" s="3524"/>
      <c r="G18" s="3524"/>
      <c r="H18" s="3524"/>
      <c r="I18" s="3525"/>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0" t="s">
        <v>2205</v>
      </c>
      <c r="C20" s="3511"/>
      <c r="D20" s="3512" t="s">
        <v>2206</v>
      </c>
      <c r="E20" s="3513"/>
      <c r="F20" s="2646" t="s">
        <v>1056</v>
      </c>
      <c r="G20" s="2663"/>
      <c r="H20" s="2663"/>
      <c r="I20" s="2663"/>
      <c r="J20" s="2438"/>
      <c r="K20" s="3509"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7"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7"/>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7"/>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8"/>
      <c r="B30" s="302" t="s">
        <v>2217</v>
      </c>
      <c r="C30" s="3529"/>
      <c r="D30" s="3530"/>
      <c r="E30" s="2663"/>
      <c r="F30" s="2663"/>
      <c r="G30" s="2663"/>
      <c r="H30" s="2663"/>
      <c r="I30" s="2663"/>
      <c r="J30" s="2438"/>
      <c r="K30" s="2615"/>
      <c r="L30" s="2612"/>
      <c r="M30" s="2612"/>
      <c r="N30" s="2438"/>
      <c r="O30" s="2449"/>
      <c r="P30" s="2438"/>
      <c r="Q30" s="2438"/>
      <c r="R30" s="2438"/>
      <c r="S30" s="2438"/>
      <c r="T30" s="2438"/>
      <c r="U30" s="2438"/>
      <c r="V30" s="2438"/>
    </row>
    <row r="31" spans="1:28">
      <c r="A31" s="3531"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26" t="s">
        <v>2227</v>
      </c>
      <c r="T34" s="2427" t="str">
        <f>NUMBERSTRING(7-K34,1)&amp;"通"</f>
        <v>七通</v>
      </c>
      <c r="U34" s="2438"/>
      <c r="V34" s="2438"/>
    </row>
    <row r="35" spans="1:30">
      <c r="A35" s="2428"/>
      <c r="B35" s="3533" t="s">
        <v>2228</v>
      </c>
      <c r="C35" s="3533"/>
      <c r="D35" s="3533"/>
      <c r="E35" s="3533"/>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288</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145.47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145.47</v>
      </c>
      <c r="H5" s="13">
        <f t="shared" ref="H5:AT5" si="0">SUM(H13:H656)</f>
        <v>145.47</v>
      </c>
      <c r="I5" s="13">
        <f t="shared" si="0"/>
        <v>145.47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145.47</v>
      </c>
      <c r="BA5" s="15">
        <f t="shared" si="1"/>
        <v>145.47</v>
      </c>
      <c r="BB5" s="15">
        <f t="shared" si="1"/>
        <v>145.47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503</v>
      </c>
      <c r="D13" s="1624" t="s">
        <v>3373</v>
      </c>
      <c r="E13" s="13">
        <f>IF($C$3="是",ROUND($A$3*G13/$B$3,2),ROUND($A$3*(G13-AT13)/$B$3,2))</f>
        <v>0</v>
      </c>
      <c r="F13" s="29"/>
      <c r="G13" s="30">
        <f>H13+AC13+AT13</f>
        <v>145.47</v>
      </c>
      <c r="H13" s="17">
        <f>SUMIF(I$12:AB$12,"总值",I13:AB13)</f>
        <v>145.47</v>
      </c>
      <c r="I13" s="1625">
        <v>145.47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503</v>
      </c>
      <c r="AY13" s="1348">
        <f>ROUND($AY$6*AZ13/$AZ$5,2)</f>
        <v>0</v>
      </c>
      <c r="AZ13" s="13">
        <f>BA13+BL13</f>
        <v>145.47</v>
      </c>
      <c r="BA13" s="13">
        <f>SUM(BB13:BK13)</f>
        <v>145.47</v>
      </c>
      <c r="BB13" s="13">
        <f>IF($D13="是",I13-J13,0)</f>
        <v>145.47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2" sqref="L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3" t="s">
        <v>1131</v>
      </c>
      <c r="B2" s="3543"/>
      <c r="C2" s="3543"/>
      <c r="D2" s="795" t="s">
        <v>1107</v>
      </c>
      <c r="E2" s="1638" t="s">
        <v>1108</v>
      </c>
      <c r="F2" s="2658"/>
      <c r="G2" s="2649"/>
      <c r="H2" s="2650"/>
      <c r="I2" s="2324" t="s">
        <v>1132</v>
      </c>
      <c r="J2" s="2658"/>
      <c r="K2" s="2658"/>
      <c r="L2" s="2658"/>
      <c r="M2" s="2658"/>
      <c r="N2" s="2660"/>
      <c r="O2" s="2658"/>
      <c r="P2" s="2658"/>
    </row>
    <row r="3" spans="1:16" ht="15.75" thickBot="1">
      <c r="A3" s="3544" t="s">
        <v>1105</v>
      </c>
      <c r="B3" s="3544"/>
      <c r="C3" s="3544"/>
      <c r="D3" s="43">
        <f>'数据-基础表'!AY6</f>
        <v>0</v>
      </c>
      <c r="E3" s="43">
        <f>'数据-基础表'!AZ5</f>
        <v>145.47</v>
      </c>
      <c r="F3" s="2658"/>
      <c r="G3" s="1144"/>
      <c r="H3" s="1025" t="s">
        <v>1106</v>
      </c>
      <c r="I3" s="854" t="e">
        <f>ROUND('数据-基础表'!B3/'数据-基础表'!A3,2)</f>
        <v>#DIV/0!</v>
      </c>
      <c r="J3" s="2658"/>
      <c r="K3" s="2658"/>
      <c r="L3" s="2658"/>
      <c r="M3" s="2658"/>
      <c r="N3" s="2660"/>
      <c r="O3" s="2658"/>
      <c r="P3" s="2658"/>
    </row>
    <row r="4" spans="1:16" ht="15">
      <c r="A4" s="3545"/>
      <c r="B4" s="3546"/>
      <c r="C4" s="354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8" t="s">
        <v>1110</v>
      </c>
      <c r="C5" s="354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8" t="s">
        <v>1111</v>
      </c>
      <c r="C6" s="3548"/>
      <c r="D6" s="45">
        <f>ROUND($D$3*E6/$E$3,2)</f>
        <v>0</v>
      </c>
      <c r="E6" s="46">
        <f>E3-E5</f>
        <v>145.47</v>
      </c>
      <c r="F6" s="2658"/>
      <c r="G6" s="2652" t="s">
        <v>1112</v>
      </c>
      <c r="H6" s="1145" t="s">
        <v>1113</v>
      </c>
      <c r="I6" s="2653" t="e">
        <f>ROUND(F31/D31,2)</f>
        <v>#DIV/0!</v>
      </c>
      <c r="J6" s="2658"/>
      <c r="K6" s="2658"/>
      <c r="L6" s="2658"/>
      <c r="M6" s="2658"/>
      <c r="N6" s="2658"/>
      <c r="O6" s="2658"/>
      <c r="P6" s="2658"/>
    </row>
    <row r="7" spans="1:16" ht="15.75" thickBot="1">
      <c r="A7" s="3540"/>
      <c r="B7" s="3541"/>
      <c r="C7" s="3542"/>
      <c r="D7" s="1640" t="s">
        <v>1107</v>
      </c>
      <c r="E7" s="1644" t="s">
        <v>1114</v>
      </c>
      <c r="F7" s="2658"/>
      <c r="G7" s="2654" t="s">
        <v>1115</v>
      </c>
      <c r="H7" s="2655"/>
      <c r="I7" s="2656">
        <v>3</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145.47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145.47</v>
      </c>
      <c r="F16" s="2658"/>
      <c r="G16" s="2659"/>
      <c r="H16" s="1647" t="s">
        <v>1135</v>
      </c>
      <c r="I16" s="1648"/>
      <c r="J16" s="1138"/>
      <c r="K16" s="3537" t="s">
        <v>1135</v>
      </c>
      <c r="L16" s="3538"/>
      <c r="M16" s="3538"/>
      <c r="N16" s="3538"/>
      <c r="O16" s="3538"/>
      <c r="P16" s="3539"/>
    </row>
    <row r="17" spans="1:19" ht="15">
      <c r="A17" s="1649" t="s">
        <v>1136</v>
      </c>
      <c r="B17" s="1650" t="s">
        <v>1137</v>
      </c>
      <c r="C17" s="1651" t="s">
        <v>1138</v>
      </c>
      <c r="D17" s="1652" t="s">
        <v>1126</v>
      </c>
      <c r="E17" s="1653" t="s">
        <v>1127</v>
      </c>
      <c r="F17" s="1654"/>
      <c r="G17" s="1655"/>
      <c r="H17" s="1656" t="s">
        <v>1139</v>
      </c>
      <c r="I17" s="1657" t="s">
        <v>1124</v>
      </c>
      <c r="J17" s="1138"/>
      <c r="K17" s="3534" t="s">
        <v>1140</v>
      </c>
      <c r="L17" s="3535"/>
      <c r="M17" s="3536"/>
      <c r="N17" s="3534" t="s">
        <v>1141</v>
      </c>
      <c r="O17" s="3535"/>
      <c r="P17" s="353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v>503</v>
      </c>
      <c r="D19" s="45">
        <f>ROUND($D$3*E19/$E$3,2)</f>
        <v>0</v>
      </c>
      <c r="E19" s="53">
        <f t="shared" ref="E19:E26" si="1">SUM(F19:G19)</f>
        <v>145.47</v>
      </c>
      <c r="F19" s="2794">
        <f>'数据-基础表'!I13</f>
        <v>145.47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145.47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145.47</v>
      </c>
      <c r="F27" s="1139">
        <f>IF(SUM(F19:F26)=E8,SUM(F19:F26),"地上面积有误")</f>
        <v>145.47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145.47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145.47</v>
      </c>
      <c r="F31" s="676">
        <f>F27+F30</f>
        <v>145.47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45210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503</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39.520000000000003</v>
      </c>
      <c r="G6" s="65">
        <f>IF(ISERROR(ROUND(POWER(1+H6,D6-F6)*(POWER(1+H6,F6)-1)/(POWER(1+H6,D6)-1),3)),0,ROUND(POWER(1+H6,D6-F6)*(POWER(1+H6,F6)-1)/(POWER(1+H6,D6)-1),3))</f>
        <v>0.93600000000000005</v>
      </c>
      <c r="H6" s="731">
        <v>0.05</v>
      </c>
      <c r="I6" s="731">
        <v>5.5E-2</v>
      </c>
      <c r="J6" s="66">
        <v>7.4999999999999997E-2</v>
      </c>
      <c r="K6" s="1029">
        <f>SUMIF('数据-汇总表'!C$19:C$33,A6,'数据-汇总表'!E$19:E$33)</f>
        <v>145.47</v>
      </c>
      <c r="L6" s="732">
        <v>4000</v>
      </c>
      <c r="M6" s="67">
        <f t="shared" ref="M6:M14" si="0">ROUND(K6*L6/10000,0)</f>
        <v>58</v>
      </c>
      <c r="N6" s="730">
        <f>ROUND(1-(2023-'收益法 (元)'!J49)/60,2)</f>
        <v>0.87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租金比较法!C50</f>
        <v>3.5</v>
      </c>
      <c r="V6" s="70">
        <v>2.5000000000000001E-2</v>
      </c>
      <c r="W6" s="70">
        <v>0.15</v>
      </c>
      <c r="X6" s="1039"/>
      <c r="Y6" s="71">
        <f>N6</f>
        <v>0.87</v>
      </c>
      <c r="Z6" s="72"/>
      <c r="AA6" s="66"/>
      <c r="AB6" s="66"/>
      <c r="AC6" s="1039"/>
      <c r="AD6" s="73"/>
      <c r="AE6" s="1040">
        <f ca="1">IF(AN6="",0,SUMIF(INDIRECT("'"&amp;AN6&amp;"'"&amp;"!E:E"),$AE$5,INDIRECT("'"&amp;AN6&amp;"'"&amp;"!F:F")))</f>
        <v>39.520000000000003</v>
      </c>
      <c r="AF6" s="1347"/>
      <c r="AG6" s="138">
        <f>IF(AF6="",0,AE6-AF6)</f>
        <v>0</v>
      </c>
      <c r="AH6" s="74"/>
      <c r="AI6" s="76">
        <v>365</v>
      </c>
      <c r="AJ6" s="77"/>
      <c r="AK6" s="78">
        <v>1.4999999999999999E-2</v>
      </c>
      <c r="AL6" s="79">
        <v>1.5E-3</v>
      </c>
      <c r="AM6" s="80">
        <v>0.01</v>
      </c>
      <c r="AN6" s="1714" t="s">
        <v>3376</v>
      </c>
      <c r="AO6" s="52">
        <f ca="1">SUMIF(INDIRECT("'"&amp;AN6&amp;"'"&amp;"!A:A"),"总价",INDIRECT("'"&amp;AN6&amp;"'"&amp;"!B:B"))</f>
        <v>264.149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0.93600000000000005</v>
      </c>
      <c r="H16" s="90">
        <f>ROUND(SUMPRODUCT(H6:H13,K6:K13)/SUMPRODUCT((H6:H13&gt;0)*(K6:K13)),3)</f>
        <v>0.05</v>
      </c>
      <c r="I16" s="91"/>
      <c r="J16" s="91"/>
      <c r="K16" s="92">
        <f>SUM(K6:K15)</f>
        <v>145.47</v>
      </c>
      <c r="L16" s="93">
        <f>ROUND(M16*10000/SUM(K6:K14),0)</f>
        <v>3987</v>
      </c>
      <c r="M16" s="93">
        <f>SUM(M6:M14)</f>
        <v>58</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2.9094000000000002</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9" t="s">
        <v>2276</v>
      </c>
      <c r="B1" s="3550"/>
      <c r="C1" s="3550"/>
      <c r="D1" s="3550"/>
      <c r="E1" s="3550"/>
      <c r="F1" s="3550"/>
      <c r="G1" s="355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8" sqref="G2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v>503</v>
      </c>
      <c r="D1" s="1746"/>
      <c r="E1" s="1746"/>
      <c r="F1" s="1748" t="s">
        <v>1263</v>
      </c>
      <c r="G1" s="1560" t="s">
        <v>3432</v>
      </c>
      <c r="H1" s="1749" t="str">
        <f>IF(G1="现房","——","估价对象范围")</f>
        <v>——</v>
      </c>
      <c r="I1" s="1750" t="s">
        <v>3433</v>
      </c>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3" t="s">
        <v>1265</v>
      </c>
      <c r="B4" s="1754" t="s">
        <v>1266</v>
      </c>
      <c r="C4" s="1755" t="s">
        <v>3434</v>
      </c>
      <c r="D4" s="1755" t="s">
        <v>3376</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621">
        <v>25</v>
      </c>
      <c r="C5" s="3624"/>
      <c r="D5" s="3612"/>
      <c r="E5" s="131" t="s">
        <v>1269</v>
      </c>
      <c r="F5" s="1756"/>
      <c r="G5" s="1756"/>
      <c r="H5" s="1756"/>
      <c r="I5" s="1372"/>
    </row>
    <row r="6" spans="1:12" ht="12.75">
      <c r="A6" s="3566"/>
      <c r="B6" s="3621"/>
      <c r="C6" s="3626"/>
      <c r="D6" s="3612"/>
      <c r="E6" s="131" t="s">
        <v>1270</v>
      </c>
      <c r="F6" s="1756"/>
      <c r="G6" s="1756"/>
      <c r="H6" s="1756"/>
      <c r="I6" s="1372"/>
    </row>
    <row r="7" spans="1:12" ht="12.75">
      <c r="A7" s="3566"/>
      <c r="B7" s="3621"/>
      <c r="C7" s="3625"/>
      <c r="D7" s="3612"/>
      <c r="E7" s="131" t="s">
        <v>1271</v>
      </c>
      <c r="F7" s="1756"/>
      <c r="G7" s="1756"/>
      <c r="H7" s="1756"/>
      <c r="I7" s="1372"/>
    </row>
    <row r="8" spans="1:12" ht="12.75">
      <c r="A8" s="3566" t="s">
        <v>1272</v>
      </c>
      <c r="B8" s="3621">
        <v>15</v>
      </c>
      <c r="C8" s="3624"/>
      <c r="D8" s="3612"/>
      <c r="E8" s="131" t="s">
        <v>1273</v>
      </c>
      <c r="F8" s="1756"/>
      <c r="G8" s="1756"/>
      <c r="H8" s="1756"/>
      <c r="I8" s="1372"/>
    </row>
    <row r="9" spans="1:12" ht="12.75">
      <c r="A9" s="3566"/>
      <c r="B9" s="3621"/>
      <c r="C9" s="3625"/>
      <c r="D9" s="3612"/>
      <c r="E9" s="131" t="s">
        <v>1274</v>
      </c>
      <c r="F9" s="1756"/>
      <c r="G9" s="1756"/>
      <c r="H9" s="1756"/>
      <c r="I9" s="1372"/>
    </row>
    <row r="10" spans="1:12" ht="12.75">
      <c r="A10" s="3566" t="s">
        <v>1275</v>
      </c>
      <c r="B10" s="3621">
        <v>15</v>
      </c>
      <c r="C10" s="3624"/>
      <c r="D10" s="3612"/>
      <c r="E10" s="131" t="s">
        <v>1276</v>
      </c>
      <c r="F10" s="1756"/>
      <c r="G10" s="1756"/>
      <c r="H10" s="1756"/>
      <c r="I10" s="1372"/>
    </row>
    <row r="11" spans="1:12" ht="12.75">
      <c r="A11" s="3566"/>
      <c r="B11" s="3621"/>
      <c r="C11" s="3625"/>
      <c r="D11" s="3612"/>
      <c r="E11" s="131" t="s">
        <v>1277</v>
      </c>
      <c r="F11" s="1756"/>
      <c r="G11" s="1756"/>
      <c r="H11" s="1756"/>
      <c r="I11" s="1372"/>
    </row>
    <row r="12" spans="1:12" ht="12.75">
      <c r="A12" s="3566" t="s">
        <v>1278</v>
      </c>
      <c r="B12" s="3621">
        <v>15</v>
      </c>
      <c r="C12" s="3624"/>
      <c r="D12" s="3612"/>
      <c r="E12" s="131" t="s">
        <v>1279</v>
      </c>
      <c r="F12" s="1756"/>
      <c r="G12" s="1756"/>
      <c r="H12" s="1756"/>
      <c r="I12" s="1372"/>
    </row>
    <row r="13" spans="1:12" ht="12.75">
      <c r="A13" s="3566"/>
      <c r="B13" s="3621"/>
      <c r="C13" s="3625"/>
      <c r="D13" s="3612"/>
      <c r="E13" s="131" t="s">
        <v>1280</v>
      </c>
      <c r="F13" s="1756"/>
      <c r="G13" s="1756"/>
      <c r="H13" s="1756"/>
      <c r="I13" s="1372"/>
    </row>
    <row r="14" spans="1:12" ht="12.75">
      <c r="A14" s="3566" t="s">
        <v>1281</v>
      </c>
      <c r="B14" s="3621">
        <v>30</v>
      </c>
      <c r="C14" s="3624">
        <v>6</v>
      </c>
      <c r="D14" s="3612">
        <v>4</v>
      </c>
      <c r="E14" s="131" t="s">
        <v>1282</v>
      </c>
      <c r="F14" s="1756"/>
      <c r="G14" s="1756"/>
      <c r="H14" s="1756"/>
      <c r="I14" s="1372"/>
    </row>
    <row r="15" spans="1:12" ht="12.75">
      <c r="A15" s="3566"/>
      <c r="B15" s="3621"/>
      <c r="C15" s="3626"/>
      <c r="D15" s="3612"/>
      <c r="E15" s="131" t="s">
        <v>1283</v>
      </c>
      <c r="F15" s="1756"/>
      <c r="G15" s="1756"/>
      <c r="H15" s="1756"/>
      <c r="I15" s="1372"/>
    </row>
    <row r="16" spans="1:12" ht="12.75">
      <c r="A16" s="3566"/>
      <c r="B16" s="3621"/>
      <c r="C16" s="3625"/>
      <c r="D16" s="3612"/>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3" t="s">
        <v>2130</v>
      </c>
      <c r="F18" s="3644"/>
      <c r="G18" s="3644"/>
      <c r="H18" s="3644"/>
      <c r="I18" s="3644"/>
      <c r="K18" s="302" t="s">
        <v>1289</v>
      </c>
      <c r="L18" s="302">
        <f>IF(C1="",'数据-汇总表'!E3,SUMIF(项目类型,C1,'数据-汇总表'!E17:E26)+SUMIF(项目类型,C1,'数据-汇总表'!I17:I26))</f>
        <v>145.47</v>
      </c>
      <c r="M18" s="302">
        <f>IF(C1="",'数据-汇总表'!E3,SUMIF(项目类型,C1,'数据-汇总表'!E17:E26))</f>
        <v>145.47</v>
      </c>
    </row>
    <row r="19" spans="1:36" ht="15">
      <c r="A19" s="1760" t="s">
        <v>1290</v>
      </c>
      <c r="B19" s="1761" t="s">
        <v>1291</v>
      </c>
      <c r="C19" s="134">
        <f ca="1">SUMIF(INDIRECT("'"&amp;C4&amp;"'"&amp;"!A:A"),结果表!B19,INDIRECT("'"&amp;C4&amp;"'"&amp;"!B:B"))</f>
        <v>386.7029</v>
      </c>
      <c r="D19" s="135">
        <f ca="1">SUMIF(INDIRECT("'"&amp;D4&amp;"'"&amp;"!A:A"),结果表!B19,INDIRECT("'"&amp;D4&amp;"'"&amp;"!B:B"))</f>
        <v>264.149</v>
      </c>
      <c r="E19" s="1760" t="s">
        <v>1292</v>
      </c>
      <c r="F19" s="1761" t="s">
        <v>1291</v>
      </c>
      <c r="G19" s="136">
        <f ca="1">ROUND(C19*$C$18+D19*$D$18,0)</f>
        <v>338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26583</v>
      </c>
      <c r="D20" s="138">
        <f ca="1">SUMIF(INDIRECT("'"&amp;D4&amp;"'"&amp;"!A:A"),结果表!B20,INDIRECT("'"&amp;D4&amp;"'"&amp;"!B:B"))</f>
        <v>18158</v>
      </c>
      <c r="E20" s="1763"/>
      <c r="F20" s="1025" t="s">
        <v>1295</v>
      </c>
      <c r="G20" s="139">
        <f ca="1">ROUND(C20*$C$18+D20*$D$18,0)</f>
        <v>23213</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0.46395746340133792</v>
      </c>
      <c r="E22" s="129"/>
      <c r="F22" s="129"/>
      <c r="G22" s="129"/>
      <c r="H22" s="129"/>
      <c r="I22" s="129"/>
    </row>
    <row r="23" spans="1:36" ht="13.5" thickBot="1">
      <c r="A23" s="1746"/>
      <c r="B23" s="1746"/>
      <c r="C23" s="1746"/>
      <c r="D23" s="1746"/>
      <c r="E23" s="129"/>
      <c r="F23" s="129"/>
      <c r="G23" s="129"/>
      <c r="H23" s="129"/>
      <c r="I23" s="129"/>
    </row>
    <row r="24" spans="1:36" ht="14.25">
      <c r="A24" s="3636" t="s">
        <v>1299</v>
      </c>
      <c r="B24" s="1761" t="s">
        <v>1291</v>
      </c>
      <c r="C24" s="136">
        <f>IF(B30=0,0,D30)</f>
        <v>0</v>
      </c>
      <c r="D24" s="1768"/>
      <c r="E24" s="129"/>
      <c r="F24" s="129"/>
      <c r="G24" s="129"/>
      <c r="H24" s="129"/>
      <c r="I24" s="129"/>
    </row>
    <row r="25" spans="1:36" ht="14.25">
      <c r="A25" s="363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23213</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3" t="s">
        <v>1312</v>
      </c>
      <c r="B36" s="1786" t="s">
        <v>1313</v>
      </c>
      <c r="C36" s="145"/>
      <c r="D36" s="1787"/>
      <c r="E36" s="1788"/>
      <c r="F36" s="1789"/>
      <c r="G36" s="129"/>
      <c r="H36" s="129"/>
      <c r="I36" s="129"/>
    </row>
    <row r="37" spans="1:15" ht="15.75" thickBot="1">
      <c r="A37" s="3614"/>
      <c r="B37" s="1673" t="s">
        <v>1314</v>
      </c>
      <c r="C37" s="147"/>
      <c r="D37" s="1138"/>
      <c r="E37" s="1138"/>
      <c r="F37" s="1789"/>
      <c r="G37" s="129"/>
      <c r="H37" s="129"/>
      <c r="I37" s="129"/>
    </row>
    <row r="38" spans="1:15" ht="15.75" thickBot="1">
      <c r="A38" s="361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3" t="s">
        <v>1326</v>
      </c>
      <c r="B45" s="3634"/>
      <c r="C45" s="3635"/>
      <c r="D45" s="155" t="e">
        <f ca="1">ROUND(H101*F45,0)</f>
        <v>#REF!</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5"/>
      <c r="I46" s="159"/>
      <c r="J46" s="2522">
        <v>1</v>
      </c>
      <c r="K46" s="3554" t="s">
        <v>1331</v>
      </c>
      <c r="L46" s="3554"/>
      <c r="M46" s="3555"/>
      <c r="N46" s="3555"/>
      <c r="O46" s="3555"/>
    </row>
    <row r="47" spans="1:15" ht="12" customHeight="1">
      <c r="A47" s="160" t="s">
        <v>1332</v>
      </c>
      <c r="B47" s="161"/>
      <c r="C47" s="162"/>
      <c r="D47" s="1086" t="s">
        <v>1333</v>
      </c>
      <c r="E47" s="302" t="s">
        <v>1334</v>
      </c>
      <c r="F47" s="163" t="s">
        <v>1335</v>
      </c>
      <c r="G47" s="2545" t="s">
        <v>1336</v>
      </c>
      <c r="H47" s="2546"/>
      <c r="I47" s="159"/>
      <c r="J47" s="2522">
        <v>2</v>
      </c>
      <c r="K47" s="3554" t="s">
        <v>1337</v>
      </c>
      <c r="L47" s="3554"/>
      <c r="M47" s="3556">
        <f>'数据-取费表'!B2</f>
        <v>45210</v>
      </c>
      <c r="N47" s="3556"/>
      <c r="O47" s="3556"/>
    </row>
    <row r="48" spans="1:15" ht="25.5">
      <c r="A48" s="3616" t="s">
        <v>1338</v>
      </c>
      <c r="B48" s="3617"/>
      <c r="C48" s="361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54" t="s">
        <v>1340</v>
      </c>
      <c r="L48" s="3554"/>
      <c r="M48" s="3557" t="e">
        <f ca="1">H101</f>
        <v>#REF!</v>
      </c>
      <c r="N48" s="3557"/>
      <c r="O48" s="3557"/>
    </row>
    <row r="49" spans="1:35" ht="25.5" customHeight="1">
      <c r="A49" s="2332" t="s">
        <v>1341</v>
      </c>
      <c r="B49" s="3602" t="s">
        <v>1342</v>
      </c>
      <c r="C49" s="3602"/>
      <c r="D49" s="1589">
        <v>0</v>
      </c>
      <c r="E49" s="324" t="s">
        <v>1343</v>
      </c>
      <c r="F49" s="2423" t="s">
        <v>28</v>
      </c>
      <c r="G49" s="3585"/>
      <c r="H49" s="2309" t="s">
        <v>2133</v>
      </c>
      <c r="I49" s="2310"/>
      <c r="J49" s="2522">
        <v>4</v>
      </c>
      <c r="K49" s="3554" t="str">
        <f>IF(项目基本情况!E8="房地产抵押价值","房地产抵押价值","抵押担保权已注销时的房地产抵押价值")</f>
        <v>房地产抵押价值</v>
      </c>
      <c r="L49" s="3554"/>
      <c r="M49" s="3557" t="str">
        <f ca="1">IF(项目基本情况!E8="房地产抵押价值",H107,H109)</f>
        <v>——</v>
      </c>
      <c r="N49" s="3557"/>
      <c r="O49" s="3557"/>
    </row>
    <row r="50" spans="1:35" ht="25.5" customHeight="1">
      <c r="A50" s="2550"/>
      <c r="B50" s="3602" t="s">
        <v>1344</v>
      </c>
      <c r="C50" s="3602"/>
      <c r="D50" s="2551"/>
      <c r="E50" s="332"/>
      <c r="F50" s="2423"/>
      <c r="G50" s="3586"/>
      <c r="H50" s="2311" t="s">
        <v>2134</v>
      </c>
      <c r="I50" s="2310"/>
      <c r="J50" s="3553" t="s">
        <v>1345</v>
      </c>
      <c r="K50" s="3553"/>
      <c r="L50" s="3553"/>
      <c r="M50" s="3553"/>
      <c r="N50" s="3553"/>
      <c r="O50" s="3553"/>
    </row>
    <row r="51" spans="1:35" ht="20.45" customHeight="1">
      <c r="A51" s="2552"/>
      <c r="B51" s="3602" t="s">
        <v>1346</v>
      </c>
      <c r="C51" s="3602"/>
      <c r="D51" s="1086"/>
      <c r="E51" s="327"/>
      <c r="F51" s="2423"/>
      <c r="G51" s="3587"/>
      <c r="H51" s="2311" t="s">
        <v>2135</v>
      </c>
      <c r="I51" s="2310"/>
      <c r="J51" s="2523" t="s">
        <v>1347</v>
      </c>
      <c r="K51" s="3554" t="s">
        <v>1348</v>
      </c>
      <c r="L51" s="3554"/>
      <c r="M51" s="2523" t="s">
        <v>1349</v>
      </c>
      <c r="N51" s="2523" t="s">
        <v>1350</v>
      </c>
      <c r="O51" s="2523" t="s">
        <v>1351</v>
      </c>
    </row>
    <row r="52" spans="1:35" ht="24" customHeight="1">
      <c r="A52" s="2334" t="s">
        <v>1352</v>
      </c>
      <c r="B52" s="3602" t="s">
        <v>1353</v>
      </c>
      <c r="C52" s="3602"/>
      <c r="D52" s="1086" t="e">
        <f ca="1">ROUND(D45*'数据-取费表'!B41/(1+'数据-取费表'!C42),0)</f>
        <v>#REF!</v>
      </c>
      <c r="E52" s="2333" t="s">
        <v>1354</v>
      </c>
      <c r="F52" s="2553">
        <f>'数据-取费表'!B41</f>
        <v>5.6000000000000001E-2</v>
      </c>
      <c r="G52" s="2554"/>
      <c r="H52" s="2543"/>
      <c r="I52" s="1806"/>
      <c r="J52" s="2522">
        <v>1</v>
      </c>
      <c r="K52" s="3579" t="s">
        <v>1355</v>
      </c>
      <c r="L52" s="3579"/>
      <c r="M52" s="2524" t="b">
        <f>D48</f>
        <v>0</v>
      </c>
      <c r="N52" s="2522" t="str">
        <f>E48</f>
        <v>销售额×税（费）率</v>
      </c>
      <c r="O52" s="2525">
        <f>F48</f>
        <v>5.6000000000000001E-2</v>
      </c>
    </row>
    <row r="53" spans="1:35" ht="12" customHeight="1">
      <c r="A53" s="2334" t="s">
        <v>1356</v>
      </c>
      <c r="B53" s="3603" t="s">
        <v>2281</v>
      </c>
      <c r="C53" s="3604"/>
      <c r="D53" s="1086" t="e">
        <f ca="1">ROUND(D45*'数据-取费表'!B41/(1+'数据-取费表'!C42),0)</f>
        <v>#REF!</v>
      </c>
      <c r="E53" s="2333" t="s">
        <v>1354</v>
      </c>
      <c r="F53" s="2553">
        <f>'数据-取费表'!B41</f>
        <v>5.6000000000000001E-2</v>
      </c>
      <c r="G53" s="2554"/>
      <c r="H53" s="2543"/>
      <c r="I53" s="1806"/>
      <c r="J53" s="2522">
        <v>2</v>
      </c>
      <c r="K53" s="3579" t="s">
        <v>1357</v>
      </c>
      <c r="L53" s="3579"/>
      <c r="M53" s="2524" t="e">
        <f t="shared" ref="M53:O54" ca="1" si="0">D55</f>
        <v>#REF!</v>
      </c>
      <c r="N53" s="2522" t="str">
        <f t="shared" si="0"/>
        <v>销售额×税（费）率</v>
      </c>
      <c r="O53" s="2525" t="str">
        <f t="shared" si="0"/>
        <v>免征</v>
      </c>
    </row>
    <row r="54" spans="1:35" ht="12" customHeight="1">
      <c r="A54" s="2334" t="s">
        <v>1358</v>
      </c>
      <c r="B54" s="3603" t="s">
        <v>2282</v>
      </c>
      <c r="C54" s="3604"/>
      <c r="D54" s="1086" t="e">
        <f ca="1">C68</f>
        <v>#REF!</v>
      </c>
      <c r="E54" s="327" t="s">
        <v>1359</v>
      </c>
      <c r="F54" s="2553">
        <f>'数据-取费表'!B41</f>
        <v>5.6000000000000001E-2</v>
      </c>
      <c r="G54" s="2554"/>
      <c r="H54" s="2555"/>
      <c r="I54" s="1806"/>
      <c r="J54" s="2522">
        <v>3</v>
      </c>
      <c r="K54" s="3579" t="s">
        <v>1360</v>
      </c>
      <c r="L54" s="3579"/>
      <c r="M54" s="2524" t="e">
        <f t="shared" ca="1" si="0"/>
        <v>#REF!</v>
      </c>
      <c r="N54" s="2522" t="str">
        <f t="shared" si="0"/>
        <v>增值额×税（费）率</v>
      </c>
      <c r="O54" s="2526" t="str">
        <f t="shared" si="0"/>
        <v>免征</v>
      </c>
    </row>
    <row r="55" spans="1:35" ht="24" customHeight="1">
      <c r="A55" s="3639" t="s">
        <v>1361</v>
      </c>
      <c r="B55" s="3617"/>
      <c r="C55" s="3617"/>
      <c r="D55" s="2323" t="e">
        <f ca="1">IF(H55="个人住宅",0,ROUND(D45*I55,0))</f>
        <v>#REF!</v>
      </c>
      <c r="E55" s="2333" t="s">
        <v>1362</v>
      </c>
      <c r="F55" s="2553" t="str">
        <f>IF(H55="正常",I55,"免征")</f>
        <v>免征</v>
      </c>
      <c r="G55" s="2554"/>
      <c r="H55" s="2549"/>
      <c r="I55" s="165">
        <f>'数据-取费表'!B49</f>
        <v>5.0000000000000001E-4</v>
      </c>
      <c r="J55" s="2522">
        <f>IF(H59="非个人房产","",4)</f>
        <v>4</v>
      </c>
      <c r="K55" s="3579" t="str">
        <f>IF(H59="非个人房产","——","个人所得税")</f>
        <v>个人所得税</v>
      </c>
      <c r="L55" s="3579"/>
      <c r="M55" s="2527" t="e">
        <f ca="1">D59</f>
        <v>#REF!</v>
      </c>
      <c r="N55" s="2039" t="str">
        <f>E59</f>
        <v>差额计税</v>
      </c>
      <c r="O55" s="2528">
        <f>F59</f>
        <v>0.01</v>
      </c>
    </row>
    <row r="56" spans="1:35" ht="24.75">
      <c r="A56" s="3639" t="s">
        <v>1363</v>
      </c>
      <c r="B56" s="3617"/>
      <c r="C56" s="3617"/>
      <c r="D56" s="2323" t="e">
        <f ca="1">IF(H56="个人住宅",D57,D58)</f>
        <v>#REF!</v>
      </c>
      <c r="E56" s="2333" t="s">
        <v>1364</v>
      </c>
      <c r="F56" s="2553" t="str">
        <f>IF(H56="正常",F58,"免征")</f>
        <v>免征</v>
      </c>
      <c r="G56" s="2556" t="s">
        <v>1365</v>
      </c>
      <c r="H56" s="2557"/>
      <c r="I56" s="1807"/>
      <c r="J56" s="2522" t="str">
        <f>IF(项目基本情况!K6="上海银行",IF(J55="",4,J55+1),"")</f>
        <v/>
      </c>
      <c r="K56" s="3560" t="str">
        <f>IF(项目基本情况!K6="上海银行","其他处置费用","")</f>
        <v/>
      </c>
      <c r="L56" s="3561"/>
      <c r="M56" s="2524" t="str">
        <f>IF(项目基本情况!K6="上海银行",M69,"")</f>
        <v/>
      </c>
      <c r="N56" s="3560" t="str">
        <f>IF(项目基本情况!K6="上海银行","包含处置中涉及的律师、诉讼、拍卖、评估等费用","")</f>
        <v/>
      </c>
      <c r="O56" s="3563"/>
    </row>
    <row r="57" spans="1:35" ht="12.75">
      <c r="A57" s="2334" t="s">
        <v>1341</v>
      </c>
      <c r="B57" s="3603" t="s">
        <v>1366</v>
      </c>
      <c r="C57" s="3604"/>
      <c r="D57" s="1589">
        <v>0</v>
      </c>
      <c r="E57" s="324" t="s">
        <v>1343</v>
      </c>
      <c r="F57" s="302"/>
      <c r="G57" s="2554"/>
      <c r="H57" s="2558"/>
      <c r="I57" s="1807"/>
      <c r="J57" s="3579">
        <f>IF(AND(J55="",J56=""),4,IF(项目基本情况!K6="上海银行",结果表!J56+1,结果表!J55+1))</f>
        <v>5</v>
      </c>
      <c r="K57" s="3579" t="s">
        <v>1367</v>
      </c>
      <c r="L57" s="2529" t="s">
        <v>1368</v>
      </c>
      <c r="M57" s="2530"/>
      <c r="N57" s="2531">
        <f ca="1">SUMIF(M52:M56,"&lt;9e307")</f>
        <v>0</v>
      </c>
      <c r="O57" s="2532"/>
      <c r="P57" s="2689" t="e">
        <f ca="1">N57/M49</f>
        <v>#VALUE!</v>
      </c>
    </row>
    <row r="58" spans="1:35" ht="24.75">
      <c r="A58" s="2334" t="s">
        <v>1352</v>
      </c>
      <c r="B58" s="3603" t="s">
        <v>1369</v>
      </c>
      <c r="C58" s="3602"/>
      <c r="D58" s="2323" t="e">
        <f ca="1">IF(H58="转让取得",C81,C97)</f>
        <v>#REF!</v>
      </c>
      <c r="E58" s="2333" t="s">
        <v>1364</v>
      </c>
      <c r="F58" s="302" t="s">
        <v>28</v>
      </c>
      <c r="G58" s="2554"/>
      <c r="H58" s="2557"/>
      <c r="I58" s="1807"/>
      <c r="J58" s="3579"/>
      <c r="K58" s="3579"/>
      <c r="L58" s="2529" t="s">
        <v>1370</v>
      </c>
      <c r="M58" s="2533"/>
      <c r="N58" s="2534" t="str">
        <f ca="1">NUMBERSTRING(INT(N57*10000),2)&amp;"元整"</f>
        <v>零元整</v>
      </c>
      <c r="O58" s="2535"/>
    </row>
    <row r="59" spans="1:35" ht="24.75" thickBot="1">
      <c r="A59" s="3583" t="s">
        <v>1371</v>
      </c>
      <c r="B59" s="3584"/>
      <c r="C59" s="3584"/>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1">
        <f>J57+1</f>
        <v>6</v>
      </c>
      <c r="K59" s="3579" t="s">
        <v>1372</v>
      </c>
      <c r="L59" s="2522" t="s">
        <v>1368</v>
      </c>
      <c r="M59" s="2536"/>
      <c r="N59" s="2537" t="e">
        <f ca="1">M49-N57</f>
        <v>#VALUE!</v>
      </c>
      <c r="O59" s="2538"/>
    </row>
    <row r="60" spans="1:35" ht="12" customHeight="1">
      <c r="A60" s="1808"/>
      <c r="B60" s="1746"/>
      <c r="C60" s="1746"/>
      <c r="D60" s="1746"/>
      <c r="E60" s="1577"/>
      <c r="F60" s="1807"/>
      <c r="G60" s="1807"/>
      <c r="H60" s="1809"/>
      <c r="I60" s="129"/>
      <c r="J60" s="3582"/>
      <c r="K60" s="3579"/>
      <c r="L60" s="2529" t="s">
        <v>1370</v>
      </c>
      <c r="M60" s="2533"/>
      <c r="N60" s="2534" t="e">
        <f ca="1">NUMBERSTRING(INT(N59*10000),2)&amp;"元整"</f>
        <v>#VALUE!</v>
      </c>
      <c r="O60" s="2535"/>
    </row>
    <row r="61" spans="1:35" ht="13.5" thickBot="1">
      <c r="A61" s="3638" t="s">
        <v>1373</v>
      </c>
      <c r="B61" s="3638"/>
      <c r="C61" s="3638"/>
      <c r="D61" s="3638"/>
      <c r="E61" s="3638"/>
      <c r="F61" s="1807"/>
      <c r="G61" s="1807"/>
      <c r="H61" s="1809"/>
      <c r="I61" s="129"/>
      <c r="J61" s="2522">
        <f>J59+1</f>
        <v>7</v>
      </c>
      <c r="K61" s="3579" t="s">
        <v>1374</v>
      </c>
      <c r="L61" s="3579"/>
      <c r="M61" s="2539"/>
      <c r="N61" s="2540" t="e">
        <f ca="1">ROUND(N59*10000/'数据-汇总表'!E3,0)</f>
        <v>#VALUE!</v>
      </c>
      <c r="O61" s="2541"/>
    </row>
    <row r="62" spans="1:35" ht="12.75">
      <c r="A62" s="3598" t="s">
        <v>1375</v>
      </c>
      <c r="B62" s="3599"/>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562"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562"/>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562"/>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562"/>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562"/>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562"/>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562"/>
      <c r="K69" s="1331" t="s">
        <v>1393</v>
      </c>
      <c r="L69" s="1331"/>
      <c r="M69" s="302" t="e">
        <f ca="1">ROUND(SUM(M63:M68),0)</f>
        <v>#VALUE!</v>
      </c>
      <c r="N69" s="2544" t="e">
        <f ca="1">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6" t="s">
        <v>1394</v>
      </c>
      <c r="B70" s="3607"/>
      <c r="C70" s="3607"/>
      <c r="D70" s="3607"/>
      <c r="E70" s="3607"/>
      <c r="F70" s="3607"/>
      <c r="G70" s="3607"/>
      <c r="H70" s="360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8" t="s">
        <v>1375</v>
      </c>
      <c r="B71" s="359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3" t="s">
        <v>1402</v>
      </c>
      <c r="F76" s="3602"/>
      <c r="G76" s="3602"/>
      <c r="H76" s="360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595" t="s">
        <v>1406</v>
      </c>
      <c r="F78" s="3596"/>
      <c r="G78" s="3596"/>
      <c r="H78" s="359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6" t="s">
        <v>1410</v>
      </c>
      <c r="B83" s="3607"/>
      <c r="C83" s="3607"/>
      <c r="D83" s="3607"/>
      <c r="E83" s="3607"/>
      <c r="F83" s="3607"/>
      <c r="G83" s="3607"/>
      <c r="H83" s="360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8" t="s">
        <v>1375</v>
      </c>
      <c r="B84" s="359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4" t="s">
        <v>2128</v>
      </c>
      <c r="H90" s="3565"/>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5" t="s">
        <v>1419</v>
      </c>
      <c r="F91" s="3596"/>
      <c r="G91" s="359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5" t="s">
        <v>1422</v>
      </c>
      <c r="F92" s="3596"/>
      <c r="G92" s="3596"/>
      <c r="H92" s="3597"/>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595" t="s">
        <v>1406</v>
      </c>
      <c r="F93" s="3596"/>
      <c r="G93" s="3596"/>
      <c r="H93" s="359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0" t="s">
        <v>1426</v>
      </c>
      <c r="F94" s="3641"/>
      <c r="G94" s="3641"/>
      <c r="H94" s="364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4" t="str">
        <f>C4</f>
        <v>比较法-办公</v>
      </c>
      <c r="D101" s="2585" t="str">
        <f>D4</f>
        <v>收益法 (元)</v>
      </c>
      <c r="E101" s="3558" t="s">
        <v>1431</v>
      </c>
      <c r="F101" s="3559"/>
      <c r="G101" s="1826" t="s">
        <v>1432</v>
      </c>
      <c r="H101" s="2594" t="e">
        <f ca="1">H118</f>
        <v>#REF!</v>
      </c>
      <c r="I101" s="129"/>
    </row>
    <row r="102" spans="1:35" ht="18.75" customHeight="1">
      <c r="A102" s="3590" t="s">
        <v>1433</v>
      </c>
      <c r="B102" s="2583" t="s">
        <v>1432</v>
      </c>
      <c r="C102" s="2584">
        <f ca="1">IF(D32="楼面单价",ROUND(C19,0),C19)</f>
        <v>386.7029</v>
      </c>
      <c r="D102" s="2585">
        <f ca="1">IF(D32="楼面单价",ROUND(D19,0),D19)</f>
        <v>264.149</v>
      </c>
      <c r="E102" s="3558"/>
      <c r="F102" s="3559"/>
      <c r="G102" s="1826" t="s">
        <v>1434</v>
      </c>
      <c r="H102" s="2554" t="e">
        <f ca="1">I118</f>
        <v>#REF!</v>
      </c>
      <c r="I102" s="129"/>
    </row>
    <row r="103" spans="1:35" ht="42.75" customHeight="1">
      <c r="A103" s="3590"/>
      <c r="B103" s="2583" t="s">
        <v>1434</v>
      </c>
      <c r="C103" s="2586">
        <f ca="1">C20</f>
        <v>26583</v>
      </c>
      <c r="D103" s="2587">
        <f ca="1">D20</f>
        <v>18158</v>
      </c>
      <c r="E103" s="3551" t="s">
        <v>1435</v>
      </c>
      <c r="F103" s="3552"/>
      <c r="G103" s="1827" t="s">
        <v>1436</v>
      </c>
      <c r="H103" s="2594">
        <f>IF(D36="正常操作",H104+H105+H106,H105+H106)</f>
        <v>0</v>
      </c>
      <c r="I103" s="129"/>
    </row>
    <row r="104" spans="1:35" ht="18.75" customHeight="1">
      <c r="A104" s="3590"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00"/>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1" t="str">
        <f>IF(项目基本情况!E8="已注销","——","3.房地产抵押价值")</f>
        <v>3.房地产抵押价值</v>
      </c>
      <c r="F107" s="3559"/>
      <c r="G107" s="1826" t="s">
        <v>1432</v>
      </c>
      <c r="H107" s="2594" t="e">
        <f ca="1">IF(E107="——","——",H101-H103)</f>
        <v>#REF!</v>
      </c>
      <c r="I107" s="129"/>
    </row>
    <row r="108" spans="1:35" ht="18.75" customHeight="1">
      <c r="A108" s="129"/>
      <c r="B108" s="129"/>
      <c r="C108" s="129"/>
      <c r="D108" s="129"/>
      <c r="E108" s="3591"/>
      <c r="F108" s="3559"/>
      <c r="G108" s="1826" t="s">
        <v>1434</v>
      </c>
      <c r="H108" s="2554">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6" t="s">
        <v>1432</v>
      </c>
      <c r="H109" s="2597" t="str">
        <f>IF(E109="——","——",H101-H105-H106)</f>
        <v>——</v>
      </c>
      <c r="I109" s="129"/>
    </row>
    <row r="110" spans="1:35" ht="18.75" customHeight="1">
      <c r="A110" s="129"/>
      <c r="B110" s="129"/>
      <c r="C110" s="129"/>
      <c r="D110" s="129"/>
      <c r="E110" s="3591"/>
      <c r="F110" s="3559"/>
      <c r="G110" s="1826" t="s">
        <v>1434</v>
      </c>
      <c r="H110" s="2554"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6" t="s">
        <v>1432</v>
      </c>
      <c r="H111" s="2594" t="str">
        <f>IF(E111="——","——",N59)</f>
        <v>——</v>
      </c>
      <c r="I111" s="129"/>
    </row>
    <row r="112" spans="1:35" ht="18.75" customHeight="1" thickBot="1">
      <c r="A112" s="129"/>
      <c r="B112" s="129"/>
      <c r="C112" s="129"/>
      <c r="D112" s="129"/>
      <c r="E112" s="3593"/>
      <c r="F112" s="3594"/>
      <c r="G112" s="1829" t="s">
        <v>1434</v>
      </c>
      <c r="H112" s="2598" t="str">
        <f>IF(E111="——","——",N61)</f>
        <v>——</v>
      </c>
      <c r="I112" s="129"/>
    </row>
    <row r="113" spans="1:27" ht="18.75" customHeight="1">
      <c r="A113" s="129"/>
      <c r="B113" s="129"/>
      <c r="C113" s="129"/>
      <c r="D113" s="129"/>
      <c r="E113" s="3601" t="s">
        <v>1440</v>
      </c>
      <c r="F113" s="3601"/>
      <c r="G113" s="3601"/>
      <c r="H113" s="3601"/>
      <c r="I113" s="129"/>
    </row>
    <row r="114" spans="1:27" ht="3.75" customHeight="1">
      <c r="A114" s="1746"/>
      <c r="B114" s="1746"/>
      <c r="C114" s="1746"/>
      <c r="D114" s="1746"/>
      <c r="E114" s="1808"/>
      <c r="F114" s="1808"/>
      <c r="G114" s="1808"/>
      <c r="H114" s="1808"/>
      <c r="I114" s="1746"/>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145.47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6" t="s">
        <v>1452</v>
      </c>
      <c r="B119" s="3566"/>
      <c r="C119" s="3566"/>
      <c r="D119" s="3572" t="e">
        <f ca="1">NUMBERSTRING(INT(D118*10000),2)&amp;"元整"</f>
        <v>#REF!</v>
      </c>
      <c r="E119" s="3573"/>
      <c r="F119" s="3572" t="e">
        <f ca="1">NUMBERSTRING(INT(F118*10000),2)&amp;"元整"</f>
        <v>#REF!</v>
      </c>
      <c r="G119" s="3573"/>
      <c r="H119" s="3572" t="e">
        <f ca="1">NUMBERSTRING(INT(H118*10000),2)&amp;"元整"</f>
        <v>#REF!</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2" t="s">
        <v>1452</v>
      </c>
      <c r="B121" s="3574"/>
      <c r="C121" s="3573"/>
      <c r="D121" s="3572" t="str">
        <f>IF(D120=0,"零元整",NUMBERSTRING(INT(D120*10000),2)&amp;"元整")</f>
        <v>零元整</v>
      </c>
      <c r="E121" s="3574"/>
      <c r="F121" s="3574"/>
      <c r="G121" s="3574"/>
      <c r="H121" s="3574"/>
      <c r="I121" s="3573"/>
      <c r="AA121" s="724"/>
    </row>
    <row r="122" spans="1:27" ht="18.75" customHeight="1">
      <c r="A122" s="3578" t="str">
        <f>IF(项目基本情况!B9="房地产市场价值","",MID(E107,3,LEN(E107)-2))</f>
        <v>房地产抵押价值</v>
      </c>
      <c r="B122" s="3578"/>
      <c r="C122" s="3578"/>
      <c r="D122" s="3567" t="e">
        <f ca="1">H107</f>
        <v>#REF!</v>
      </c>
      <c r="E122" s="3568"/>
      <c r="F122" s="3568"/>
      <c r="G122" s="3568"/>
      <c r="H122" s="3568"/>
      <c r="I122" s="3569"/>
      <c r="AA122" s="724"/>
    </row>
    <row r="123" spans="1:27" ht="18.75" customHeight="1">
      <c r="A123" s="3566" t="s">
        <v>1452</v>
      </c>
      <c r="B123" s="3566"/>
      <c r="C123" s="3566"/>
      <c r="D123" s="3572" t="e">
        <f ca="1">NUMBERSTRING(INT(D122*10000),2)&amp;"元整"</f>
        <v>#REF!</v>
      </c>
      <c r="E123" s="3574"/>
      <c r="F123" s="3574"/>
      <c r="G123" s="3574"/>
      <c r="H123" s="3574"/>
      <c r="I123" s="3573"/>
      <c r="AA123" s="724"/>
    </row>
    <row r="124" spans="1:27" ht="18.75" customHeight="1">
      <c r="A124" s="3578" t="str">
        <f>IF(项目基本情况!B9="房地产市场价值","",MID(E109,3,LEN(E109)-2))</f>
        <v/>
      </c>
      <c r="B124" s="3578"/>
      <c r="C124" s="3578"/>
      <c r="D124" s="3567" t="str">
        <f>H109</f>
        <v>——</v>
      </c>
      <c r="E124" s="3568"/>
      <c r="F124" s="3568"/>
      <c r="G124" s="3568"/>
      <c r="H124" s="3568"/>
      <c r="I124" s="3569"/>
      <c r="AA124" s="724"/>
    </row>
    <row r="125" spans="1:27" ht="18.75" customHeight="1">
      <c r="A125" s="3566" t="s">
        <v>1452</v>
      </c>
      <c r="B125" s="3566"/>
      <c r="C125" s="3566"/>
      <c r="D125" s="3572" t="e">
        <f>NUMBERSTRING(INT(D124*10000),2)&amp;"元整"</f>
        <v>#VALUE!</v>
      </c>
      <c r="E125" s="3574"/>
      <c r="F125" s="3574"/>
      <c r="G125" s="3574"/>
      <c r="H125" s="3574"/>
      <c r="I125" s="3573"/>
      <c r="AA125" s="724"/>
    </row>
    <row r="126" spans="1:27" ht="18.75" customHeight="1">
      <c r="A126" s="3578" t="str">
        <f>IF(项目基本情况!B9="房地产市场价值","",MID(E111,3,LEN(E111)-2))</f>
        <v/>
      </c>
      <c r="B126" s="3578"/>
      <c r="C126" s="3578"/>
      <c r="D126" s="3567" t="str">
        <f>H111</f>
        <v>——</v>
      </c>
      <c r="E126" s="3568"/>
      <c r="F126" s="3568"/>
      <c r="G126" s="3568"/>
      <c r="H126" s="3568"/>
      <c r="I126" s="3569"/>
      <c r="AA126" s="724"/>
    </row>
    <row r="127" spans="1:27" ht="18.75" customHeight="1">
      <c r="A127" s="3566" t="s">
        <v>1452</v>
      </c>
      <c r="B127" s="3566"/>
      <c r="C127" s="3566"/>
      <c r="D127" s="3572" t="e">
        <f>NUMBERSTRING(INT(D126*10000),2)&amp;"元整"</f>
        <v>#VALUE!</v>
      </c>
      <c r="E127" s="3574"/>
      <c r="F127" s="3574"/>
      <c r="G127" s="3574"/>
      <c r="H127" s="3574"/>
      <c r="I127" s="3573"/>
      <c r="AA127" s="724"/>
    </row>
    <row r="128" spans="1:27" ht="21.75" customHeight="1">
      <c r="A128" s="3575" t="s">
        <v>1453</v>
      </c>
      <c r="B128" s="3575"/>
      <c r="C128" s="3575"/>
      <c r="D128" s="3575"/>
      <c r="E128" s="3575"/>
      <c r="F128" s="3575"/>
      <c r="G128" s="3575"/>
      <c r="H128" s="3575"/>
      <c r="I128" s="357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5431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2.9094000000000002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2.9094000000000002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145.47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145.47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145.47</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45" t="s">
        <v>1544</v>
      </c>
    </row>
    <row r="43" spans="1:7" ht="13.5" customHeight="1">
      <c r="A43" s="779" t="s">
        <v>347</v>
      </c>
      <c r="B43" s="215" t="s">
        <v>1545</v>
      </c>
      <c r="C43" s="238">
        <f ca="1">ROUND(IF('数据-取费表'!B22&lt;=1,C39*F22*'数据-取费表'!B21/2,C39*(POWER((1+F22),'数据-取费表'!B21/2)-1)),0)</f>
        <v>0</v>
      </c>
      <c r="D43" s="238"/>
      <c r="E43" s="238"/>
      <c r="F43" s="239"/>
      <c r="G43" s="3646"/>
    </row>
    <row r="44" spans="1:7" ht="13.5" customHeight="1">
      <c r="A44" s="779" t="s">
        <v>348</v>
      </c>
      <c r="B44" s="215" t="s">
        <v>1546</v>
      </c>
      <c r="C44" s="238">
        <f ca="1">ROUND(IF('数据-取费表'!B22&lt;=1,C40*F22*'数据-取费表'!B21/2,C40*(POWER((1+F22),'数据-取费表'!B21/2)-1)),4)</f>
        <v>6.9999999999999999E-4</v>
      </c>
      <c r="D44" s="238"/>
      <c r="E44" s="238"/>
      <c r="F44" s="239"/>
      <c r="G44" s="3647"/>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9" t="s">
        <v>346</v>
      </c>
      <c r="B46" s="248" t="s">
        <v>1549</v>
      </c>
      <c r="C46" s="249">
        <f ca="1">ROUND((C33+C39)*F27,0)</f>
        <v>10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72</v>
      </c>
      <c r="D51" s="232"/>
      <c r="E51" s="232"/>
      <c r="F51" s="264"/>
      <c r="G51" s="234" t="s">
        <v>1560</v>
      </c>
    </row>
    <row r="52" spans="1:7" s="208" customFormat="1" ht="16.5" thickBot="1">
      <c r="A52" s="265" t="s">
        <v>1561</v>
      </c>
      <c r="B52" s="266"/>
      <c r="C52" s="267">
        <f ca="1">C31+C51</f>
        <v>79</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2" t="str">
        <f>项目基本情况!B1</f>
        <v>北京市房地产抵押价值预评估</v>
      </c>
      <c r="C37" s="3462"/>
      <c r="D37" s="3462"/>
      <c r="E37" s="3462"/>
      <c r="F37" s="3462"/>
      <c r="G37" s="3462"/>
      <c r="H37" s="3462"/>
      <c r="I37" s="346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5" zoomScaleNormal="70" zoomScaleSheetLayoutView="85"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3388</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386.7029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26583</v>
      </c>
      <c r="C3" s="354" t="s">
        <v>1768</v>
      </c>
      <c r="D3" s="353">
        <f>IF(D1="",'数据-汇总表'!E3,SUMIF('数据-汇总表'!$C19:$C33,D1,'数据-汇总表'!$E19:$E33))</f>
        <v>145.47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675" t="s">
        <v>1775</v>
      </c>
      <c r="Q4" s="3676"/>
      <c r="R4" s="3653" t="s">
        <v>1771</v>
      </c>
      <c r="S4" s="3654"/>
      <c r="T4" s="3653" t="s">
        <v>1772</v>
      </c>
      <c r="U4" s="3654"/>
      <c r="V4" s="3683" t="s">
        <v>1773</v>
      </c>
      <c r="W4" s="3683"/>
      <c r="X4" s="1957"/>
      <c r="Y4" s="3653" t="s">
        <v>1775</v>
      </c>
      <c r="Z4" s="3654"/>
      <c r="AA4" s="3648" t="s">
        <v>1771</v>
      </c>
      <c r="AB4" s="3648" t="s">
        <v>1772</v>
      </c>
      <c r="AC4" s="3668" t="s">
        <v>1773</v>
      </c>
    </row>
    <row r="5" spans="1:29" ht="15">
      <c r="A5" s="358"/>
      <c r="B5" s="359"/>
      <c r="C5" s="3659">
        <v>503</v>
      </c>
      <c r="D5" s="3660"/>
      <c r="E5" s="3657" t="s">
        <v>3403</v>
      </c>
      <c r="F5" s="3658"/>
      <c r="G5" s="3663" t="s">
        <v>3438</v>
      </c>
      <c r="H5" s="3660"/>
      <c r="I5" s="3663" t="s">
        <v>3438</v>
      </c>
      <c r="J5" s="3660"/>
      <c r="K5" s="559"/>
      <c r="L5" s="2714"/>
      <c r="M5" s="2715"/>
      <c r="N5" s="2715"/>
      <c r="O5" s="2715"/>
      <c r="P5" s="3677"/>
      <c r="Q5" s="3678"/>
      <c r="R5" s="3655"/>
      <c r="S5" s="3656"/>
      <c r="T5" s="3655"/>
      <c r="U5" s="3656"/>
      <c r="V5" s="3684"/>
      <c r="W5" s="3684"/>
      <c r="X5" s="1354"/>
      <c r="Y5" s="3655"/>
      <c r="Z5" s="3656"/>
      <c r="AA5" s="3649"/>
      <c r="AB5" s="3649"/>
      <c r="AC5" s="3669"/>
    </row>
    <row r="6" spans="1:29" ht="15.75" thickBot="1">
      <c r="A6" s="360"/>
      <c r="B6" s="361"/>
      <c r="C6" s="3661" t="s">
        <v>1677</v>
      </c>
      <c r="D6" s="3662"/>
      <c r="E6" s="3664" t="s">
        <v>3406</v>
      </c>
      <c r="F6" s="3665"/>
      <c r="G6" s="3666" t="s">
        <v>3405</v>
      </c>
      <c r="H6" s="3662"/>
      <c r="I6" s="3666" t="s">
        <v>3404</v>
      </c>
      <c r="J6" s="3662"/>
      <c r="K6" s="559" t="s">
        <v>1678</v>
      </c>
      <c r="L6" s="2714"/>
      <c r="M6" s="2715"/>
      <c r="N6" s="2715"/>
      <c r="O6" s="2715"/>
      <c r="P6" s="3679"/>
      <c r="Q6" s="3680"/>
      <c r="R6" s="3655"/>
      <c r="S6" s="3656"/>
      <c r="T6" s="3681"/>
      <c r="U6" s="3682"/>
      <c r="V6" s="3684"/>
      <c r="W6" s="3684"/>
      <c r="X6" s="1354"/>
      <c r="Y6" s="3681"/>
      <c r="Z6" s="3682"/>
      <c r="AA6" s="3650"/>
      <c r="AB6" s="3650"/>
      <c r="AC6" s="3670"/>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85" t="s">
        <v>1680</v>
      </c>
      <c r="Q7" s="3686"/>
      <c r="R7" s="700" t="s">
        <v>14</v>
      </c>
      <c r="S7" s="701">
        <f t="shared" ref="S7:S15" si="0">F7</f>
        <v>100</v>
      </c>
      <c r="T7" s="700" t="s">
        <v>14</v>
      </c>
      <c r="U7" s="701">
        <f t="shared" ref="U7:U15" si="1">H7</f>
        <v>100</v>
      </c>
      <c r="V7" s="700" t="s">
        <v>14</v>
      </c>
      <c r="W7" s="701">
        <f t="shared" ref="W7:W15" si="2">J7</f>
        <v>100</v>
      </c>
      <c r="X7" s="702"/>
      <c r="Y7" s="3651" t="s">
        <v>1680</v>
      </c>
      <c r="Z7" s="3652"/>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104</v>
      </c>
      <c r="G8" s="368" t="s">
        <v>3408</v>
      </c>
      <c r="H8" s="365">
        <f>SUMIF(62:62,G8,63:63)-SUMIF(62:62,C8,63:63)+100</f>
        <v>104</v>
      </c>
      <c r="I8" s="368" t="s">
        <v>3408</v>
      </c>
      <c r="J8" s="365">
        <f>SUMIF(62:62,I8,63:63)-SUMIF(62:62,C8,63:63)+100</f>
        <v>104</v>
      </c>
      <c r="K8" s="560"/>
      <c r="L8" s="2716"/>
      <c r="M8" s="2717"/>
      <c r="N8" s="2717"/>
      <c r="O8" s="2717"/>
      <c r="P8" s="3685" t="s">
        <v>1683</v>
      </c>
      <c r="Q8" s="3652"/>
      <c r="R8" s="700" t="s">
        <v>14</v>
      </c>
      <c r="S8" s="701">
        <f t="shared" si="0"/>
        <v>104</v>
      </c>
      <c r="T8" s="700" t="s">
        <v>14</v>
      </c>
      <c r="U8" s="701">
        <f t="shared" si="1"/>
        <v>104</v>
      </c>
      <c r="V8" s="700" t="s">
        <v>14</v>
      </c>
      <c r="W8" s="701">
        <f t="shared" si="2"/>
        <v>104</v>
      </c>
      <c r="X8" s="702"/>
      <c r="Y8" s="3651" t="s">
        <v>1683</v>
      </c>
      <c r="Z8" s="3652"/>
      <c r="AA8" s="703">
        <f t="shared" ref="AA8:AA47" si="3">D8/F8</f>
        <v>0.96153846153846156</v>
      </c>
      <c r="AB8" s="703">
        <f t="shared" ref="AB8:AB47" si="4">D8/H8</f>
        <v>0.96153846153846156</v>
      </c>
      <c r="AC8" s="1958">
        <f t="shared" ref="AC8:AC47" si="5">D8/J8</f>
        <v>0.96153846153846156</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67"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7"/>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7"/>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7"/>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67"/>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98</v>
      </c>
      <c r="I15" s="393"/>
      <c r="J15" s="392">
        <f>SUMIF(77:77,I16,78:78)-SUMIF(77:77,C16,78:78)+100</f>
        <v>98</v>
      </c>
      <c r="K15" s="563">
        <v>2</v>
      </c>
      <c r="L15" s="2721"/>
      <c r="M15" s="2715"/>
      <c r="N15" s="2715"/>
      <c r="O15" s="2715"/>
      <c r="P15" s="3687" t="s">
        <v>1691</v>
      </c>
      <c r="Q15" s="1351" t="str">
        <f t="shared" si="6"/>
        <v>办公集聚程度</v>
      </c>
      <c r="R15" s="704" t="s">
        <v>14</v>
      </c>
      <c r="S15" s="705">
        <f t="shared" si="0"/>
        <v>100</v>
      </c>
      <c r="T15" s="704" t="s">
        <v>14</v>
      </c>
      <c r="U15" s="705">
        <f t="shared" si="1"/>
        <v>98</v>
      </c>
      <c r="V15" s="704" t="s">
        <v>14</v>
      </c>
      <c r="W15" s="705">
        <f t="shared" si="2"/>
        <v>98</v>
      </c>
      <c r="X15" s="1354"/>
      <c r="Y15" s="3689" t="s">
        <v>1691</v>
      </c>
      <c r="Z15" s="1355" t="str">
        <f t="shared" si="7"/>
        <v>办公集聚程度</v>
      </c>
      <c r="AA15" s="1352">
        <f t="shared" si="3"/>
        <v>1</v>
      </c>
      <c r="AB15" s="1352">
        <f t="shared" si="4"/>
        <v>1.0204081632653061</v>
      </c>
      <c r="AC15" s="1961">
        <f t="shared" si="5"/>
        <v>1.0204081632653061</v>
      </c>
    </row>
    <row r="16" spans="1:29" ht="15">
      <c r="A16" s="379"/>
      <c r="B16" s="578"/>
      <c r="C16" s="1903" t="s">
        <v>3382</v>
      </c>
      <c r="D16" s="399"/>
      <c r="E16" s="1903" t="s">
        <v>3382</v>
      </c>
      <c r="F16" s="399"/>
      <c r="G16" s="1903" t="s">
        <v>3383</v>
      </c>
      <c r="H16" s="401"/>
      <c r="I16" s="1903" t="s">
        <v>3383</v>
      </c>
      <c r="J16" s="399"/>
      <c r="K16" s="564"/>
      <c r="L16" s="2721"/>
      <c r="M16" s="2715"/>
      <c r="N16" s="2715"/>
      <c r="O16" s="2715"/>
      <c r="P16" s="3688"/>
      <c r="Q16" s="1351"/>
      <c r="R16" s="704"/>
      <c r="S16" s="705"/>
      <c r="T16" s="704"/>
      <c r="U16" s="705"/>
      <c r="V16" s="704"/>
      <c r="W16" s="705"/>
      <c r="X16" s="1354"/>
      <c r="Y16" s="3690"/>
      <c r="Z16" s="1355"/>
      <c r="AA16" s="1352">
        <v>1</v>
      </c>
      <c r="AB16" s="13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88"/>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88"/>
      <c r="Q18" s="1351"/>
      <c r="R18" s="704"/>
      <c r="S18" s="705"/>
      <c r="T18" s="704"/>
      <c r="U18" s="705"/>
      <c r="V18" s="704"/>
      <c r="W18" s="705"/>
      <c r="X18" s="1354"/>
      <c r="Y18" s="3690"/>
      <c r="Z18" s="1355"/>
      <c r="AA18" s="1352">
        <v>1</v>
      </c>
      <c r="AB18" s="13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688"/>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961">
        <f t="shared" si="5"/>
        <v>1</v>
      </c>
    </row>
    <row r="20" spans="1:29" ht="15">
      <c r="A20" s="379"/>
      <c r="B20" s="580"/>
      <c r="C20" s="1903" t="s">
        <v>3383</v>
      </c>
      <c r="D20" s="399"/>
      <c r="E20" s="1903" t="s">
        <v>3383</v>
      </c>
      <c r="F20" s="399"/>
      <c r="G20" s="1903" t="s">
        <v>3383</v>
      </c>
      <c r="H20" s="399"/>
      <c r="I20" s="1903" t="s">
        <v>3383</v>
      </c>
      <c r="J20" s="399"/>
      <c r="K20" s="564"/>
      <c r="L20" s="2721"/>
      <c r="M20" s="2715"/>
      <c r="N20" s="2715"/>
      <c r="O20" s="2715"/>
      <c r="P20" s="3688"/>
      <c r="Q20" s="1351"/>
      <c r="R20" s="704"/>
      <c r="S20" s="705"/>
      <c r="T20" s="704"/>
      <c r="U20" s="705"/>
      <c r="V20" s="704"/>
      <c r="W20" s="705"/>
      <c r="X20" s="1354"/>
      <c r="Y20" s="3690"/>
      <c r="Z20" s="1355"/>
      <c r="AA20" s="1352">
        <v>1</v>
      </c>
      <c r="AB20" s="13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88"/>
      <c r="Q22" s="1351"/>
      <c r="R22" s="704"/>
      <c r="S22" s="705"/>
      <c r="T22" s="704"/>
      <c r="U22" s="705"/>
      <c r="V22" s="704"/>
      <c r="W22" s="705"/>
      <c r="X22" s="1354"/>
      <c r="Y22" s="3690"/>
      <c r="Z22" s="1355"/>
      <c r="AA22" s="1352">
        <v>1</v>
      </c>
      <c r="AB22" s="13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88"/>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88"/>
      <c r="Q24" s="1351"/>
      <c r="R24" s="704"/>
      <c r="S24" s="705"/>
      <c r="T24" s="704"/>
      <c r="U24" s="705"/>
      <c r="V24" s="704"/>
      <c r="W24" s="705"/>
      <c r="X24" s="1354"/>
      <c r="Y24" s="3690"/>
      <c r="Z24" s="1355"/>
      <c r="AA24" s="1352">
        <v>1</v>
      </c>
      <c r="AB24" s="1352">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8"/>
      <c r="Q25" s="1351" t="str">
        <f>B25</f>
        <v>毗邻道路的类型与等级</v>
      </c>
      <c r="R25" s="704" t="s">
        <v>14</v>
      </c>
      <c r="S25" s="705">
        <f>F25</f>
        <v>100</v>
      </c>
      <c r="T25" s="704" t="s">
        <v>14</v>
      </c>
      <c r="U25" s="705">
        <f>H25</f>
        <v>100</v>
      </c>
      <c r="V25" s="704" t="s">
        <v>14</v>
      </c>
      <c r="W25" s="705">
        <f>J25</f>
        <v>100</v>
      </c>
      <c r="X25" s="1354"/>
      <c r="Y25" s="3690"/>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688"/>
      <c r="Q26" s="1351"/>
      <c r="R26" s="704"/>
      <c r="S26" s="705"/>
      <c r="T26" s="704"/>
      <c r="U26" s="705"/>
      <c r="V26" s="704"/>
      <c r="W26" s="705"/>
      <c r="X26" s="1354"/>
      <c r="Y26" s="3690"/>
      <c r="Z26" s="1355"/>
      <c r="AA26" s="1352">
        <v>1</v>
      </c>
      <c r="AB26" s="1352">
        <v>1</v>
      </c>
      <c r="AC26" s="1961">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8"/>
      <c r="Q27" s="1351" t="str">
        <f t="shared" ref="Q27:Q47" si="11">B27</f>
        <v>楼层</v>
      </c>
      <c r="R27" s="704" t="s">
        <v>14</v>
      </c>
      <c r="S27" s="705">
        <f>F27</f>
        <v>100</v>
      </c>
      <c r="T27" s="704" t="s">
        <v>14</v>
      </c>
      <c r="U27" s="705">
        <f>H27</f>
        <v>100</v>
      </c>
      <c r="V27" s="704" t="s">
        <v>14</v>
      </c>
      <c r="W27" s="705">
        <f>J27</f>
        <v>100</v>
      </c>
      <c r="X27" s="1354"/>
      <c r="Y27" s="3690"/>
      <c r="Z27" s="1355" t="str">
        <f>Q27</f>
        <v>楼层</v>
      </c>
      <c r="AA27" s="1352">
        <f t="shared" si="3"/>
        <v>1</v>
      </c>
      <c r="AB27" s="13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8"/>
      <c r="Q28" s="1342" t="str">
        <f t="shared" si="11"/>
        <v>朝向</v>
      </c>
      <c r="R28" s="700" t="s">
        <v>14</v>
      </c>
      <c r="S28" s="701">
        <f>F28</f>
        <v>100</v>
      </c>
      <c r="T28" s="700" t="s">
        <v>14</v>
      </c>
      <c r="U28" s="701">
        <f>H28</f>
        <v>100</v>
      </c>
      <c r="V28" s="700" t="s">
        <v>14</v>
      </c>
      <c r="W28" s="701">
        <f>J28</f>
        <v>100</v>
      </c>
      <c r="X28" s="702"/>
      <c r="Y28" s="3690"/>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8"/>
      <c r="Q29" s="1351">
        <f t="shared" si="11"/>
        <v>111</v>
      </c>
      <c r="R29" s="704" t="s">
        <v>14</v>
      </c>
      <c r="S29" s="705">
        <f t="shared" ref="S29:S47" si="12">F29</f>
        <v>100</v>
      </c>
      <c r="T29" s="704" t="s">
        <v>14</v>
      </c>
      <c r="U29" s="705">
        <f t="shared" ref="U29:U47" si="13">H29</f>
        <v>100</v>
      </c>
      <c r="V29" s="704" t="s">
        <v>14</v>
      </c>
      <c r="W29" s="705">
        <f t="shared" ref="W29:W47" si="14">J29</f>
        <v>100</v>
      </c>
      <c r="X29" s="1354"/>
      <c r="Y29" s="3690"/>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8"/>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8"/>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8"/>
      <c r="Q32" s="1351">
        <f t="shared" si="11"/>
        <v>111</v>
      </c>
      <c r="R32" s="704" t="s">
        <v>14</v>
      </c>
      <c r="S32" s="705">
        <f t="shared" si="12"/>
        <v>100</v>
      </c>
      <c r="T32" s="704" t="s">
        <v>14</v>
      </c>
      <c r="U32" s="705">
        <f t="shared" si="13"/>
        <v>100</v>
      </c>
      <c r="V32" s="704" t="s">
        <v>14</v>
      </c>
      <c r="W32" s="705">
        <f t="shared" si="14"/>
        <v>100</v>
      </c>
      <c r="X32" s="1354"/>
      <c r="Y32" s="3690"/>
      <c r="Z32" s="1355">
        <f t="shared" si="15"/>
        <v>111</v>
      </c>
      <c r="AA32" s="1352">
        <f t="shared" si="3"/>
        <v>1</v>
      </c>
      <c r="AB32" s="13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91" t="s">
        <v>1696</v>
      </c>
      <c r="Q33" s="1351" t="str">
        <f t="shared" si="11"/>
        <v>建筑类型</v>
      </c>
      <c r="R33" s="704" t="s">
        <v>14</v>
      </c>
      <c r="S33" s="705">
        <f t="shared" si="12"/>
        <v>100</v>
      </c>
      <c r="T33" s="704" t="s">
        <v>14</v>
      </c>
      <c r="U33" s="705">
        <f t="shared" si="13"/>
        <v>100</v>
      </c>
      <c r="V33" s="704" t="s">
        <v>14</v>
      </c>
      <c r="W33" s="705">
        <f t="shared" si="14"/>
        <v>100</v>
      </c>
      <c r="X33" s="1354"/>
      <c r="Y33" s="3694"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145.47</v>
      </c>
      <c r="D34" s="127">
        <v>100</v>
      </c>
      <c r="E34" s="420">
        <v>2000</v>
      </c>
      <c r="F34" s="376">
        <f>LOOKUP(E34,104:104,105:105)-LOOKUP(C34,104:104,105:105)+100</f>
        <v>98</v>
      </c>
      <c r="G34" s="420">
        <v>1500</v>
      </c>
      <c r="H34" s="127">
        <f>LOOKUP(G34,104:104,105:105)-LOOKUP(C34,104:104,105:105)+100</f>
        <v>98</v>
      </c>
      <c r="I34" s="420">
        <v>500</v>
      </c>
      <c r="J34" s="127">
        <f>LOOKUP(I34,104:104,105:105)-LOOKUP(C34,104:104,105:105)+100</f>
        <v>99</v>
      </c>
      <c r="K34" s="562"/>
      <c r="L34" s="2720"/>
      <c r="M34" s="2722"/>
      <c r="N34" s="2722"/>
      <c r="O34" s="2722"/>
      <c r="P34" s="3692"/>
      <c r="Q34" s="706" t="str">
        <f t="shared" si="11"/>
        <v>项目建筑规模</v>
      </c>
      <c r="R34" s="707" t="s">
        <v>14</v>
      </c>
      <c r="S34" s="708">
        <f t="shared" si="12"/>
        <v>98</v>
      </c>
      <c r="T34" s="707" t="s">
        <v>14</v>
      </c>
      <c r="U34" s="708">
        <f t="shared" si="13"/>
        <v>98</v>
      </c>
      <c r="V34" s="707" t="s">
        <v>14</v>
      </c>
      <c r="W34" s="708">
        <f t="shared" si="14"/>
        <v>99</v>
      </c>
      <c r="X34" s="709"/>
      <c r="Y34" s="3694"/>
      <c r="Z34" s="710" t="str">
        <f t="shared" si="15"/>
        <v>项目建筑规模</v>
      </c>
      <c r="AA34" s="1352">
        <f t="shared" si="3"/>
        <v>1.0204081632653061</v>
      </c>
      <c r="AB34" s="1352">
        <f t="shared" si="4"/>
        <v>1.0204081632653061</v>
      </c>
      <c r="AC34" s="1961">
        <f t="shared" si="5"/>
        <v>1.0101010101010102</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92"/>
      <c r="Q35" s="1351" t="str">
        <f t="shared" si="11"/>
        <v>建筑结构</v>
      </c>
      <c r="R35" s="704" t="s">
        <v>14</v>
      </c>
      <c r="S35" s="705">
        <f t="shared" si="12"/>
        <v>100</v>
      </c>
      <c r="T35" s="704" t="s">
        <v>14</v>
      </c>
      <c r="U35" s="705">
        <f t="shared" si="13"/>
        <v>100</v>
      </c>
      <c r="V35" s="704" t="s">
        <v>14</v>
      </c>
      <c r="W35" s="705">
        <f t="shared" si="14"/>
        <v>100</v>
      </c>
      <c r="X35" s="1354"/>
      <c r="Y35" s="3694"/>
      <c r="Z35" s="1355" t="str">
        <f t="shared" si="15"/>
        <v>建筑结构</v>
      </c>
      <c r="AA35" s="1352">
        <f t="shared" si="3"/>
        <v>1</v>
      </c>
      <c r="AB35" s="13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92"/>
      <c r="Q36" s="1351" t="str">
        <f t="shared" si="11"/>
        <v>公共部分装修</v>
      </c>
      <c r="R36" s="704" t="s">
        <v>14</v>
      </c>
      <c r="S36" s="705">
        <f t="shared" si="12"/>
        <v>100</v>
      </c>
      <c r="T36" s="704" t="s">
        <v>14</v>
      </c>
      <c r="U36" s="705">
        <f t="shared" si="13"/>
        <v>100</v>
      </c>
      <c r="V36" s="704" t="s">
        <v>14</v>
      </c>
      <c r="W36" s="705">
        <f t="shared" si="14"/>
        <v>100</v>
      </c>
      <c r="X36" s="1354"/>
      <c r="Y36" s="3694"/>
      <c r="Z36" s="1355" t="str">
        <f t="shared" si="15"/>
        <v>公共部分装修</v>
      </c>
      <c r="AA36" s="1352">
        <f t="shared" si="3"/>
        <v>1</v>
      </c>
      <c r="AB36" s="13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92"/>
      <c r="Q37" s="1351" t="str">
        <f t="shared" si="11"/>
        <v>成新度</v>
      </c>
      <c r="R37" s="704" t="s">
        <v>14</v>
      </c>
      <c r="S37" s="705">
        <f t="shared" si="12"/>
        <v>100</v>
      </c>
      <c r="T37" s="704" t="s">
        <v>14</v>
      </c>
      <c r="U37" s="705">
        <f t="shared" si="13"/>
        <v>100</v>
      </c>
      <c r="V37" s="704" t="s">
        <v>14</v>
      </c>
      <c r="W37" s="705">
        <f t="shared" si="14"/>
        <v>100</v>
      </c>
      <c r="X37" s="1354"/>
      <c r="Y37" s="3694"/>
      <c r="Z37" s="1355" t="str">
        <f t="shared" si="15"/>
        <v>成新度</v>
      </c>
      <c r="AA37" s="1352">
        <f t="shared" si="3"/>
        <v>1</v>
      </c>
      <c r="AB37" s="13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92"/>
      <c r="Q38" s="1342" t="str">
        <f t="shared" si="11"/>
        <v>写字楼等级</v>
      </c>
      <c r="R38" s="700" t="s">
        <v>14</v>
      </c>
      <c r="S38" s="701">
        <f t="shared" si="12"/>
        <v>100</v>
      </c>
      <c r="T38" s="700" t="s">
        <v>14</v>
      </c>
      <c r="U38" s="701">
        <f t="shared" si="13"/>
        <v>100</v>
      </c>
      <c r="V38" s="700" t="s">
        <v>14</v>
      </c>
      <c r="W38" s="701">
        <f t="shared" si="14"/>
        <v>100</v>
      </c>
      <c r="X38" s="702"/>
      <c r="Y38" s="3694"/>
      <c r="Z38" s="52"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92" t="s">
        <v>1696</v>
      </c>
      <c r="Q39" s="1351" t="str">
        <f t="shared" si="11"/>
        <v>物业管理</v>
      </c>
      <c r="R39" s="704" t="s">
        <v>14</v>
      </c>
      <c r="S39" s="705">
        <f t="shared" si="12"/>
        <v>100</v>
      </c>
      <c r="T39" s="704" t="s">
        <v>14</v>
      </c>
      <c r="U39" s="705">
        <f t="shared" si="13"/>
        <v>100</v>
      </c>
      <c r="V39" s="704" t="s">
        <v>14</v>
      </c>
      <c r="W39" s="705">
        <f t="shared" si="14"/>
        <v>100</v>
      </c>
      <c r="X39" s="1354"/>
      <c r="Y39" s="3694" t="s">
        <v>1696</v>
      </c>
      <c r="Z39" s="1355" t="str">
        <f t="shared" si="15"/>
        <v>物业管理</v>
      </c>
      <c r="AA39" s="1352">
        <f t="shared" si="3"/>
        <v>1</v>
      </c>
      <c r="AB39" s="13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92"/>
      <c r="Q40" s="1351" t="str">
        <f t="shared" si="11"/>
        <v>市政基础设施</v>
      </c>
      <c r="R40" s="704" t="s">
        <v>14</v>
      </c>
      <c r="S40" s="705">
        <f t="shared" si="12"/>
        <v>100</v>
      </c>
      <c r="T40" s="704" t="s">
        <v>14</v>
      </c>
      <c r="U40" s="705">
        <f t="shared" si="13"/>
        <v>100</v>
      </c>
      <c r="V40" s="704" t="s">
        <v>14</v>
      </c>
      <c r="W40" s="705">
        <f t="shared" si="14"/>
        <v>100</v>
      </c>
      <c r="X40" s="1354"/>
      <c r="Y40" s="3694"/>
      <c r="Z40" s="1355" t="str">
        <f t="shared" si="15"/>
        <v>市政基础设施</v>
      </c>
      <c r="AA40" s="1352">
        <f t="shared" si="3"/>
        <v>1</v>
      </c>
      <c r="AB40" s="13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92"/>
      <c r="Q41" s="1351" t="str">
        <f t="shared" si="11"/>
        <v>层高</v>
      </c>
      <c r="R41" s="704" t="s">
        <v>14</v>
      </c>
      <c r="S41" s="705">
        <f t="shared" si="12"/>
        <v>100</v>
      </c>
      <c r="T41" s="704" t="s">
        <v>14</v>
      </c>
      <c r="U41" s="705">
        <f t="shared" si="13"/>
        <v>100</v>
      </c>
      <c r="V41" s="704" t="s">
        <v>14</v>
      </c>
      <c r="W41" s="705">
        <f t="shared" si="14"/>
        <v>100</v>
      </c>
      <c r="X41" s="1354"/>
      <c r="Y41" s="3694"/>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2"/>
      <c r="Q42" s="706" t="str">
        <f t="shared" si="11"/>
        <v>单套建筑面积</v>
      </c>
      <c r="R42" s="707" t="s">
        <v>14</v>
      </c>
      <c r="S42" s="708">
        <f t="shared" si="12"/>
        <v>100</v>
      </c>
      <c r="T42" s="707" t="s">
        <v>14</v>
      </c>
      <c r="U42" s="708">
        <f t="shared" si="13"/>
        <v>100</v>
      </c>
      <c r="V42" s="707" t="s">
        <v>14</v>
      </c>
      <c r="W42" s="708">
        <f t="shared" si="14"/>
        <v>100</v>
      </c>
      <c r="X42" s="709"/>
      <c r="Y42" s="3694"/>
      <c r="Z42" s="710" t="str">
        <f t="shared" si="15"/>
        <v>单套建筑面积</v>
      </c>
      <c r="AA42" s="1352">
        <f t="shared" si="3"/>
        <v>1</v>
      </c>
      <c r="AB42" s="1352">
        <f t="shared" si="4"/>
        <v>1</v>
      </c>
      <c r="AC42" s="1961">
        <f t="shared" si="5"/>
        <v>1</v>
      </c>
    </row>
    <row r="43" spans="1:29" ht="15">
      <c r="A43" s="423"/>
      <c r="B43" s="375" t="s">
        <v>1792</v>
      </c>
      <c r="C43" s="411" t="s">
        <v>3430</v>
      </c>
      <c r="D43" s="386">
        <v>100</v>
      </c>
      <c r="E43" s="411" t="s">
        <v>3430</v>
      </c>
      <c r="F43" s="412">
        <f>SUMIF(123:123,E43,124:124)-SUMIF(123:123,C43,124:124)+100</f>
        <v>100</v>
      </c>
      <c r="G43" s="411" t="s">
        <v>3435</v>
      </c>
      <c r="H43" s="386">
        <f>SUMIF(123:123,G43,124:124)-SUMIF(123:123,C43,124:124)+100</f>
        <v>101</v>
      </c>
      <c r="I43" s="411" t="s">
        <v>3435</v>
      </c>
      <c r="J43" s="386">
        <f>SUMIF(123:123,I43,124:124)-SUMIF(123:123,C43,124:124)+100</f>
        <v>101</v>
      </c>
      <c r="K43" s="561">
        <v>1</v>
      </c>
      <c r="L43" s="2721"/>
      <c r="M43" s="2715"/>
      <c r="N43" s="2715"/>
      <c r="O43" s="2715"/>
      <c r="P43" s="3692"/>
      <c r="Q43" s="1351" t="str">
        <f t="shared" si="11"/>
        <v>内部装修</v>
      </c>
      <c r="R43" s="704" t="s">
        <v>14</v>
      </c>
      <c r="S43" s="705">
        <f t="shared" si="12"/>
        <v>100</v>
      </c>
      <c r="T43" s="704" t="s">
        <v>14</v>
      </c>
      <c r="U43" s="705">
        <f t="shared" si="13"/>
        <v>101</v>
      </c>
      <c r="V43" s="704" t="s">
        <v>14</v>
      </c>
      <c r="W43" s="705">
        <f t="shared" si="14"/>
        <v>101</v>
      </c>
      <c r="X43" s="1354"/>
      <c r="Y43" s="3694"/>
      <c r="Z43" s="1355" t="str">
        <f t="shared" si="15"/>
        <v>内部装修</v>
      </c>
      <c r="AA43" s="1352">
        <f t="shared" si="3"/>
        <v>1</v>
      </c>
      <c r="AB43" s="1352">
        <f t="shared" si="4"/>
        <v>0.99009900990099009</v>
      </c>
      <c r="AC43" s="1961">
        <f t="shared" si="5"/>
        <v>0.99009900990099009</v>
      </c>
    </row>
    <row r="44" spans="1:29" ht="15.75" thickBot="1">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92"/>
      <c r="Q44" s="1351" t="str">
        <f t="shared" si="11"/>
        <v>内部装修维护情况</v>
      </c>
      <c r="R44" s="704" t="s">
        <v>14</v>
      </c>
      <c r="S44" s="705">
        <f t="shared" si="12"/>
        <v>100</v>
      </c>
      <c r="T44" s="704" t="s">
        <v>14</v>
      </c>
      <c r="U44" s="705">
        <f t="shared" si="13"/>
        <v>100</v>
      </c>
      <c r="V44" s="704" t="s">
        <v>14</v>
      </c>
      <c r="W44" s="705">
        <f t="shared" si="14"/>
        <v>100</v>
      </c>
      <c r="X44" s="1354"/>
      <c r="Y44" s="3694"/>
      <c r="Z44" s="1355" t="str">
        <f t="shared" si="15"/>
        <v>内部装修维护情况</v>
      </c>
      <c r="AA44" s="1352">
        <f t="shared" si="3"/>
        <v>1</v>
      </c>
      <c r="AB44" s="1352">
        <f t="shared" si="4"/>
        <v>1</v>
      </c>
      <c r="AC44" s="1961">
        <f t="shared" si="5"/>
        <v>1</v>
      </c>
    </row>
    <row r="45" spans="1:29" s="108" customFormat="1" ht="15" hidden="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2"/>
      <c r="Q45" s="1342">
        <f t="shared" si="11"/>
        <v>111</v>
      </c>
      <c r="R45" s="700" t="s">
        <v>14</v>
      </c>
      <c r="S45" s="701">
        <f t="shared" si="12"/>
        <v>100</v>
      </c>
      <c r="T45" s="700" t="s">
        <v>14</v>
      </c>
      <c r="U45" s="701">
        <f t="shared" si="13"/>
        <v>100</v>
      </c>
      <c r="V45" s="700" t="s">
        <v>14</v>
      </c>
      <c r="W45" s="701">
        <f t="shared" si="14"/>
        <v>100</v>
      </c>
      <c r="X45" s="702"/>
      <c r="Y45" s="3694"/>
      <c r="Z45" s="52">
        <f t="shared" si="15"/>
        <v>111</v>
      </c>
      <c r="AA45" s="703">
        <f t="shared" si="3"/>
        <v>1</v>
      </c>
      <c r="AB45" s="703">
        <f t="shared" si="4"/>
        <v>1</v>
      </c>
      <c r="AC45" s="1958">
        <f t="shared" si="5"/>
        <v>1</v>
      </c>
    </row>
    <row r="46" spans="1:29" ht="15" hidden="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2"/>
      <c r="Q46" s="1351">
        <f t="shared" si="11"/>
        <v>111</v>
      </c>
      <c r="R46" s="704" t="s">
        <v>14</v>
      </c>
      <c r="S46" s="705">
        <f t="shared" si="12"/>
        <v>100</v>
      </c>
      <c r="T46" s="704" t="s">
        <v>14</v>
      </c>
      <c r="U46" s="705">
        <f t="shared" si="13"/>
        <v>100</v>
      </c>
      <c r="V46" s="704" t="s">
        <v>14</v>
      </c>
      <c r="W46" s="705">
        <f t="shared" si="14"/>
        <v>100</v>
      </c>
      <c r="X46" s="1354"/>
      <c r="Y46" s="3694"/>
      <c r="Z46" s="1355">
        <f t="shared" si="15"/>
        <v>111</v>
      </c>
      <c r="AA46" s="1352">
        <f t="shared" si="3"/>
        <v>1</v>
      </c>
      <c r="AB46" s="13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3"/>
      <c r="Q47" s="1351">
        <f t="shared" si="11"/>
        <v>111</v>
      </c>
      <c r="R47" s="704" t="s">
        <v>14</v>
      </c>
      <c r="S47" s="705">
        <f t="shared" si="12"/>
        <v>100</v>
      </c>
      <c r="T47" s="704" t="s">
        <v>14</v>
      </c>
      <c r="U47" s="705">
        <f t="shared" si="13"/>
        <v>100</v>
      </c>
      <c r="V47" s="704" t="s">
        <v>14</v>
      </c>
      <c r="W47" s="705">
        <f t="shared" si="14"/>
        <v>100</v>
      </c>
      <c r="X47" s="1354"/>
      <c r="Y47" s="3695"/>
      <c r="Z47" s="1355">
        <f t="shared" si="15"/>
        <v>111</v>
      </c>
      <c r="AA47" s="1352">
        <f t="shared" si="3"/>
        <v>1</v>
      </c>
      <c r="AB47" s="1352">
        <f t="shared" si="4"/>
        <v>1</v>
      </c>
      <c r="AC47" s="1961">
        <f t="shared" si="5"/>
        <v>1</v>
      </c>
    </row>
    <row r="48" spans="1:29" ht="15">
      <c r="A48" s="430" t="s">
        <v>1708</v>
      </c>
      <c r="B48" s="431"/>
      <c r="C48" s="1153" t="s">
        <v>0</v>
      </c>
      <c r="D48" s="1154"/>
      <c r="E48" s="1155">
        <v>25000</v>
      </c>
      <c r="F48" s="1156"/>
      <c r="G48" s="1157">
        <v>27000</v>
      </c>
      <c r="H48" s="1158"/>
      <c r="I48" s="1155">
        <v>29000</v>
      </c>
      <c r="J48" s="436"/>
      <c r="K48" s="713"/>
      <c r="L48" s="2723"/>
      <c r="M48" s="2715"/>
      <c r="N48" s="2715"/>
      <c r="O48" s="2715"/>
      <c r="P48" s="3667" t="str">
        <f>A48</f>
        <v>成交单价（元/平方米）</v>
      </c>
      <c r="Q48" s="3696"/>
      <c r="R48" s="3697">
        <f>E48</f>
        <v>25000</v>
      </c>
      <c r="S48" s="3697"/>
      <c r="T48" s="3697">
        <f>G48</f>
        <v>27000</v>
      </c>
      <c r="U48" s="3697"/>
      <c r="V48" s="3697">
        <f>I48</f>
        <v>29000</v>
      </c>
      <c r="W48" s="3697"/>
      <c r="X48" s="397"/>
      <c r="Y48" s="711"/>
      <c r="Z48" s="397"/>
      <c r="AA48" s="397"/>
      <c r="AB48" s="397"/>
      <c r="AC48" s="578"/>
    </row>
    <row r="49" spans="1:29" ht="15.75" thickBot="1">
      <c r="A49" s="437" t="s">
        <v>1793</v>
      </c>
      <c r="B49" s="438"/>
      <c r="C49" s="1159">
        <f>R50</f>
        <v>26583</v>
      </c>
      <c r="D49" s="2316" t="s">
        <v>2137</v>
      </c>
      <c r="E49" s="1160">
        <f>R49</f>
        <v>24529</v>
      </c>
      <c r="F49" s="2317"/>
      <c r="G49" s="1159">
        <f>T49</f>
        <v>26764</v>
      </c>
      <c r="H49" s="2317"/>
      <c r="I49" s="1160">
        <f>V49</f>
        <v>28457</v>
      </c>
      <c r="J49" s="2317"/>
      <c r="K49" s="2319">
        <f>F49+H49+J49</f>
        <v>0</v>
      </c>
      <c r="L49" s="2723"/>
      <c r="M49" s="2715"/>
      <c r="N49" s="2715"/>
      <c r="O49" s="2715"/>
      <c r="P49" s="3667" t="str">
        <f>A49</f>
        <v>比较价值（元/平方米）</v>
      </c>
      <c r="Q49" s="3696"/>
      <c r="R49" s="3697">
        <f>IF(F1="售价",ROUND(PRODUCT(R48,AA7:AA47),0),ROUND(PRODUCT(R48,AA7:AA47),1))</f>
        <v>24529</v>
      </c>
      <c r="S49" s="3697"/>
      <c r="T49" s="3697">
        <f>IF(F1="售价",ROUND(PRODUCT(T48,AB7:AB47),0),ROUND(PRODUCT(T48,AB7:AB47),1))</f>
        <v>26764</v>
      </c>
      <c r="U49" s="3697"/>
      <c r="V49" s="3697">
        <f>IF(F1="售价",ROUND(PRODUCT(V48,AC7:AC47),0),ROUND(PRODUCT(V48,AC7:AC47),1))</f>
        <v>28457</v>
      </c>
      <c r="W49" s="3697"/>
      <c r="X49" s="397"/>
      <c r="Y49" s="397"/>
      <c r="Z49" s="397"/>
      <c r="AA49" s="397"/>
      <c r="AB49" s="397"/>
      <c r="AC49" s="578"/>
    </row>
    <row r="50" spans="1:29" ht="15.75" thickBot="1">
      <c r="A50" s="441" t="s">
        <v>1794</v>
      </c>
      <c r="B50" s="442"/>
      <c r="C50" s="1162">
        <f>R50</f>
        <v>26583</v>
      </c>
      <c r="D50" s="1162"/>
      <c r="E50" s="1162"/>
      <c r="F50" s="1162"/>
      <c r="G50" s="1162"/>
      <c r="H50" s="1162"/>
      <c r="I50" s="1162"/>
      <c r="J50" s="443"/>
      <c r="K50" s="714"/>
      <c r="L50" s="2723"/>
      <c r="M50" s="2715"/>
      <c r="N50" s="2715"/>
      <c r="O50" s="2715"/>
      <c r="P50" s="3698" t="str">
        <f>A50</f>
        <v>估价对象XX用房的比较价值（楼面单价，元/平方米）</v>
      </c>
      <c r="Q50" s="3699"/>
      <c r="R50" s="3700">
        <f>IF(F1="售价",ROUND(IF(D49="简单平均",AVERAGE(R49:V49),R49*F49+T49*H49+V49*J49),0),ROUND(IF(D49="简单平均",AVERAGE(R49:V49),R49*F49+T49*H49+V49*J49),1))</f>
        <v>26583</v>
      </c>
      <c r="S50" s="3700"/>
      <c r="T50" s="3700"/>
      <c r="U50" s="3700"/>
      <c r="V50" s="3700"/>
      <c r="W50" s="370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1.9201761180643429E-2</v>
      </c>
      <c r="F53" s="449" t="str">
        <f>IF(OR(E53&gt;=0.3,E53&lt;=-0.3),"超过30%","")</f>
        <v/>
      </c>
      <c r="G53" s="448">
        <f>IF(G48&lt;G49,G49/G48-1,G48/G49-1)</f>
        <v>8.8178149753399548E-3</v>
      </c>
      <c r="H53" s="449" t="str">
        <f>IF(OR(G53&gt;=0.3,G53&lt;=-0.3),"超过30%","")</f>
        <v/>
      </c>
      <c r="I53" s="448">
        <f>IF(I48&lt;I49,I49/I48-1,I48/I49-1)</f>
        <v>1.9081421091471373E-2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9.1116637449549565E-2</v>
      </c>
      <c r="F54" s="449" t="str">
        <f>IF(OR(E54&gt;=0.2,E54&lt;=-0.2),"超过20%","")</f>
        <v/>
      </c>
      <c r="G54" s="448">
        <f>IF(G49&lt;I49,I49/G49-1,G49/I49-1)</f>
        <v>6.3256613361231562E-2</v>
      </c>
      <c r="H54" s="449" t="str">
        <f>IF(OR(G54&gt;=0.2,G54&lt;=-0.2),"超过20%","")</f>
        <v/>
      </c>
      <c r="I54" s="448">
        <f>IF(I49&lt;E49,E49/I49-1,I49/E49-1)</f>
        <v>0.16013698071670257</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8.0000000000000071E-2</v>
      </c>
      <c r="F55" s="449" t="str">
        <f>IF(OR(E55&gt;=0.3,E55&lt;=-0.3),"超过30%","")</f>
        <v/>
      </c>
      <c r="G55" s="448">
        <f>IF(G48&lt;I48,I48/G48-1,G48/I48-1)</f>
        <v>7.4074074074074181E-2</v>
      </c>
      <c r="H55" s="449" t="str">
        <f>IF(OR(G55&gt;=0.3,G55&lt;=-0.3),"超过30%","")</f>
        <v/>
      </c>
      <c r="I55" s="448">
        <f>IF(I48&lt;E48,E48/I48-1,I48/E48-1)</f>
        <v>0.15999999999999992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104</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3436</v>
      </c>
      <c r="D123" s="3458" t="s">
        <v>3437</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3458" t="s">
        <v>3421</v>
      </c>
      <c r="D127" s="3458" t="s">
        <v>3422</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95</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503</v>
      </c>
      <c r="D1" s="1361" t="s">
        <v>43</v>
      </c>
      <c r="E1" s="1362" t="s">
        <v>678</v>
      </c>
      <c r="F1" s="1061">
        <f ca="1">J53</f>
        <v>39.520000000000003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264.149</v>
      </c>
      <c r="C2" s="1386" t="s">
        <v>879</v>
      </c>
      <c r="D2" s="1470">
        <f ca="1">C40+J29+L46</f>
        <v>2641490</v>
      </c>
      <c r="E2" s="1387" t="s">
        <v>880</v>
      </c>
      <c r="F2" s="1388"/>
      <c r="G2" s="2705"/>
      <c r="H2" s="2694"/>
      <c r="I2" s="2694"/>
      <c r="J2" s="2694"/>
      <c r="K2" s="2695"/>
      <c r="L2" s="2694"/>
      <c r="M2" s="2694"/>
    </row>
    <row r="3" spans="1:37" ht="18" customHeight="1" thickBot="1">
      <c r="A3" s="1389" t="s">
        <v>881</v>
      </c>
      <c r="B3" s="1390">
        <f ca="1">IF(ISERROR(D2/F43),0,ROUND(D2/F43,0))</f>
        <v>18158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158159</v>
      </c>
      <c r="D5" s="1363" t="s">
        <v>889</v>
      </c>
      <c r="E5" s="1070"/>
      <c r="F5" s="1071"/>
      <c r="G5" s="1383"/>
      <c r="H5" s="299">
        <v>1</v>
      </c>
      <c r="I5" s="300" t="s">
        <v>888</v>
      </c>
      <c r="J5" s="1069">
        <f ca="1">J6+J10+J12</f>
        <v>0</v>
      </c>
      <c r="K5" s="1363" t="s">
        <v>889</v>
      </c>
      <c r="L5" s="1070"/>
      <c r="M5" s="1071"/>
    </row>
    <row r="6" spans="1:37" ht="18" customHeight="1">
      <c r="A6" s="1068" t="s">
        <v>398</v>
      </c>
      <c r="B6" s="3701" t="s">
        <v>694</v>
      </c>
      <c r="C6" s="1073">
        <f ca="1">ROUND(F6*F8*F7*(1-F9),0)</f>
        <v>157962</v>
      </c>
      <c r="D6" s="155" t="s">
        <v>2105</v>
      </c>
      <c r="E6" s="302" t="s">
        <v>696</v>
      </c>
      <c r="F6" s="303">
        <f ca="1">INDIRECT("'数据-取费表'!u"&amp;$G$1)</f>
        <v>3.5</v>
      </c>
      <c r="G6" s="1383"/>
      <c r="H6" s="1068" t="s">
        <v>398</v>
      </c>
      <c r="I6" s="3701" t="s">
        <v>694</v>
      </c>
      <c r="J6" s="301">
        <f ca="1">ROUND(M6*M8*M7*(1-M9),0)</f>
        <v>0</v>
      </c>
      <c r="K6" s="1375" t="s">
        <v>2106</v>
      </c>
      <c r="L6" s="302" t="s">
        <v>696</v>
      </c>
      <c r="M6" s="303">
        <f ca="1">INDIRECT("'数据-取费表'!z"&amp;$G$1)</f>
        <v>0</v>
      </c>
    </row>
    <row r="7" spans="1:37" ht="18" customHeight="1">
      <c r="A7" s="1072"/>
      <c r="B7" s="3702"/>
      <c r="C7" s="1074"/>
      <c r="D7" s="307"/>
      <c r="E7" s="1075" t="s">
        <v>697</v>
      </c>
      <c r="F7" s="303">
        <f ca="1">IF(INDIRECT("'数据-取费表'!ah"&amp;$G$1)="",INDIRECT("'数据-取费表'!k"&amp;$G$1),INDIRECT("'数据-取费表'!ah"&amp;$G$1))</f>
        <v>145.47</v>
      </c>
      <c r="G7" s="1383"/>
      <c r="H7" s="304"/>
      <c r="I7" s="3702"/>
      <c r="J7" s="306"/>
      <c r="K7" s="307"/>
      <c r="L7" s="302" t="s">
        <v>697</v>
      </c>
      <c r="M7" s="303">
        <f ca="1">F7</f>
        <v>145.47</v>
      </c>
    </row>
    <row r="8" spans="1:37" ht="18" customHeight="1">
      <c r="A8" s="304"/>
      <c r="B8" s="3702"/>
      <c r="C8" s="306"/>
      <c r="D8" s="307"/>
      <c r="E8" s="302" t="s">
        <v>698</v>
      </c>
      <c r="F8" s="303">
        <f ca="1">INDIRECT("'数据-取费表'!ai"&amp;$G$1)</f>
        <v>365</v>
      </c>
      <c r="G8" s="1383"/>
      <c r="H8" s="304"/>
      <c r="I8" s="3702"/>
      <c r="J8" s="306"/>
      <c r="K8" s="307"/>
      <c r="L8" s="302" t="s">
        <v>698</v>
      </c>
      <c r="M8" s="303">
        <f ca="1">INDIRECT("'数据-取费表'!ai"&amp;$G$1)</f>
        <v>365</v>
      </c>
    </row>
    <row r="9" spans="1:37" ht="18" customHeight="1">
      <c r="A9" s="304"/>
      <c r="B9" s="3703"/>
      <c r="C9" s="306"/>
      <c r="D9" s="307"/>
      <c r="E9" s="302" t="s">
        <v>699</v>
      </c>
      <c r="F9" s="312">
        <f ca="1">INDIRECT("'数据-取费表'!w"&amp;$G$1)</f>
        <v>0.15</v>
      </c>
      <c r="G9" s="1383"/>
      <c r="H9" s="304"/>
      <c r="I9" s="3703"/>
      <c r="J9" s="306"/>
      <c r="K9" s="307"/>
      <c r="L9" s="313" t="s">
        <v>699</v>
      </c>
      <c r="M9" s="314">
        <f ca="1">INDIRECT("'数据-取费表'!ab"&amp;$G$1)</f>
        <v>0</v>
      </c>
    </row>
    <row r="10" spans="1:37" ht="18" customHeight="1">
      <c r="A10" s="1068" t="s">
        <v>402</v>
      </c>
      <c r="B10" s="1364" t="s">
        <v>700</v>
      </c>
      <c r="C10" s="316">
        <f ca="1">ROUND(IF(F10="押一",C6/12*F11,IF(F10="押二",C6/12*2*F11,IF(F10="押三",C6/12*3*F11,C11*F11))),0)</f>
        <v>197</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725604</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581880</v>
      </c>
      <c r="D14" s="1344" t="s">
        <v>708</v>
      </c>
      <c r="E14" s="1341"/>
      <c r="F14" s="319"/>
      <c r="G14" s="1383"/>
      <c r="H14" s="981" t="s">
        <v>398</v>
      </c>
      <c r="I14" s="302" t="s">
        <v>709</v>
      </c>
      <c r="J14" s="21">
        <f ca="1">C29</f>
        <v>834028</v>
      </c>
      <c r="K14" s="12"/>
      <c r="L14" s="806"/>
      <c r="M14" s="807"/>
    </row>
    <row r="15" spans="1:37" s="1396" customFormat="1" ht="18" customHeight="1" thickBot="1">
      <c r="A15" s="981" t="s">
        <v>399</v>
      </c>
      <c r="B15" s="302" t="s">
        <v>710</v>
      </c>
      <c r="C15" s="21">
        <f ca="1">ROUND(C14*F15,0)</f>
        <v>17456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12510</v>
      </c>
      <c r="K16" s="1086" t="s">
        <v>715</v>
      </c>
      <c r="L16" s="1087"/>
      <c r="M16" s="1071"/>
    </row>
    <row r="17" spans="1:37" s="1396" customFormat="1" ht="18" customHeight="1">
      <c r="A17" s="981" t="s">
        <v>681</v>
      </c>
      <c r="B17" s="302" t="s">
        <v>716</v>
      </c>
      <c r="C17" s="21">
        <f ca="1">ROUND(F17*(F43+INDIRECT("'数据-取费表'!S"&amp;$G$1)),0)</f>
        <v>29094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8728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637158</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12743</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12510</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22422</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-12510</v>
      </c>
      <c r="K25" s="1094" t="s">
        <v>753</v>
      </c>
      <c r="L25" s="1095"/>
      <c r="M25" s="1096"/>
    </row>
    <row r="26" spans="1:37" ht="18" customHeight="1">
      <c r="A26" s="981" t="s">
        <v>397</v>
      </c>
      <c r="B26" s="302" t="s">
        <v>754</v>
      </c>
      <c r="C26" s="21">
        <f ca="1">ROUND((C19+C20)*F26,0)</f>
        <v>97485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834028</v>
      </c>
      <c r="D29" s="1091"/>
      <c r="E29" s="1089"/>
      <c r="F29" s="1092"/>
      <c r="G29" s="1395"/>
      <c r="H29" s="334" t="s">
        <v>396</v>
      </c>
      <c r="I29" s="335" t="s">
        <v>768</v>
      </c>
      <c r="J29" s="336">
        <f ca="1">ROUND(J26/(1+F40)^F41,0)</f>
        <v>0</v>
      </c>
      <c r="K29" s="337" t="s">
        <v>769</v>
      </c>
      <c r="L29" s="338"/>
      <c r="M29" s="339">
        <f ca="1">INDIRECT("'数据-取费表'!k"&amp;$G$1)</f>
        <v>145.47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41658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26478</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8425</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18053</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12510</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ROUND(C13*F37,0)</f>
        <v>1088</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1582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116501</v>
      </c>
      <c r="D39" s="1094" t="s">
        <v>773</v>
      </c>
      <c r="E39" s="1095"/>
      <c r="F39" s="1096"/>
      <c r="G39" s="1383"/>
      <c r="H39" s="2699"/>
      <c r="I39" s="1397"/>
      <c r="J39" s="1398"/>
      <c r="K39" s="2703"/>
      <c r="L39" s="2699"/>
      <c r="M39" s="2699"/>
    </row>
    <row r="40" spans="1:18" ht="18" customHeight="1">
      <c r="A40" s="299" t="s">
        <v>395</v>
      </c>
      <c r="B40" s="300" t="s">
        <v>774</v>
      </c>
      <c r="C40" s="301">
        <f ca="1">ROUND(C39*(1-((1+F42)/(1+F40))^F41)/(F40-F42),0)</f>
        <v>2641490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39.520000000000003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18158</v>
      </c>
      <c r="D43" s="337" t="s">
        <v>777</v>
      </c>
      <c r="E43" s="338" t="s">
        <v>778</v>
      </c>
      <c r="F43" s="339">
        <f ca="1">INDIRECT("'数据-取费表'!k"&amp;$G$1)</f>
        <v>145.47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f ca="1">ROUND((C68-C40)/10000,4)</f>
        <v>-285.8929</v>
      </c>
      <c r="D45" s="3431" t="s">
        <v>3348</v>
      </c>
      <c r="E45" s="1399"/>
      <c r="F45" s="1399"/>
      <c r="O45" s="1402" t="s">
        <v>808</v>
      </c>
      <c r="P45" s="1460"/>
      <c r="Q45" s="1460"/>
      <c r="R45" s="1460"/>
    </row>
    <row r="46" spans="1:18" s="1383" customFormat="1" ht="13.5" thickBot="1">
      <c r="A46" s="1403" t="s">
        <v>809</v>
      </c>
      <c r="C46" s="1404">
        <f ca="1">ROUND(C45,0)</f>
        <v>-286</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50</v>
      </c>
      <c r="M47" s="1379" t="str">
        <f>IF(ISNUMBER(FIND("住宅",C1)),"住宅","非住宅")</f>
        <v>非住宅</v>
      </c>
      <c r="O47" s="1417" t="s">
        <v>403</v>
      </c>
      <c r="P47" s="1418" t="s">
        <v>817</v>
      </c>
      <c r="Q47" s="1419">
        <f ca="1">C40+J29</f>
        <v>2641490</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39.520000000000003</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834028</v>
      </c>
      <c r="R49" s="1419" t="s">
        <v>818</v>
      </c>
    </row>
    <row r="50" spans="1:18" s="1383" customFormat="1" ht="13.5" thickBot="1">
      <c r="A50" s="975"/>
      <c r="B50" s="978"/>
      <c r="C50" s="979"/>
      <c r="D50" s="952"/>
      <c r="E50" s="1055" t="s">
        <v>697</v>
      </c>
      <c r="F50" s="1056">
        <f ca="1">F7</f>
        <v>145.47</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1143407</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39.520000000000003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39.520000000000003</v>
      </c>
      <c r="K53" s="3704" t="s">
        <v>837</v>
      </c>
      <c r="L53" s="3705"/>
      <c r="O53" s="1417" t="s">
        <v>409</v>
      </c>
      <c r="P53" s="1418" t="s">
        <v>838</v>
      </c>
      <c r="Q53" s="1419">
        <f ca="1">Q47+Q48</f>
        <v>2641490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725604</v>
      </c>
      <c r="D56" s="1446"/>
      <c r="E56" s="1447"/>
      <c r="F56" s="1439"/>
      <c r="I56" s="1448" t="s">
        <v>842</v>
      </c>
      <c r="J56" s="1449" t="s">
        <v>3373</v>
      </c>
      <c r="K56" s="1420" t="s">
        <v>843</v>
      </c>
      <c r="L56" s="1423" t="str">
        <f ca="1">IF(L48&lt;J51,"——",L48-J51)</f>
        <v>——</v>
      </c>
      <c r="O56" s="1417" t="s">
        <v>403</v>
      </c>
      <c r="P56" s="1418" t="s">
        <v>817</v>
      </c>
      <c r="Q56" s="1419">
        <f ca="1">C40+J29</f>
        <v>2641490</v>
      </c>
      <c r="R56" s="1419" t="s">
        <v>818</v>
      </c>
    </row>
    <row r="57" spans="1:18" s="1383" customFormat="1" ht="24.75" thickBot="1">
      <c r="A57" s="1450"/>
      <c r="B57" s="949" t="s">
        <v>767</v>
      </c>
      <c r="C57" s="238">
        <f ca="1">C29</f>
        <v>834028</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13598</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2641490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12510</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1088</v>
      </c>
      <c r="D65" s="963" t="s">
        <v>743</v>
      </c>
      <c r="E65" s="949" t="s">
        <v>744</v>
      </c>
      <c r="F65" s="330">
        <f t="shared" ca="1" si="0"/>
        <v>1.5E-3</v>
      </c>
      <c r="I65" s="1461" t="s">
        <v>867</v>
      </c>
      <c r="J65" s="1462">
        <v>40</v>
      </c>
      <c r="K65" s="1462">
        <v>30</v>
      </c>
      <c r="L65" s="1462">
        <v>50</v>
      </c>
      <c r="M65" s="1464">
        <v>0.02</v>
      </c>
      <c r="O65" s="1417" t="s">
        <v>403</v>
      </c>
      <c r="P65" s="1418" t="s">
        <v>868</v>
      </c>
      <c r="Q65" s="1419">
        <f ca="1">C40+J29</f>
        <v>2641490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-13598</v>
      </c>
      <c r="D67" s="962" t="s">
        <v>753</v>
      </c>
      <c r="E67" s="967"/>
      <c r="F67" s="968"/>
      <c r="O67" s="1427" t="s">
        <v>405</v>
      </c>
      <c r="P67" s="1418" t="s">
        <v>850</v>
      </c>
      <c r="Q67" s="1465">
        <f ca="1">L51</f>
        <v>1143407</v>
      </c>
      <c r="R67" s="1419" t="s">
        <v>870</v>
      </c>
    </row>
    <row r="68" spans="1:18" s="1383" customFormat="1" ht="16.5" thickBot="1">
      <c r="A68" s="946" t="s">
        <v>395</v>
      </c>
      <c r="B68" s="947" t="s">
        <v>774</v>
      </c>
      <c r="C68" s="301">
        <f ca="1">ROUND(C67*(1-((1+F70)/(1+F68))^F69)/(F68-F70),0)</f>
        <v>-217439</v>
      </c>
      <c r="D68" s="964" t="s">
        <v>758</v>
      </c>
      <c r="E68" s="949" t="s">
        <v>759</v>
      </c>
      <c r="F68" s="312">
        <f ca="1">F40</f>
        <v>5.5E-2</v>
      </c>
      <c r="O68" s="1427" t="s">
        <v>406</v>
      </c>
      <c r="P68" s="1466" t="s">
        <v>871</v>
      </c>
      <c r="Q68" s="1419">
        <f ca="1">ROUND(Q69-Q70*Q71,0)</f>
        <v>62081</v>
      </c>
      <c r="R68" s="1419" t="s">
        <v>414</v>
      </c>
    </row>
    <row r="69" spans="1:18" s="1383" customFormat="1" ht="13.5" thickBot="1">
      <c r="A69" s="950"/>
      <c r="B69" s="951"/>
      <c r="C69" s="306"/>
      <c r="D69" s="969" t="s">
        <v>762</v>
      </c>
      <c r="E69" s="949" t="s">
        <v>763</v>
      </c>
      <c r="F69" s="333">
        <f ca="1">F41</f>
        <v>39.520000000000003</v>
      </c>
      <c r="O69" s="1427" t="s">
        <v>411</v>
      </c>
      <c r="P69" s="1466" t="s">
        <v>872</v>
      </c>
      <c r="Q69" s="1419">
        <f ca="1">C39</f>
        <v>116501</v>
      </c>
      <c r="R69" s="1419" t="s">
        <v>818</v>
      </c>
    </row>
    <row r="70" spans="1:18" s="1383" customFormat="1" ht="13.5" thickBot="1">
      <c r="A70" s="953"/>
      <c r="B70" s="954"/>
      <c r="C70" s="310"/>
      <c r="D70" s="965"/>
      <c r="E70" s="949" t="s">
        <v>766</v>
      </c>
      <c r="F70" s="1053"/>
      <c r="O70" s="1427" t="s">
        <v>412</v>
      </c>
      <c r="P70" s="1466" t="s">
        <v>873</v>
      </c>
      <c r="Q70" s="1419">
        <f ca="1">C13</f>
        <v>725604</v>
      </c>
      <c r="R70" s="1419" t="s">
        <v>818</v>
      </c>
    </row>
    <row r="71" spans="1:18" s="1383" customFormat="1" ht="13.5" thickBot="1">
      <c r="A71" s="970" t="s">
        <v>396</v>
      </c>
      <c r="B71" s="971" t="s">
        <v>776</v>
      </c>
      <c r="C71" s="336">
        <f ca="1">ROUND(C68/F71,0)</f>
        <v>-1495</v>
      </c>
      <c r="D71" s="972" t="s">
        <v>777</v>
      </c>
      <c r="E71" s="973" t="s">
        <v>778</v>
      </c>
      <c r="F71" s="339">
        <f ca="1">F43</f>
        <v>145.47</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54420</v>
      </c>
      <c r="D75" s="1383"/>
      <c r="E75" s="1383"/>
      <c r="F75" s="1383"/>
      <c r="K75" s="1401"/>
      <c r="L75" s="1383"/>
      <c r="O75" s="1417" t="s">
        <v>409</v>
      </c>
      <c r="P75" s="1418" t="s">
        <v>838</v>
      </c>
      <c r="Q75" s="1419">
        <f ca="1">Q65+Q66</f>
        <v>2641490</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0.53299999999999992</v>
      </c>
    </row>
    <row r="80" spans="1:18">
      <c r="B80" s="340" t="s">
        <v>800</v>
      </c>
      <c r="C80" s="274">
        <f ca="1">ROUND(C75/C39,3)</f>
        <v>0.46700000000000003</v>
      </c>
    </row>
    <row r="81" spans="2:3">
      <c r="B81" s="270" t="s">
        <v>801</v>
      </c>
      <c r="C81" s="238"/>
    </row>
    <row r="82" spans="2:3">
      <c r="B82" s="273" t="s">
        <v>802</v>
      </c>
      <c r="C82" s="275">
        <f ca="1">1-C83</f>
        <v>0.72499999999999998</v>
      </c>
    </row>
    <row r="83" spans="2:3">
      <c r="B83" s="273" t="s">
        <v>803</v>
      </c>
      <c r="C83" s="274">
        <f ca="1">ROUND(C13/C40,3)</f>
        <v>0.27500000000000002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L41" sqref="L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3441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5.0900000000000001E-2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v>
      </c>
      <c r="C3" s="354" t="s">
        <v>1768</v>
      </c>
      <c r="D3" s="353">
        <f>IF(D1="",'数据-汇总表'!E3,SUMIF('数据-汇总表'!$C19:$C33,D1,'数据-汇总表'!$E19:$E33))</f>
        <v>145.47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675" t="s">
        <v>1775</v>
      </c>
      <c r="Q4" s="3676"/>
      <c r="R4" s="3653" t="s">
        <v>1771</v>
      </c>
      <c r="S4" s="3654"/>
      <c r="T4" s="3653" t="s">
        <v>1772</v>
      </c>
      <c r="U4" s="3654"/>
      <c r="V4" s="3683" t="s">
        <v>1773</v>
      </c>
      <c r="W4" s="3683"/>
      <c r="X4" s="3454"/>
      <c r="Y4" s="3653" t="s">
        <v>1775</v>
      </c>
      <c r="Z4" s="3654"/>
      <c r="AA4" s="3648" t="s">
        <v>1771</v>
      </c>
      <c r="AB4" s="3648" t="s">
        <v>1772</v>
      </c>
      <c r="AC4" s="3668" t="s">
        <v>1773</v>
      </c>
    </row>
    <row r="5" spans="1:29" ht="15">
      <c r="A5" s="358"/>
      <c r="B5" s="359"/>
      <c r="C5" s="3659">
        <v>503</v>
      </c>
      <c r="D5" s="3660"/>
      <c r="E5" s="3657" t="s">
        <v>3439</v>
      </c>
      <c r="F5" s="3658"/>
      <c r="G5" s="3663" t="s">
        <v>3440</v>
      </c>
      <c r="H5" s="3660"/>
      <c r="I5" s="3663" t="s">
        <v>3440</v>
      </c>
      <c r="J5" s="3660"/>
      <c r="K5" s="559"/>
      <c r="L5" s="2714"/>
      <c r="M5" s="2715"/>
      <c r="N5" s="2715"/>
      <c r="O5" s="2715"/>
      <c r="P5" s="3677"/>
      <c r="Q5" s="3678"/>
      <c r="R5" s="3655"/>
      <c r="S5" s="3656"/>
      <c r="T5" s="3655"/>
      <c r="U5" s="3656"/>
      <c r="V5" s="3684"/>
      <c r="W5" s="3684"/>
      <c r="X5" s="3455"/>
      <c r="Y5" s="3655"/>
      <c r="Z5" s="3656"/>
      <c r="AA5" s="3649"/>
      <c r="AB5" s="3649"/>
      <c r="AC5" s="3669"/>
    </row>
    <row r="6" spans="1:29" ht="15.75" thickBot="1">
      <c r="A6" s="360"/>
      <c r="B6" s="361"/>
      <c r="C6" s="3661" t="s">
        <v>1677</v>
      </c>
      <c r="D6" s="3662"/>
      <c r="E6" s="3664"/>
      <c r="F6" s="3665"/>
      <c r="G6" s="3666"/>
      <c r="H6" s="3662"/>
      <c r="I6" s="3666"/>
      <c r="J6" s="3662"/>
      <c r="K6" s="559" t="s">
        <v>1678</v>
      </c>
      <c r="L6" s="2714"/>
      <c r="M6" s="2715"/>
      <c r="N6" s="2715"/>
      <c r="O6" s="2715"/>
      <c r="P6" s="3679"/>
      <c r="Q6" s="3680"/>
      <c r="R6" s="3655"/>
      <c r="S6" s="3656"/>
      <c r="T6" s="3681"/>
      <c r="U6" s="3682"/>
      <c r="V6" s="3684"/>
      <c r="W6" s="3684"/>
      <c r="X6" s="3455"/>
      <c r="Y6" s="3681"/>
      <c r="Z6" s="3682"/>
      <c r="AA6" s="3650"/>
      <c r="AB6" s="3650"/>
      <c r="AC6" s="3670"/>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85" t="s">
        <v>1680</v>
      </c>
      <c r="Q7" s="3686"/>
      <c r="R7" s="700" t="s">
        <v>14</v>
      </c>
      <c r="S7" s="701">
        <f t="shared" ref="S7:S15" si="0">F7</f>
        <v>100</v>
      </c>
      <c r="T7" s="700" t="s">
        <v>14</v>
      </c>
      <c r="U7" s="701">
        <f t="shared" ref="U7:U15" si="1">H7</f>
        <v>100</v>
      </c>
      <c r="V7" s="700" t="s">
        <v>14</v>
      </c>
      <c r="W7" s="701">
        <f t="shared" ref="W7:W15" si="2">J7</f>
        <v>100</v>
      </c>
      <c r="X7" s="702"/>
      <c r="Y7" s="3651" t="s">
        <v>1680</v>
      </c>
      <c r="Z7" s="3652"/>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102</v>
      </c>
      <c r="G8" s="368" t="s">
        <v>3408</v>
      </c>
      <c r="H8" s="365">
        <f>SUMIF(62:62,G8,63:63)-SUMIF(62:62,C8,63:63)+100</f>
        <v>102</v>
      </c>
      <c r="I8" s="368" t="s">
        <v>3408</v>
      </c>
      <c r="J8" s="365">
        <f>SUMIF(62:62,I8,63:63)-SUMIF(62:62,C8,63:63)+100</f>
        <v>102</v>
      </c>
      <c r="K8" s="560"/>
      <c r="L8" s="2716"/>
      <c r="M8" s="2717"/>
      <c r="N8" s="2717"/>
      <c r="O8" s="2717"/>
      <c r="P8" s="3685" t="s">
        <v>1683</v>
      </c>
      <c r="Q8" s="3652"/>
      <c r="R8" s="700" t="s">
        <v>14</v>
      </c>
      <c r="S8" s="701">
        <f t="shared" si="0"/>
        <v>102</v>
      </c>
      <c r="T8" s="700" t="s">
        <v>14</v>
      </c>
      <c r="U8" s="701">
        <f t="shared" si="1"/>
        <v>102</v>
      </c>
      <c r="V8" s="700" t="s">
        <v>14</v>
      </c>
      <c r="W8" s="701">
        <f t="shared" si="2"/>
        <v>102</v>
      </c>
      <c r="X8" s="702"/>
      <c r="Y8" s="3651" t="s">
        <v>1683</v>
      </c>
      <c r="Z8" s="3652"/>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67" t="s">
        <v>1686</v>
      </c>
      <c r="Q9" s="3450" t="str">
        <f t="shared" ref="Q9:Q15" si="6">B9</f>
        <v>用途</v>
      </c>
      <c r="R9" s="700" t="s">
        <v>14</v>
      </c>
      <c r="S9" s="701">
        <f t="shared" si="0"/>
        <v>100</v>
      </c>
      <c r="T9" s="700" t="s">
        <v>14</v>
      </c>
      <c r="U9" s="701">
        <f t="shared" si="1"/>
        <v>100</v>
      </c>
      <c r="V9" s="700" t="s">
        <v>14</v>
      </c>
      <c r="W9" s="701">
        <f t="shared" si="2"/>
        <v>100</v>
      </c>
      <c r="X9" s="702"/>
      <c r="Y9" s="3621" t="s">
        <v>1687</v>
      </c>
      <c r="Z9" s="3449"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7"/>
      <c r="Q10" s="3450" t="str">
        <f t="shared" si="6"/>
        <v>土地使用年限（年）</v>
      </c>
      <c r="R10" s="700" t="s">
        <v>14</v>
      </c>
      <c r="S10" s="701">
        <f t="shared" si="0"/>
        <v>100</v>
      </c>
      <c r="T10" s="700" t="s">
        <v>14</v>
      </c>
      <c r="U10" s="701">
        <f t="shared" si="1"/>
        <v>100</v>
      </c>
      <c r="V10" s="700" t="s">
        <v>14</v>
      </c>
      <c r="W10" s="701">
        <f t="shared" si="2"/>
        <v>100</v>
      </c>
      <c r="X10" s="702"/>
      <c r="Y10" s="3621"/>
      <c r="Z10" s="3449"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7"/>
      <c r="Q11" s="3450" t="str">
        <f t="shared" si="6"/>
        <v>容积率</v>
      </c>
      <c r="R11" s="700" t="s">
        <v>14</v>
      </c>
      <c r="S11" s="701">
        <f t="shared" si="0"/>
        <v>100</v>
      </c>
      <c r="T11" s="700" t="s">
        <v>14</v>
      </c>
      <c r="U11" s="701">
        <f t="shared" si="1"/>
        <v>100</v>
      </c>
      <c r="V11" s="700" t="s">
        <v>14</v>
      </c>
      <c r="W11" s="701">
        <f t="shared" si="2"/>
        <v>100</v>
      </c>
      <c r="X11" s="702"/>
      <c r="Y11" s="3621"/>
      <c r="Z11" s="3449" t="str">
        <f t="shared" si="7"/>
        <v>容积率</v>
      </c>
      <c r="AA11" s="703">
        <f t="shared" si="3"/>
        <v>1</v>
      </c>
      <c r="AB11" s="703">
        <f t="shared" si="4"/>
        <v>1</v>
      </c>
      <c r="AC11" s="1958">
        <f t="shared" si="5"/>
        <v>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7"/>
      <c r="Q12" s="3450">
        <f t="shared" si="6"/>
        <v>111</v>
      </c>
      <c r="R12" s="700" t="s">
        <v>14</v>
      </c>
      <c r="S12" s="701">
        <f t="shared" si="0"/>
        <v>100</v>
      </c>
      <c r="T12" s="700" t="s">
        <v>14</v>
      </c>
      <c r="U12" s="701">
        <f t="shared" si="1"/>
        <v>100</v>
      </c>
      <c r="V12" s="700" t="s">
        <v>14</v>
      </c>
      <c r="W12" s="701">
        <f t="shared" si="2"/>
        <v>100</v>
      </c>
      <c r="X12" s="702"/>
      <c r="Y12" s="3621"/>
      <c r="Z12" s="3449">
        <f t="shared" si="7"/>
        <v>111</v>
      </c>
      <c r="AA12" s="703">
        <f>D12/F12</f>
        <v>1</v>
      </c>
      <c r="AB12" s="703">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7"/>
      <c r="Q13" s="3450">
        <f t="shared" si="6"/>
        <v>111</v>
      </c>
      <c r="R13" s="700" t="s">
        <v>14</v>
      </c>
      <c r="S13" s="701">
        <f t="shared" si="0"/>
        <v>100</v>
      </c>
      <c r="T13" s="700" t="s">
        <v>14</v>
      </c>
      <c r="U13" s="701">
        <f t="shared" si="1"/>
        <v>100</v>
      </c>
      <c r="V13" s="700" t="s">
        <v>14</v>
      </c>
      <c r="W13" s="701">
        <f t="shared" si="2"/>
        <v>100</v>
      </c>
      <c r="X13" s="702"/>
      <c r="Y13" s="3621"/>
      <c r="Z13" s="3449">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67"/>
      <c r="Q14" s="3450">
        <f t="shared" si="6"/>
        <v>111</v>
      </c>
      <c r="R14" s="700" t="s">
        <v>14</v>
      </c>
      <c r="S14" s="701">
        <f t="shared" si="0"/>
        <v>100</v>
      </c>
      <c r="T14" s="700" t="s">
        <v>14</v>
      </c>
      <c r="U14" s="701">
        <f t="shared" si="1"/>
        <v>100</v>
      </c>
      <c r="V14" s="700" t="s">
        <v>14</v>
      </c>
      <c r="W14" s="701">
        <f t="shared" si="2"/>
        <v>100</v>
      </c>
      <c r="X14" s="702"/>
      <c r="Y14" s="3621"/>
      <c r="Z14" s="3449">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87" t="s">
        <v>1691</v>
      </c>
      <c r="Q15" s="3451" t="str">
        <f t="shared" si="6"/>
        <v>办公集聚程度</v>
      </c>
      <c r="R15" s="704" t="s">
        <v>14</v>
      </c>
      <c r="S15" s="705">
        <f t="shared" si="0"/>
        <v>100</v>
      </c>
      <c r="T15" s="704" t="s">
        <v>14</v>
      </c>
      <c r="U15" s="705">
        <f t="shared" si="1"/>
        <v>100</v>
      </c>
      <c r="V15" s="704" t="s">
        <v>14</v>
      </c>
      <c r="W15" s="705">
        <f t="shared" si="2"/>
        <v>100</v>
      </c>
      <c r="X15" s="3455"/>
      <c r="Y15" s="3689" t="s">
        <v>1691</v>
      </c>
      <c r="Z15" s="3453" t="str">
        <f t="shared" si="7"/>
        <v>办公集聚程度</v>
      </c>
      <c r="AA15" s="3452">
        <f t="shared" si="3"/>
        <v>1</v>
      </c>
      <c r="AB15" s="3452">
        <f t="shared" si="4"/>
        <v>1</v>
      </c>
      <c r="AC15" s="1961">
        <f t="shared" si="5"/>
        <v>1</v>
      </c>
    </row>
    <row r="16" spans="1:29" ht="15">
      <c r="A16" s="379"/>
      <c r="B16" s="578"/>
      <c r="C16" s="1903" t="s">
        <v>3382</v>
      </c>
      <c r="D16" s="399"/>
      <c r="E16" s="1903" t="s">
        <v>3382</v>
      </c>
      <c r="F16" s="399"/>
      <c r="G16" s="1903" t="s">
        <v>3382</v>
      </c>
      <c r="H16" s="401"/>
      <c r="I16" s="1903" t="s">
        <v>3382</v>
      </c>
      <c r="J16" s="399"/>
      <c r="K16" s="564"/>
      <c r="L16" s="2721"/>
      <c r="M16" s="2715"/>
      <c r="N16" s="2715"/>
      <c r="O16" s="2715"/>
      <c r="P16" s="3688"/>
      <c r="Q16" s="3451"/>
      <c r="R16" s="704"/>
      <c r="S16" s="705"/>
      <c r="T16" s="704"/>
      <c r="U16" s="705"/>
      <c r="V16" s="704"/>
      <c r="W16" s="705"/>
      <c r="X16" s="3455"/>
      <c r="Y16" s="3690"/>
      <c r="Z16" s="3453"/>
      <c r="AA16" s="3452">
        <v>1</v>
      </c>
      <c r="AB16" s="34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88"/>
      <c r="Q17" s="3451" t="str">
        <f>B17</f>
        <v>交通便捷度</v>
      </c>
      <c r="R17" s="704" t="s">
        <v>14</v>
      </c>
      <c r="S17" s="705">
        <f>F17</f>
        <v>100</v>
      </c>
      <c r="T17" s="704" t="s">
        <v>14</v>
      </c>
      <c r="U17" s="705">
        <f>H17</f>
        <v>100</v>
      </c>
      <c r="V17" s="704" t="s">
        <v>14</v>
      </c>
      <c r="W17" s="705">
        <f>J17</f>
        <v>100</v>
      </c>
      <c r="X17" s="3455"/>
      <c r="Y17" s="3690"/>
      <c r="Z17" s="3453" t="str">
        <f>Q17</f>
        <v>交通便捷度</v>
      </c>
      <c r="AA17" s="3452">
        <f t="shared" si="3"/>
        <v>1</v>
      </c>
      <c r="AB17" s="34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88"/>
      <c r="Q18" s="3451"/>
      <c r="R18" s="704"/>
      <c r="S18" s="705"/>
      <c r="T18" s="704"/>
      <c r="U18" s="705"/>
      <c r="V18" s="704"/>
      <c r="W18" s="705"/>
      <c r="X18" s="3455"/>
      <c r="Y18" s="3690"/>
      <c r="Z18" s="3453"/>
      <c r="AA18" s="3452">
        <v>1</v>
      </c>
      <c r="AB18" s="34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688"/>
      <c r="Q19" s="3451" t="str">
        <f>B19</f>
        <v>公共配套设施</v>
      </c>
      <c r="R19" s="704" t="s">
        <v>14</v>
      </c>
      <c r="S19" s="705">
        <f>F19</f>
        <v>100</v>
      </c>
      <c r="T19" s="704" t="s">
        <v>14</v>
      </c>
      <c r="U19" s="705">
        <f>H19</f>
        <v>100</v>
      </c>
      <c r="V19" s="704" t="s">
        <v>14</v>
      </c>
      <c r="W19" s="705">
        <f>J19</f>
        <v>100</v>
      </c>
      <c r="X19" s="3455"/>
      <c r="Y19" s="3690"/>
      <c r="Z19" s="3453" t="str">
        <f>Q19</f>
        <v>公共配套设施</v>
      </c>
      <c r="AA19" s="3452">
        <f t="shared" si="3"/>
        <v>1</v>
      </c>
      <c r="AB19" s="3452">
        <f t="shared" si="4"/>
        <v>1</v>
      </c>
      <c r="AC19" s="1961">
        <f t="shared" si="5"/>
        <v>1</v>
      </c>
    </row>
    <row r="20" spans="1:29" ht="15">
      <c r="A20" s="379"/>
      <c r="B20" s="580"/>
      <c r="C20" s="1903" t="s">
        <v>3383</v>
      </c>
      <c r="D20" s="399"/>
      <c r="E20" s="1903" t="s">
        <v>3383</v>
      </c>
      <c r="F20" s="399"/>
      <c r="G20" s="1903" t="s">
        <v>3383</v>
      </c>
      <c r="H20" s="399"/>
      <c r="I20" s="1903" t="s">
        <v>3383</v>
      </c>
      <c r="J20" s="399"/>
      <c r="K20" s="564"/>
      <c r="L20" s="2721"/>
      <c r="M20" s="2715"/>
      <c r="N20" s="2715"/>
      <c r="O20" s="2715"/>
      <c r="P20" s="3688"/>
      <c r="Q20" s="3451"/>
      <c r="R20" s="704"/>
      <c r="S20" s="705"/>
      <c r="T20" s="704"/>
      <c r="U20" s="705"/>
      <c r="V20" s="704"/>
      <c r="W20" s="705"/>
      <c r="X20" s="3455"/>
      <c r="Y20" s="3690"/>
      <c r="Z20" s="3453"/>
      <c r="AA20" s="3452">
        <v>1</v>
      </c>
      <c r="AB20" s="34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88"/>
      <c r="Q21" s="3451" t="str">
        <f>B21</f>
        <v>基础设施水平</v>
      </c>
      <c r="R21" s="704" t="s">
        <v>14</v>
      </c>
      <c r="S21" s="705">
        <f>F21</f>
        <v>100</v>
      </c>
      <c r="T21" s="704" t="s">
        <v>14</v>
      </c>
      <c r="U21" s="705">
        <f>H21</f>
        <v>100</v>
      </c>
      <c r="V21" s="704" t="s">
        <v>14</v>
      </c>
      <c r="W21" s="705">
        <f>J21</f>
        <v>100</v>
      </c>
      <c r="X21" s="3455"/>
      <c r="Y21" s="3690"/>
      <c r="Z21" s="3453" t="str">
        <f>Q21</f>
        <v>基础设施水平</v>
      </c>
      <c r="AA21" s="3452">
        <f t="shared" ref="AA21" si="8">D21/F21</f>
        <v>1</v>
      </c>
      <c r="AB21" s="34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88"/>
      <c r="Q22" s="3451"/>
      <c r="R22" s="704"/>
      <c r="S22" s="705"/>
      <c r="T22" s="704"/>
      <c r="U22" s="705"/>
      <c r="V22" s="704"/>
      <c r="W22" s="705"/>
      <c r="X22" s="3455"/>
      <c r="Y22" s="3690"/>
      <c r="Z22" s="3453"/>
      <c r="AA22" s="3452">
        <v>1</v>
      </c>
      <c r="AB22" s="34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88"/>
      <c r="Q23" s="3451" t="str">
        <f>B23</f>
        <v>环境质量</v>
      </c>
      <c r="R23" s="704" t="s">
        <v>14</v>
      </c>
      <c r="S23" s="705">
        <f>F23</f>
        <v>100</v>
      </c>
      <c r="T23" s="704" t="s">
        <v>14</v>
      </c>
      <c r="U23" s="705">
        <f>H23</f>
        <v>100</v>
      </c>
      <c r="V23" s="704" t="s">
        <v>14</v>
      </c>
      <c r="W23" s="705">
        <f>J23</f>
        <v>100</v>
      </c>
      <c r="X23" s="3455"/>
      <c r="Y23" s="3690"/>
      <c r="Z23" s="3453" t="str">
        <f>Q23</f>
        <v>环境质量</v>
      </c>
      <c r="AA23" s="3452">
        <f t="shared" si="3"/>
        <v>1</v>
      </c>
      <c r="AB23" s="34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88"/>
      <c r="Q24" s="3451"/>
      <c r="R24" s="704"/>
      <c r="S24" s="705"/>
      <c r="T24" s="704"/>
      <c r="U24" s="705"/>
      <c r="V24" s="704"/>
      <c r="W24" s="705"/>
      <c r="X24" s="3455"/>
      <c r="Y24" s="3690"/>
      <c r="Z24" s="3453"/>
      <c r="AA24" s="3452">
        <v>1</v>
      </c>
      <c r="AB24" s="3452">
        <v>1</v>
      </c>
      <c r="AC24" s="1961">
        <v>1</v>
      </c>
    </row>
    <row r="25" spans="1:29" ht="27.75" hidden="1" thickBot="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8"/>
      <c r="Q25" s="3451" t="str">
        <f>B25</f>
        <v>毗邻道路的类型与等级</v>
      </c>
      <c r="R25" s="704" t="s">
        <v>14</v>
      </c>
      <c r="S25" s="705">
        <f>F25</f>
        <v>100</v>
      </c>
      <c r="T25" s="704" t="s">
        <v>14</v>
      </c>
      <c r="U25" s="705">
        <f>H25</f>
        <v>100</v>
      </c>
      <c r="V25" s="704" t="s">
        <v>14</v>
      </c>
      <c r="W25" s="705">
        <f>J25</f>
        <v>100</v>
      </c>
      <c r="X25" s="3455"/>
      <c r="Y25" s="3690"/>
      <c r="Z25" s="3453" t="str">
        <f>Q25</f>
        <v>毗邻道路的类型与等级</v>
      </c>
      <c r="AA25" s="3452">
        <f t="shared" si="3"/>
        <v>1</v>
      </c>
      <c r="AB25" s="3452">
        <f t="shared" si="4"/>
        <v>1</v>
      </c>
      <c r="AC25" s="1961">
        <f t="shared" si="5"/>
        <v>1</v>
      </c>
    </row>
    <row r="26" spans="1:29" ht="15.75" hidden="1" thickBot="1">
      <c r="A26" s="358"/>
      <c r="B26" s="580"/>
      <c r="C26" s="582"/>
      <c r="D26" s="386"/>
      <c r="E26" s="565"/>
      <c r="F26" s="386"/>
      <c r="G26" s="582"/>
      <c r="H26" s="386"/>
      <c r="I26" s="565"/>
      <c r="J26" s="386"/>
      <c r="K26" s="564"/>
      <c r="L26" s="2721"/>
      <c r="M26" s="2715"/>
      <c r="N26" s="2715"/>
      <c r="O26" s="2715"/>
      <c r="P26" s="3688"/>
      <c r="Q26" s="3451"/>
      <c r="R26" s="704"/>
      <c r="S26" s="705"/>
      <c r="T26" s="704"/>
      <c r="U26" s="705"/>
      <c r="V26" s="704"/>
      <c r="W26" s="705"/>
      <c r="X26" s="3455"/>
      <c r="Y26" s="3690"/>
      <c r="Z26" s="3453"/>
      <c r="AA26" s="3452">
        <v>1</v>
      </c>
      <c r="AB26" s="3452">
        <v>1</v>
      </c>
      <c r="AC26" s="1961">
        <v>1</v>
      </c>
    </row>
    <row r="27" spans="1:29" ht="15.75" hidden="1" thickBot="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8"/>
      <c r="Q27" s="3451" t="str">
        <f t="shared" ref="Q27:Q47" si="11">B27</f>
        <v>楼层</v>
      </c>
      <c r="R27" s="704" t="s">
        <v>14</v>
      </c>
      <c r="S27" s="705">
        <f>F27</f>
        <v>100</v>
      </c>
      <c r="T27" s="704" t="s">
        <v>14</v>
      </c>
      <c r="U27" s="705">
        <f>H27</f>
        <v>100</v>
      </c>
      <c r="V27" s="704" t="s">
        <v>14</v>
      </c>
      <c r="W27" s="705">
        <f>J27</f>
        <v>100</v>
      </c>
      <c r="X27" s="3455"/>
      <c r="Y27" s="3690"/>
      <c r="Z27" s="3453" t="str">
        <f>Q27</f>
        <v>楼层</v>
      </c>
      <c r="AA27" s="3452">
        <f t="shared" si="3"/>
        <v>1</v>
      </c>
      <c r="AB27" s="34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8"/>
      <c r="Q28" s="3450" t="str">
        <f t="shared" si="11"/>
        <v>朝向</v>
      </c>
      <c r="R28" s="700" t="s">
        <v>14</v>
      </c>
      <c r="S28" s="701">
        <f>F28</f>
        <v>100</v>
      </c>
      <c r="T28" s="700" t="s">
        <v>14</v>
      </c>
      <c r="U28" s="701">
        <f>H28</f>
        <v>100</v>
      </c>
      <c r="V28" s="700" t="s">
        <v>14</v>
      </c>
      <c r="W28" s="701">
        <f>J28</f>
        <v>100</v>
      </c>
      <c r="X28" s="702"/>
      <c r="Y28" s="3690"/>
      <c r="Z28" s="3449" t="str">
        <f>Q28</f>
        <v>朝向</v>
      </c>
      <c r="AA28" s="3452">
        <f>D28/F28</f>
        <v>1</v>
      </c>
      <c r="AB28" s="3452">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8"/>
      <c r="Q29" s="3451">
        <f t="shared" si="11"/>
        <v>111</v>
      </c>
      <c r="R29" s="704" t="s">
        <v>14</v>
      </c>
      <c r="S29" s="705">
        <f t="shared" ref="S29:S47" si="12">F29</f>
        <v>100</v>
      </c>
      <c r="T29" s="704" t="s">
        <v>14</v>
      </c>
      <c r="U29" s="705">
        <f t="shared" ref="U29:U47" si="13">H29</f>
        <v>100</v>
      </c>
      <c r="V29" s="704" t="s">
        <v>14</v>
      </c>
      <c r="W29" s="705">
        <f t="shared" ref="W29:W47" si="14">J29</f>
        <v>100</v>
      </c>
      <c r="X29" s="3455"/>
      <c r="Y29" s="3690"/>
      <c r="Z29" s="3453">
        <f t="shared" ref="Z29:Z47" si="15">Q29</f>
        <v>111</v>
      </c>
      <c r="AA29" s="3452">
        <f t="shared" si="3"/>
        <v>1</v>
      </c>
      <c r="AB29" s="3452">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8"/>
      <c r="Q30" s="3451">
        <f t="shared" si="11"/>
        <v>111</v>
      </c>
      <c r="R30" s="704" t="s">
        <v>14</v>
      </c>
      <c r="S30" s="705">
        <f t="shared" si="12"/>
        <v>100</v>
      </c>
      <c r="T30" s="704" t="s">
        <v>14</v>
      </c>
      <c r="U30" s="705">
        <f t="shared" si="13"/>
        <v>100</v>
      </c>
      <c r="V30" s="704" t="s">
        <v>14</v>
      </c>
      <c r="W30" s="705">
        <f t="shared" si="14"/>
        <v>100</v>
      </c>
      <c r="X30" s="3455"/>
      <c r="Y30" s="3690"/>
      <c r="Z30" s="3453">
        <f t="shared" si="15"/>
        <v>111</v>
      </c>
      <c r="AA30" s="3452">
        <f t="shared" si="3"/>
        <v>1</v>
      </c>
      <c r="AB30" s="3452">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8"/>
      <c r="Q31" s="3451">
        <f t="shared" si="11"/>
        <v>111</v>
      </c>
      <c r="R31" s="704" t="s">
        <v>14</v>
      </c>
      <c r="S31" s="705">
        <f t="shared" si="12"/>
        <v>100</v>
      </c>
      <c r="T31" s="704" t="s">
        <v>14</v>
      </c>
      <c r="U31" s="705">
        <f t="shared" si="13"/>
        <v>100</v>
      </c>
      <c r="V31" s="704" t="s">
        <v>14</v>
      </c>
      <c r="W31" s="705">
        <f t="shared" si="14"/>
        <v>100</v>
      </c>
      <c r="X31" s="3455"/>
      <c r="Y31" s="3690"/>
      <c r="Z31" s="3453">
        <f t="shared" si="15"/>
        <v>111</v>
      </c>
      <c r="AA31" s="3452">
        <f t="shared" si="3"/>
        <v>1</v>
      </c>
      <c r="AB31" s="34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8"/>
      <c r="Q32" s="3451">
        <f t="shared" si="11"/>
        <v>111</v>
      </c>
      <c r="R32" s="704" t="s">
        <v>14</v>
      </c>
      <c r="S32" s="705">
        <f t="shared" si="12"/>
        <v>100</v>
      </c>
      <c r="T32" s="704" t="s">
        <v>14</v>
      </c>
      <c r="U32" s="705">
        <f t="shared" si="13"/>
        <v>100</v>
      </c>
      <c r="V32" s="704" t="s">
        <v>14</v>
      </c>
      <c r="W32" s="705">
        <f t="shared" si="14"/>
        <v>100</v>
      </c>
      <c r="X32" s="3455"/>
      <c r="Y32" s="3690"/>
      <c r="Z32" s="3453">
        <f t="shared" si="15"/>
        <v>111</v>
      </c>
      <c r="AA32" s="3452">
        <f t="shared" si="3"/>
        <v>1</v>
      </c>
      <c r="AB32" s="34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91" t="s">
        <v>1696</v>
      </c>
      <c r="Q33" s="3451" t="str">
        <f t="shared" si="11"/>
        <v>建筑类型</v>
      </c>
      <c r="R33" s="704" t="s">
        <v>14</v>
      </c>
      <c r="S33" s="705">
        <f t="shared" si="12"/>
        <v>100</v>
      </c>
      <c r="T33" s="704" t="s">
        <v>14</v>
      </c>
      <c r="U33" s="705">
        <f t="shared" si="13"/>
        <v>100</v>
      </c>
      <c r="V33" s="704" t="s">
        <v>14</v>
      </c>
      <c r="W33" s="705">
        <f t="shared" si="14"/>
        <v>100</v>
      </c>
      <c r="X33" s="3455"/>
      <c r="Y33" s="3694" t="s">
        <v>1696</v>
      </c>
      <c r="Z33" s="3453" t="str">
        <f t="shared" si="15"/>
        <v>建筑类型</v>
      </c>
      <c r="AA33" s="3452">
        <f t="shared" si="3"/>
        <v>1</v>
      </c>
      <c r="AB33" s="3452">
        <f t="shared" si="4"/>
        <v>1</v>
      </c>
      <c r="AC33" s="1961">
        <f t="shared" si="5"/>
        <v>1</v>
      </c>
    </row>
    <row r="34" spans="1:29" s="422" customFormat="1" ht="15">
      <c r="A34" s="419"/>
      <c r="B34" s="375" t="s">
        <v>1697</v>
      </c>
      <c r="C34" s="420">
        <f>'数据-汇总表'!E3</f>
        <v>145.47</v>
      </c>
      <c r="D34" s="127">
        <v>100</v>
      </c>
      <c r="E34" s="420">
        <v>363.05</v>
      </c>
      <c r="F34" s="376">
        <f>LOOKUP(E34,104:104,105:105)-LOOKUP(C34,104:104,105:105)+100</f>
        <v>100</v>
      </c>
      <c r="G34" s="420">
        <v>342</v>
      </c>
      <c r="H34" s="127">
        <f>LOOKUP(G34,104:104,105:105)-LOOKUP(C34,104:104,105:105)+100</f>
        <v>100</v>
      </c>
      <c r="I34" s="420">
        <v>160</v>
      </c>
      <c r="J34" s="127">
        <f>LOOKUP(I34,104:104,105:105)-LOOKUP(C34,104:104,105:105)+100</f>
        <v>100</v>
      </c>
      <c r="K34" s="562"/>
      <c r="L34" s="2720"/>
      <c r="M34" s="2722"/>
      <c r="N34" s="2722"/>
      <c r="O34" s="2722"/>
      <c r="P34" s="3692"/>
      <c r="Q34" s="706" t="str">
        <f t="shared" si="11"/>
        <v>项目建筑规模</v>
      </c>
      <c r="R34" s="707" t="s">
        <v>14</v>
      </c>
      <c r="S34" s="708">
        <f t="shared" si="12"/>
        <v>100</v>
      </c>
      <c r="T34" s="707" t="s">
        <v>14</v>
      </c>
      <c r="U34" s="708">
        <f t="shared" si="13"/>
        <v>100</v>
      </c>
      <c r="V34" s="707" t="s">
        <v>14</v>
      </c>
      <c r="W34" s="708">
        <f t="shared" si="14"/>
        <v>100</v>
      </c>
      <c r="X34" s="709"/>
      <c r="Y34" s="3694"/>
      <c r="Z34" s="710" t="str">
        <f t="shared" si="15"/>
        <v>项目建筑规模</v>
      </c>
      <c r="AA34" s="3452">
        <f t="shared" si="3"/>
        <v>1</v>
      </c>
      <c r="AB34" s="3452">
        <f t="shared" si="4"/>
        <v>1</v>
      </c>
      <c r="AC34" s="1961">
        <f t="shared" si="5"/>
        <v>1</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92"/>
      <c r="Q35" s="3451" t="str">
        <f t="shared" si="11"/>
        <v>建筑结构</v>
      </c>
      <c r="R35" s="704" t="s">
        <v>14</v>
      </c>
      <c r="S35" s="705">
        <f t="shared" si="12"/>
        <v>100</v>
      </c>
      <c r="T35" s="704" t="s">
        <v>14</v>
      </c>
      <c r="U35" s="705">
        <f t="shared" si="13"/>
        <v>100</v>
      </c>
      <c r="V35" s="704" t="s">
        <v>14</v>
      </c>
      <c r="W35" s="705">
        <f t="shared" si="14"/>
        <v>100</v>
      </c>
      <c r="X35" s="3455"/>
      <c r="Y35" s="3694"/>
      <c r="Z35" s="3453" t="str">
        <f t="shared" si="15"/>
        <v>建筑结构</v>
      </c>
      <c r="AA35" s="3452">
        <f t="shared" si="3"/>
        <v>1</v>
      </c>
      <c r="AB35" s="34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92"/>
      <c r="Q36" s="3451" t="str">
        <f t="shared" si="11"/>
        <v>公共部分装修</v>
      </c>
      <c r="R36" s="704" t="s">
        <v>14</v>
      </c>
      <c r="S36" s="705">
        <f t="shared" si="12"/>
        <v>100</v>
      </c>
      <c r="T36" s="704" t="s">
        <v>14</v>
      </c>
      <c r="U36" s="705">
        <f t="shared" si="13"/>
        <v>100</v>
      </c>
      <c r="V36" s="704" t="s">
        <v>14</v>
      </c>
      <c r="W36" s="705">
        <f t="shared" si="14"/>
        <v>100</v>
      </c>
      <c r="X36" s="3455"/>
      <c r="Y36" s="3694"/>
      <c r="Z36" s="3453" t="str">
        <f t="shared" si="15"/>
        <v>公共部分装修</v>
      </c>
      <c r="AA36" s="3452">
        <f t="shared" si="3"/>
        <v>1</v>
      </c>
      <c r="AB36" s="34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92"/>
      <c r="Q37" s="3451" t="str">
        <f t="shared" si="11"/>
        <v>成新度</v>
      </c>
      <c r="R37" s="704" t="s">
        <v>14</v>
      </c>
      <c r="S37" s="705">
        <f t="shared" si="12"/>
        <v>100</v>
      </c>
      <c r="T37" s="704" t="s">
        <v>14</v>
      </c>
      <c r="U37" s="705">
        <f t="shared" si="13"/>
        <v>100</v>
      </c>
      <c r="V37" s="704" t="s">
        <v>14</v>
      </c>
      <c r="W37" s="705">
        <f t="shared" si="14"/>
        <v>100</v>
      </c>
      <c r="X37" s="3455"/>
      <c r="Y37" s="3694"/>
      <c r="Z37" s="3453" t="str">
        <f t="shared" si="15"/>
        <v>成新度</v>
      </c>
      <c r="AA37" s="3452">
        <f t="shared" si="3"/>
        <v>1</v>
      </c>
      <c r="AB37" s="34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92"/>
      <c r="Q38" s="3450" t="str">
        <f t="shared" si="11"/>
        <v>写字楼等级</v>
      </c>
      <c r="R38" s="700" t="s">
        <v>14</v>
      </c>
      <c r="S38" s="701">
        <f t="shared" si="12"/>
        <v>100</v>
      </c>
      <c r="T38" s="700" t="s">
        <v>14</v>
      </c>
      <c r="U38" s="701">
        <f t="shared" si="13"/>
        <v>100</v>
      </c>
      <c r="V38" s="700" t="s">
        <v>14</v>
      </c>
      <c r="W38" s="701">
        <f t="shared" si="14"/>
        <v>100</v>
      </c>
      <c r="X38" s="702"/>
      <c r="Y38" s="3694"/>
      <c r="Z38" s="3449"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92" t="s">
        <v>1696</v>
      </c>
      <c r="Q39" s="3451" t="str">
        <f t="shared" si="11"/>
        <v>物业管理</v>
      </c>
      <c r="R39" s="704" t="s">
        <v>14</v>
      </c>
      <c r="S39" s="705">
        <f t="shared" si="12"/>
        <v>100</v>
      </c>
      <c r="T39" s="704" t="s">
        <v>14</v>
      </c>
      <c r="U39" s="705">
        <f t="shared" si="13"/>
        <v>100</v>
      </c>
      <c r="V39" s="704" t="s">
        <v>14</v>
      </c>
      <c r="W39" s="705">
        <f t="shared" si="14"/>
        <v>100</v>
      </c>
      <c r="X39" s="3455"/>
      <c r="Y39" s="3694" t="s">
        <v>1696</v>
      </c>
      <c r="Z39" s="3453" t="str">
        <f t="shared" si="15"/>
        <v>物业管理</v>
      </c>
      <c r="AA39" s="3452">
        <f t="shared" si="3"/>
        <v>1</v>
      </c>
      <c r="AB39" s="34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92"/>
      <c r="Q40" s="3451" t="str">
        <f t="shared" si="11"/>
        <v>市政基础设施</v>
      </c>
      <c r="R40" s="704" t="s">
        <v>14</v>
      </c>
      <c r="S40" s="705">
        <f t="shared" si="12"/>
        <v>100</v>
      </c>
      <c r="T40" s="704" t="s">
        <v>14</v>
      </c>
      <c r="U40" s="705">
        <f t="shared" si="13"/>
        <v>100</v>
      </c>
      <c r="V40" s="704" t="s">
        <v>14</v>
      </c>
      <c r="W40" s="705">
        <f t="shared" si="14"/>
        <v>100</v>
      </c>
      <c r="X40" s="3455"/>
      <c r="Y40" s="3694"/>
      <c r="Z40" s="3453" t="str">
        <f t="shared" si="15"/>
        <v>市政基础设施</v>
      </c>
      <c r="AA40" s="3452">
        <f t="shared" si="3"/>
        <v>1</v>
      </c>
      <c r="AB40" s="34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92"/>
      <c r="Q41" s="3451" t="str">
        <f t="shared" si="11"/>
        <v>层高</v>
      </c>
      <c r="R41" s="704" t="s">
        <v>14</v>
      </c>
      <c r="S41" s="705">
        <f t="shared" si="12"/>
        <v>100</v>
      </c>
      <c r="T41" s="704" t="s">
        <v>14</v>
      </c>
      <c r="U41" s="705">
        <f t="shared" si="13"/>
        <v>100</v>
      </c>
      <c r="V41" s="704" t="s">
        <v>14</v>
      </c>
      <c r="W41" s="705">
        <f t="shared" si="14"/>
        <v>100</v>
      </c>
      <c r="X41" s="3455"/>
      <c r="Y41" s="3694"/>
      <c r="Z41" s="3453" t="str">
        <f t="shared" si="15"/>
        <v>层高</v>
      </c>
      <c r="AA41" s="3452">
        <f t="shared" si="3"/>
        <v>1</v>
      </c>
      <c r="AB41" s="3452">
        <f t="shared" si="4"/>
        <v>1</v>
      </c>
      <c r="AC41" s="1961">
        <f t="shared" si="5"/>
        <v>1</v>
      </c>
    </row>
    <row r="42" spans="1:29" s="422" customFormat="1" ht="15" hidden="1">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2"/>
      <c r="Q42" s="706" t="str">
        <f t="shared" si="11"/>
        <v>单套建筑面积</v>
      </c>
      <c r="R42" s="707" t="s">
        <v>14</v>
      </c>
      <c r="S42" s="708">
        <f t="shared" si="12"/>
        <v>100</v>
      </c>
      <c r="T42" s="707" t="s">
        <v>14</v>
      </c>
      <c r="U42" s="708">
        <f t="shared" si="13"/>
        <v>100</v>
      </c>
      <c r="V42" s="707" t="s">
        <v>14</v>
      </c>
      <c r="W42" s="708">
        <f t="shared" si="14"/>
        <v>100</v>
      </c>
      <c r="X42" s="709"/>
      <c r="Y42" s="3694"/>
      <c r="Z42" s="710" t="str">
        <f t="shared" si="15"/>
        <v>单套建筑面积</v>
      </c>
      <c r="AA42" s="3452">
        <f t="shared" si="3"/>
        <v>1</v>
      </c>
      <c r="AB42" s="3452">
        <f t="shared" si="4"/>
        <v>1</v>
      </c>
      <c r="AC42" s="1961">
        <f t="shared" si="5"/>
        <v>1</v>
      </c>
    </row>
    <row r="43" spans="1:29" ht="15">
      <c r="A43" s="423"/>
      <c r="B43" s="375" t="s">
        <v>1792</v>
      </c>
      <c r="C43" s="411" t="s">
        <v>3430</v>
      </c>
      <c r="D43" s="386">
        <v>100</v>
      </c>
      <c r="E43" s="411" t="s">
        <v>3430</v>
      </c>
      <c r="F43" s="412">
        <f>SUMIF(123:123,E43,124:124)-SUMIF(123:123,C43,124:124)+100</f>
        <v>100</v>
      </c>
      <c r="G43" s="411" t="s">
        <v>3426</v>
      </c>
      <c r="H43" s="386">
        <f>SUMIF(123:123,G43,124:124)-SUMIF(123:123,C43,124:124)+100</f>
        <v>102</v>
      </c>
      <c r="I43" s="411" t="s">
        <v>3426</v>
      </c>
      <c r="J43" s="386">
        <f>SUMIF(123:123,I43,124:124)-SUMIF(123:123,C43,124:124)+100</f>
        <v>102</v>
      </c>
      <c r="K43" s="561">
        <v>1</v>
      </c>
      <c r="L43" s="2721"/>
      <c r="M43" s="2715"/>
      <c r="N43" s="2715"/>
      <c r="O43" s="2715"/>
      <c r="P43" s="3692"/>
      <c r="Q43" s="3451" t="str">
        <f t="shared" si="11"/>
        <v>内部装修</v>
      </c>
      <c r="R43" s="704" t="s">
        <v>14</v>
      </c>
      <c r="S43" s="705">
        <f t="shared" si="12"/>
        <v>100</v>
      </c>
      <c r="T43" s="704" t="s">
        <v>14</v>
      </c>
      <c r="U43" s="705">
        <f t="shared" si="13"/>
        <v>102</v>
      </c>
      <c r="V43" s="704" t="s">
        <v>14</v>
      </c>
      <c r="W43" s="705">
        <f t="shared" si="14"/>
        <v>102</v>
      </c>
      <c r="X43" s="3455"/>
      <c r="Y43" s="3694"/>
      <c r="Z43" s="3453" t="str">
        <f t="shared" si="15"/>
        <v>内部装修</v>
      </c>
      <c r="AA43" s="3452">
        <f t="shared" si="3"/>
        <v>1</v>
      </c>
      <c r="AB43" s="3452">
        <f t="shared" si="4"/>
        <v>0.98039215686274506</v>
      </c>
      <c r="AC43" s="1961">
        <f t="shared" si="5"/>
        <v>0.98039215686274506</v>
      </c>
    </row>
    <row r="44" spans="1:29" ht="15.75" thickBot="1">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92"/>
      <c r="Q44" s="3451" t="str">
        <f t="shared" si="11"/>
        <v>内部装修维护情况</v>
      </c>
      <c r="R44" s="704" t="s">
        <v>14</v>
      </c>
      <c r="S44" s="705">
        <f t="shared" si="12"/>
        <v>100</v>
      </c>
      <c r="T44" s="704" t="s">
        <v>14</v>
      </c>
      <c r="U44" s="705">
        <f t="shared" si="13"/>
        <v>100</v>
      </c>
      <c r="V44" s="704" t="s">
        <v>14</v>
      </c>
      <c r="W44" s="705">
        <f t="shared" si="14"/>
        <v>100</v>
      </c>
      <c r="X44" s="3455"/>
      <c r="Y44" s="3694"/>
      <c r="Z44" s="3453" t="str">
        <f t="shared" si="15"/>
        <v>内部装修维护情况</v>
      </c>
      <c r="AA44" s="3452">
        <f t="shared" si="3"/>
        <v>1</v>
      </c>
      <c r="AB44" s="3452">
        <f t="shared" si="4"/>
        <v>1</v>
      </c>
      <c r="AC44" s="1961">
        <f t="shared" si="5"/>
        <v>1</v>
      </c>
    </row>
    <row r="45" spans="1:29" s="108" customFormat="1" ht="15.75" hidden="1" thickBot="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2"/>
      <c r="Q45" s="3450">
        <f t="shared" si="11"/>
        <v>111</v>
      </c>
      <c r="R45" s="700" t="s">
        <v>14</v>
      </c>
      <c r="S45" s="701">
        <f t="shared" si="12"/>
        <v>100</v>
      </c>
      <c r="T45" s="700" t="s">
        <v>14</v>
      </c>
      <c r="U45" s="701">
        <f t="shared" si="13"/>
        <v>100</v>
      </c>
      <c r="V45" s="700" t="s">
        <v>14</v>
      </c>
      <c r="W45" s="701">
        <f t="shared" si="14"/>
        <v>100</v>
      </c>
      <c r="X45" s="702"/>
      <c r="Y45" s="3694"/>
      <c r="Z45" s="3449">
        <f t="shared" si="15"/>
        <v>111</v>
      </c>
      <c r="AA45" s="703">
        <f t="shared" si="3"/>
        <v>1</v>
      </c>
      <c r="AB45" s="703">
        <f t="shared" si="4"/>
        <v>1</v>
      </c>
      <c r="AC45" s="1958">
        <f t="shared" si="5"/>
        <v>1</v>
      </c>
    </row>
    <row r="46" spans="1:29" ht="15.75" hidden="1" thickBot="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2"/>
      <c r="Q46" s="3451">
        <f t="shared" si="11"/>
        <v>111</v>
      </c>
      <c r="R46" s="704" t="s">
        <v>14</v>
      </c>
      <c r="S46" s="705">
        <f t="shared" si="12"/>
        <v>100</v>
      </c>
      <c r="T46" s="704" t="s">
        <v>14</v>
      </c>
      <c r="U46" s="705">
        <f t="shared" si="13"/>
        <v>100</v>
      </c>
      <c r="V46" s="704" t="s">
        <v>14</v>
      </c>
      <c r="W46" s="705">
        <f t="shared" si="14"/>
        <v>100</v>
      </c>
      <c r="X46" s="3455"/>
      <c r="Y46" s="3694"/>
      <c r="Z46" s="3453">
        <f t="shared" si="15"/>
        <v>111</v>
      </c>
      <c r="AA46" s="3452">
        <f t="shared" si="3"/>
        <v>1</v>
      </c>
      <c r="AB46" s="34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3"/>
      <c r="Q47" s="3451">
        <f t="shared" si="11"/>
        <v>111</v>
      </c>
      <c r="R47" s="704" t="s">
        <v>14</v>
      </c>
      <c r="S47" s="705">
        <f t="shared" si="12"/>
        <v>100</v>
      </c>
      <c r="T47" s="704" t="s">
        <v>14</v>
      </c>
      <c r="U47" s="705">
        <f t="shared" si="13"/>
        <v>100</v>
      </c>
      <c r="V47" s="704" t="s">
        <v>14</v>
      </c>
      <c r="W47" s="705">
        <f t="shared" si="14"/>
        <v>100</v>
      </c>
      <c r="X47" s="3455"/>
      <c r="Y47" s="3695"/>
      <c r="Z47" s="3453">
        <f t="shared" si="15"/>
        <v>111</v>
      </c>
      <c r="AA47" s="3452">
        <f t="shared" si="3"/>
        <v>1</v>
      </c>
      <c r="AB47" s="3452">
        <f t="shared" si="4"/>
        <v>1</v>
      </c>
      <c r="AC47" s="1961">
        <f t="shared" si="5"/>
        <v>1</v>
      </c>
    </row>
    <row r="48" spans="1:29" ht="15">
      <c r="A48" s="430" t="s">
        <v>1708</v>
      </c>
      <c r="B48" s="431"/>
      <c r="C48" s="1153" t="s">
        <v>0</v>
      </c>
      <c r="D48" s="1154"/>
      <c r="E48" s="1155">
        <v>3.5</v>
      </c>
      <c r="F48" s="1156"/>
      <c r="G48" s="1157">
        <v>3.6</v>
      </c>
      <c r="H48" s="1158"/>
      <c r="I48" s="1155">
        <v>3.6</v>
      </c>
      <c r="J48" s="436"/>
      <c r="K48" s="713"/>
      <c r="L48" s="2723"/>
      <c r="M48" s="2715"/>
      <c r="N48" s="2715"/>
      <c r="O48" s="2715"/>
      <c r="P48" s="3667" t="str">
        <f>A48</f>
        <v>成交单价（元/平方米）</v>
      </c>
      <c r="Q48" s="3696"/>
      <c r="R48" s="3697">
        <f>E48</f>
        <v>3.5</v>
      </c>
      <c r="S48" s="3697"/>
      <c r="T48" s="3697">
        <f>G48</f>
        <v>3.6</v>
      </c>
      <c r="U48" s="3697"/>
      <c r="V48" s="3697">
        <f>I48</f>
        <v>3.6</v>
      </c>
      <c r="W48" s="3697"/>
      <c r="X48" s="397"/>
      <c r="Y48" s="711"/>
      <c r="Z48" s="397"/>
      <c r="AA48" s="397"/>
      <c r="AB48" s="397"/>
      <c r="AC48" s="578"/>
    </row>
    <row r="49" spans="1:29" ht="15.75" thickBot="1">
      <c r="A49" s="437" t="s">
        <v>1793</v>
      </c>
      <c r="B49" s="438"/>
      <c r="C49" s="1159">
        <f>R50</f>
        <v>3.5</v>
      </c>
      <c r="D49" s="2316" t="s">
        <v>2137</v>
      </c>
      <c r="E49" s="1160">
        <f>R49</f>
        <v>3.4</v>
      </c>
      <c r="F49" s="2317"/>
      <c r="G49" s="1159">
        <f>T49</f>
        <v>3.5</v>
      </c>
      <c r="H49" s="2317"/>
      <c r="I49" s="1160">
        <f>V49</f>
        <v>3.5</v>
      </c>
      <c r="J49" s="2317"/>
      <c r="K49" s="2319">
        <f>F49+H49+J49</f>
        <v>0</v>
      </c>
      <c r="L49" s="2723"/>
      <c r="M49" s="2715"/>
      <c r="N49" s="2715"/>
      <c r="O49" s="2715"/>
      <c r="P49" s="3667" t="str">
        <f>A49</f>
        <v>比较价值（元/平方米）</v>
      </c>
      <c r="Q49" s="3696"/>
      <c r="R49" s="3697">
        <f>IF(F1="售价",ROUND(PRODUCT(R48,AA7:AA47),0),ROUND(PRODUCT(R48,AA7:AA47),1))</f>
        <v>3.4</v>
      </c>
      <c r="S49" s="3697"/>
      <c r="T49" s="3697">
        <f>IF(F1="售价",ROUND(PRODUCT(T48,AB7:AB47),0),ROUND(PRODUCT(T48,AB7:AB47),1))</f>
        <v>3.5</v>
      </c>
      <c r="U49" s="3697"/>
      <c r="V49" s="3697">
        <f>IF(F1="售价",ROUND(PRODUCT(V48,AC7:AC47),0),ROUND(PRODUCT(V48,AC7:AC47),1))</f>
        <v>3.5</v>
      </c>
      <c r="W49" s="3697"/>
      <c r="X49" s="397"/>
      <c r="Y49" s="397"/>
      <c r="Z49" s="397"/>
      <c r="AA49" s="397"/>
      <c r="AB49" s="397"/>
      <c r="AC49" s="578"/>
    </row>
    <row r="50" spans="1:29" ht="15.75" thickBot="1">
      <c r="A50" s="441" t="s">
        <v>1794</v>
      </c>
      <c r="B50" s="442"/>
      <c r="C50" s="1162">
        <f>R50</f>
        <v>3.5</v>
      </c>
      <c r="D50" s="1162"/>
      <c r="E50" s="1162"/>
      <c r="F50" s="1162"/>
      <c r="G50" s="1162"/>
      <c r="H50" s="1162"/>
      <c r="I50" s="1162"/>
      <c r="J50" s="443"/>
      <c r="K50" s="714"/>
      <c r="L50" s="2723"/>
      <c r="M50" s="2715"/>
      <c r="N50" s="2715"/>
      <c r="O50" s="2715"/>
      <c r="P50" s="3698" t="str">
        <f>A50</f>
        <v>估价对象XX用房的比较价值（楼面单价，元/平方米）</v>
      </c>
      <c r="Q50" s="3699"/>
      <c r="R50" s="3700">
        <f>IF(F1="售价",ROUND(IF(D49="简单平均",AVERAGE(R49:V49),R49*F49+T49*H49+V49*J49),0),ROUND(IF(D49="简单平均",AVERAGE(R49:V49),R49*F49+T49*H49+V49*J49),1))</f>
        <v>3.5</v>
      </c>
      <c r="S50" s="3700"/>
      <c r="T50" s="3700"/>
      <c r="U50" s="3700"/>
      <c r="V50" s="3700"/>
      <c r="W50" s="370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2.941176470588247E-2</v>
      </c>
      <c r="F53" s="449" t="str">
        <f>IF(OR(E53&gt;=0.3,E53&lt;=-0.3),"超过30%","")</f>
        <v/>
      </c>
      <c r="G53" s="448">
        <f>IF(G48&lt;G49,G49/G48-1,G48/G49-1)</f>
        <v>2.8571428571428692E-2</v>
      </c>
      <c r="H53" s="449" t="str">
        <f>IF(OR(G53&gt;=0.3,G53&lt;=-0.3),"超过30%","")</f>
        <v/>
      </c>
      <c r="I53" s="448">
        <f>IF(I48&lt;I49,I49/I48-1,I48/I49-1)</f>
        <v>2.8571428571428692E-2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2.941176470588247E-2</v>
      </c>
      <c r="F54" s="449" t="str">
        <f>IF(OR(E54&gt;=0.2,E54&lt;=-0.2),"超过20%","")</f>
        <v/>
      </c>
      <c r="G54" s="448">
        <f>IF(G49&lt;I49,I49/G49-1,G49/I49-1)</f>
        <v>0</v>
      </c>
      <c r="H54" s="449" t="str">
        <f>IF(OR(G54&gt;=0.2,G54&lt;=-0.2),"超过20%","")</f>
        <v/>
      </c>
      <c r="I54" s="448">
        <f>IF(I49&lt;E49,E49/I49-1,I49/E49-1)</f>
        <v>2.941176470588247E-2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2.8571428571428692E-2</v>
      </c>
      <c r="F55" s="449" t="str">
        <f>IF(OR(E55&gt;=0.3,E55&lt;=-0.3),"超过30%","")</f>
        <v/>
      </c>
      <c r="G55" s="448">
        <f>IF(G48&lt;I48,I48/G48-1,G48/I48-1)</f>
        <v>0</v>
      </c>
      <c r="H55" s="449" t="str">
        <f>IF(OR(G55&gt;=0.3,G55&lt;=-0.3),"超过30%","")</f>
        <v/>
      </c>
      <c r="I55" s="448">
        <f>IF(I48&lt;E48,E48/I48-1,I48/E48-1)</f>
        <v>2.8571428571428692E-2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3442</v>
      </c>
      <c r="D123" s="3458" t="s">
        <v>3443</v>
      </c>
      <c r="E123" s="3458" t="s">
        <v>3444</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3458" t="s">
        <v>3421</v>
      </c>
      <c r="D127" s="3458" t="s">
        <v>3422</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95</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28" sqref="L2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251.63419999999999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17298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1328785.8999999999</v>
      </c>
      <c r="D5" s="211" t="s">
        <v>1469</v>
      </c>
      <c r="E5" s="212" t="s">
        <v>1470</v>
      </c>
      <c r="F5" s="212" t="s">
        <v>1471</v>
      </c>
      <c r="G5" s="213"/>
    </row>
    <row r="6" spans="1:8" s="214" customFormat="1" ht="13.5" customHeight="1">
      <c r="A6" s="777" t="s">
        <v>1472</v>
      </c>
      <c r="B6" s="215" t="s">
        <v>1473</v>
      </c>
      <c r="C6" s="216">
        <f>基准地价修正!C33*基准地价修正!D33</f>
        <v>1261224.8999999999</v>
      </c>
      <c r="D6" s="217"/>
      <c r="E6" s="218"/>
      <c r="F6" s="218"/>
      <c r="G6" s="219"/>
    </row>
    <row r="7" spans="1:8" s="214" customFormat="1" ht="13.5" customHeight="1">
      <c r="A7" s="777" t="s">
        <v>1474</v>
      </c>
      <c r="B7" s="215" t="s">
        <v>1475</v>
      </c>
      <c r="C7" s="220">
        <f>ROUND(C6*F7,0)</f>
        <v>38467</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29094</v>
      </c>
      <c r="D8" s="222"/>
      <c r="E8" s="220"/>
      <c r="F8" s="221"/>
      <c r="G8" s="1855" t="s">
        <v>3389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29094</v>
      </c>
      <c r="D10" s="844">
        <f ca="1">IF(B1="",'数据-汇总表'!E6,IF(INDIRECT("'数据-取费表'!c"&amp;$G$1)="住宅",INDIRECT("'数据-取费表'!s"&amp;$G$1),INDIRECT("'数据-取费表'!k"&amp;$G$1)+INDIRECT("'数据-取费表'!s"&amp;$G$1)))</f>
        <v>145.47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145.47</v>
      </c>
      <c r="E19" s="211">
        <f>'数据-取费表'!B31</f>
        <v>200</v>
      </c>
      <c r="F19" s="231"/>
      <c r="G19" s="1855" t="s">
        <v>3390</v>
      </c>
    </row>
    <row r="20" spans="1:7" s="214" customFormat="1" ht="13.5" customHeight="1">
      <c r="A20" s="255" t="s">
        <v>1574</v>
      </c>
      <c r="B20" s="210" t="s">
        <v>1575</v>
      </c>
      <c r="C20" s="232">
        <f ca="1">ROUND((C5+C19)*F20,0)</f>
        <v>26576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94185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93268</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917</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203304</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203304</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1790738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637158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581880</v>
      </c>
      <c r="D34" s="217"/>
      <c r="E34" s="220"/>
      <c r="F34" s="257"/>
      <c r="G34" s="219"/>
    </row>
    <row r="35" spans="1:7" ht="13.5" customHeight="1">
      <c r="A35" s="779" t="s">
        <v>351</v>
      </c>
      <c r="B35" s="215" t="s">
        <v>1527</v>
      </c>
      <c r="C35" s="220">
        <f ca="1">ROUND(C34*F35,0)</f>
        <v>17456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29094</v>
      </c>
      <c r="D37" s="217">
        <f ca="1">D19</f>
        <v>145.47</v>
      </c>
      <c r="E37" s="249">
        <f>'数据-取费表'!B35</f>
        <v>200</v>
      </c>
      <c r="F37" s="259"/>
      <c r="G37" s="261"/>
    </row>
    <row r="38" spans="1:7" ht="13.5" customHeight="1">
      <c r="A38" s="779" t="s">
        <v>354</v>
      </c>
      <c r="B38" s="215" t="s">
        <v>1533</v>
      </c>
      <c r="C38" s="220">
        <f ca="1">ROUND(C34*F38,0)</f>
        <v>8728</v>
      </c>
      <c r="D38" s="220"/>
      <c r="E38" s="220"/>
      <c r="F38" s="259">
        <f>'数据-取费表'!B36</f>
        <v>1.4999999999999999E-2</v>
      </c>
      <c r="G38" s="219" t="s">
        <v>1528</v>
      </c>
    </row>
    <row r="39" spans="1:7" s="214" customFormat="1" ht="13.5" customHeight="1">
      <c r="A39" s="255" t="s">
        <v>1534</v>
      </c>
      <c r="B39" s="210" t="s">
        <v>1535</v>
      </c>
      <c r="C39" s="232">
        <f ca="1">ROUND(C33*F20,0)</f>
        <v>12743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22422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21982</v>
      </c>
      <c r="D42" s="238"/>
      <c r="E42" s="238"/>
      <c r="F42" s="239"/>
      <c r="G42" s="3645" t="s">
        <v>1591</v>
      </c>
    </row>
    <row r="43" spans="1:7" ht="13.5" customHeight="1">
      <c r="A43" s="779" t="s">
        <v>347</v>
      </c>
      <c r="B43" s="215" t="s">
        <v>1545</v>
      </c>
      <c r="C43" s="238">
        <f ca="1">ROUND(IF('数据-取费表'!B22&lt;=1,C39*F22*'数据-取费表'!B20/2,C39*(POWER((1+F22),'数据-取费表'!B20/2)-1)),0)</f>
        <v>440</v>
      </c>
      <c r="D43" s="238"/>
      <c r="E43" s="238"/>
      <c r="F43" s="239"/>
      <c r="G43" s="3646"/>
    </row>
    <row r="44" spans="1:7" ht="13.5" customHeight="1">
      <c r="A44" s="779" t="s">
        <v>348</v>
      </c>
      <c r="B44" s="215" t="s">
        <v>1546</v>
      </c>
      <c r="C44" s="238">
        <f ca="1">ROUND(IF('数据-取费表'!B22&lt;=1,C40*F22*'数据-取费表'!B20/2,C40*(POWER((1+F22),'数据-取费表'!B20/2)-1)),4)</f>
        <v>6.9999999999999999E-4</v>
      </c>
      <c r="D44" s="238"/>
      <c r="E44" s="238"/>
      <c r="F44" s="239"/>
      <c r="G44" s="3647"/>
    </row>
    <row r="45" spans="1:7" s="214" customFormat="1" ht="13.5" customHeight="1">
      <c r="A45" s="255" t="s">
        <v>1547</v>
      </c>
      <c r="B45" s="244" t="s">
        <v>1513</v>
      </c>
      <c r="C45" s="245">
        <f ca="1">C46</f>
        <v>97485</v>
      </c>
      <c r="D45" s="235">
        <f ca="1">C47</f>
        <v>3.0000000000000001E-3</v>
      </c>
      <c r="E45" s="236" t="s">
        <v>1539</v>
      </c>
      <c r="F45" s="246">
        <f ca="1">F27</f>
        <v>0.15</v>
      </c>
      <c r="G45" s="247" t="s">
        <v>1548</v>
      </c>
    </row>
    <row r="46" spans="1:7" s="214" customFormat="1" ht="13.5" customHeight="1">
      <c r="A46" s="779" t="s">
        <v>346</v>
      </c>
      <c r="B46" s="248" t="s">
        <v>1549</v>
      </c>
      <c r="C46" s="249">
        <f ca="1">ROUND((C33+C39)*F27,0)</f>
        <v>97485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834028</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725604</v>
      </c>
      <c r="D51" s="232"/>
      <c r="E51" s="232"/>
      <c r="F51" s="264"/>
      <c r="G51" s="234" t="s">
        <v>1560</v>
      </c>
    </row>
    <row r="52" spans="1:7" s="208" customFormat="1" ht="16.5" thickBot="1">
      <c r="A52" s="265" t="s">
        <v>1561</v>
      </c>
      <c r="B52" s="266"/>
      <c r="C52" s="267">
        <f ca="1">C31+C51</f>
        <v>2516342</v>
      </c>
      <c r="D52" s="266"/>
      <c r="E52" s="266"/>
      <c r="F52" s="266"/>
      <c r="G52" s="268"/>
    </row>
    <row r="55" spans="1:7" ht="15">
      <c r="B55" s="270" t="s">
        <v>1562</v>
      </c>
      <c r="C55" s="271"/>
    </row>
    <row r="56" spans="1:7">
      <c r="B56" s="273" t="s">
        <v>802</v>
      </c>
      <c r="C56" s="275">
        <f ca="1">1-C57</f>
        <v>0.71199999999999997</v>
      </c>
    </row>
    <row r="57" spans="1:7">
      <c r="B57" s="273" t="s">
        <v>803</v>
      </c>
      <c r="C57" s="274">
        <f ca="1">ROUND(C51/C52,3)</f>
        <v>0.28799999999999998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145.47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145.47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9.0599999999999792E-2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145.47</v>
      </c>
      <c r="E20" s="21">
        <f>'数据-取费表'!B28</f>
        <v>200</v>
      </c>
      <c r="F20" s="803"/>
      <c r="G20" s="12"/>
      <c r="H20" s="808"/>
      <c r="I20" s="808"/>
      <c r="J20" s="808"/>
      <c r="K20" s="809"/>
    </row>
    <row r="21" spans="1:33" s="802" customFormat="1" ht="13.5" customHeight="1">
      <c r="A21" s="789" t="s">
        <v>357</v>
      </c>
      <c r="B21" s="812" t="s">
        <v>1628</v>
      </c>
      <c r="C21" s="813">
        <f ca="1">C16+C17+C18</f>
        <v>9.0599999999999792E-2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1" t="s">
        <v>694</v>
      </c>
      <c r="C6" s="1073">
        <f ca="1">ROUND(F6*F8*F7*(1-F9)/10000,0)</f>
        <v>0</v>
      </c>
      <c r="D6" s="155" t="s">
        <v>2108</v>
      </c>
      <c r="E6" s="302" t="s">
        <v>696</v>
      </c>
      <c r="F6" s="303">
        <f ca="1">INDIRECT("'数据-取费表'!u"&amp;$G$1)</f>
        <v>0</v>
      </c>
      <c r="G6" s="1383"/>
      <c r="H6" s="1068" t="s">
        <v>398</v>
      </c>
      <c r="I6" s="3701" t="s">
        <v>694</v>
      </c>
      <c r="J6" s="301">
        <f ca="1">ROUND(M6*M8*M7*(1-M9)/10000,0)</f>
        <v>0</v>
      </c>
      <c r="K6" s="155" t="s">
        <v>2107</v>
      </c>
      <c r="L6" s="302" t="s">
        <v>696</v>
      </c>
      <c r="M6" s="303">
        <f ca="1">INDIRECT("'数据-取费表'!z"&amp;$G$1)</f>
        <v>0</v>
      </c>
    </row>
    <row r="7" spans="1:37" ht="18" customHeight="1">
      <c r="A7" s="1072"/>
      <c r="B7" s="3702"/>
      <c r="C7" s="1074"/>
      <c r="D7" s="307"/>
      <c r="E7" s="1075" t="s">
        <v>697</v>
      </c>
      <c r="F7" s="303">
        <f ca="1">IF(INDIRECT("'数据-取费表'!ah"&amp;$G$1)="",INDIRECT("'数据-取费表'!k"&amp;$G$1),INDIRECT("'数据-取费表'!ah"&amp;$G$1))</f>
        <v>0</v>
      </c>
      <c r="G7" s="1383"/>
      <c r="H7" s="304"/>
      <c r="I7" s="3702"/>
      <c r="J7" s="306"/>
      <c r="K7" s="307"/>
      <c r="L7" s="302" t="s">
        <v>697</v>
      </c>
      <c r="M7" s="303">
        <f ca="1">F7</f>
        <v>0</v>
      </c>
    </row>
    <row r="8" spans="1:37" ht="18" customHeight="1">
      <c r="A8" s="304"/>
      <c r="B8" s="3702"/>
      <c r="C8" s="306"/>
      <c r="D8" s="307"/>
      <c r="E8" s="302" t="s">
        <v>698</v>
      </c>
      <c r="F8" s="303">
        <f ca="1">INDIRECT("'数据-取费表'!ai"&amp;$G$1)</f>
        <v>0</v>
      </c>
      <c r="G8" s="1383"/>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3"/>
      <c r="H9" s="304"/>
      <c r="I9" s="370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4" t="s">
        <v>837</v>
      </c>
      <c r="L53" s="370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H36" sqref="H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145.47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126</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13521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8662</v>
      </c>
      <c r="C3" s="1998" t="s">
        <v>1941</v>
      </c>
      <c r="D3" s="1999" t="s">
        <v>1942</v>
      </c>
      <c r="E3" s="3419" t="s">
        <v>3377</v>
      </c>
      <c r="F3" s="2003" t="s">
        <v>3378</v>
      </c>
      <c r="G3" s="751">
        <f>IF(F3="宗地容积率",'数据-汇总表'!I4,IF(F3="估价对象容积率",'数据-汇总表'!I6,'数据-汇总表'!I7))</f>
        <v>3</v>
      </c>
      <c r="H3" s="170" t="s">
        <v>1943</v>
      </c>
      <c r="I3" s="774">
        <v>12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10657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13"/>
      <c r="B4" s="3714"/>
      <c r="C4" s="3714"/>
      <c r="D4" s="3715"/>
      <c r="E4" s="3715"/>
      <c r="F4" s="3715"/>
      <c r="G4" s="3715"/>
      <c r="H4" s="3715"/>
      <c r="I4" s="3715"/>
      <c r="J4" s="371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9007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8980</v>
      </c>
      <c r="D5" s="1338">
        <f>ROUND(C6*C17+C20,0)</f>
        <v>8980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7944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8980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7634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8980</v>
      </c>
      <c r="N7" s="865">
        <f>SUMPRODUCT((因素修正幅度!B190:B233=I2)*(因素修正幅度!C3:G3=E2)*(因素修正幅度!C190:G233))</f>
        <v>0.13</v>
      </c>
      <c r="O7" s="1118"/>
      <c r="P7" s="1118"/>
      <c r="Q7" s="1118"/>
      <c r="R7" s="1211">
        <v>6</v>
      </c>
      <c r="S7" s="3418"/>
      <c r="T7" s="3360">
        <f t="shared" si="0"/>
        <v>0</v>
      </c>
      <c r="U7" s="1212"/>
      <c r="V7" s="3360">
        <f t="shared" si="1"/>
        <v>0</v>
      </c>
      <c r="W7" s="1357" t="s">
        <v>1955</v>
      </c>
      <c r="X7" s="1213" t="str">
        <f>G2</f>
        <v>七级</v>
      </c>
      <c r="Y7" s="1213" t="s">
        <v>1956</v>
      </c>
      <c r="Z7" s="1214">
        <f>G3</f>
        <v>3</v>
      </c>
      <c r="AA7" s="1215"/>
      <c r="AB7" s="1215"/>
      <c r="AC7" s="1216"/>
      <c r="AD7" s="1217"/>
      <c r="AE7" s="1217"/>
      <c r="AF7" s="1217"/>
      <c r="AG7" s="1217"/>
      <c r="AH7" s="1217"/>
      <c r="AI7" s="1217"/>
      <c r="AJ7" s="1218"/>
    </row>
    <row r="8" spans="1:36" ht="25.5">
      <c r="A8" s="3298"/>
      <c r="B8" s="170" t="s">
        <v>1957</v>
      </c>
      <c r="C8" s="2025" t="s">
        <v>3379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10" t="s">
        <v>1960</v>
      </c>
      <c r="X8" s="371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12"/>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1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17" t="s">
        <v>3250</v>
      </c>
      <c r="B20" s="167" t="s">
        <v>1994</v>
      </c>
      <c r="C20" s="3324">
        <f>ROUND(IF(F21="与级别开发程度一致",0,(G21-E21)/C21),0)</f>
        <v>0</v>
      </c>
      <c r="D20" s="3340" t="s">
        <v>1998</v>
      </c>
      <c r="E20" s="3341"/>
      <c r="F20" s="3723" t="s">
        <v>1995</v>
      </c>
      <c r="G20" s="3724"/>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18"/>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0">
        <v>44197</v>
      </c>
      <c r="F23" s="2053" t="s">
        <v>2003</v>
      </c>
      <c r="G23" s="761">
        <f>'数据-取费表'!B2</f>
        <v>45210</v>
      </c>
      <c r="H23" s="3342" t="s">
        <v>3251</v>
      </c>
      <c r="I23" s="3343" t="str">
        <f>IF(H23="季度增幅（自定义）",SUMIF(N25:N28,E2,O25:O28),"")</f>
        <v/>
      </c>
      <c r="J23" s="3445" t="s">
        <v>3381</v>
      </c>
      <c r="K23" s="1124"/>
      <c r="L23" s="2054" t="s">
        <v>2004</v>
      </c>
      <c r="M23" s="1327">
        <f>ROUND(SUMIF(地价!B2:G2,E2,地价!B16:G16),0)</f>
        <v>350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0.94440000000000002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39.520000000000003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3330</v>
      </c>
      <c r="C25" s="770">
        <f>IF(B25="容积率修正",IF(G3&lt;10,D26,J26),C27)</f>
        <v>0.96309999999999996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0.96309999999999996</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0.82320000000000004</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1.0336000000000001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126</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8670</v>
      </c>
      <c r="D33" s="2097">
        <f>'数据-汇总表'!E3</f>
        <v>145.47</v>
      </c>
      <c r="E33" s="772">
        <f>ROUND(C33*D33/10000,0)</f>
        <v>126</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2168</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21"/>
      <c r="B37" s="2112" t="s">
        <v>2036</v>
      </c>
      <c r="C37" s="175">
        <f>ROUND(D5*C22*C23*C24*C28*F37,0)</f>
        <v>5401</v>
      </c>
      <c r="D37" s="2097"/>
      <c r="E37" s="171">
        <f>ROUND(C37*D37/10000,0)</f>
        <v>0</v>
      </c>
      <c r="F37" s="171">
        <f>SUMIF(修正!A57:A68,G2,修正!B57:B68)</f>
        <v>0.6</v>
      </c>
      <c r="G37" s="171">
        <f>ROUND(IF(E2="工业",C37*$M$42,C37*$M$41),0)</f>
        <v>1350</v>
      </c>
      <c r="H37" s="171">
        <f>D37</f>
        <v>0</v>
      </c>
      <c r="I37" s="171">
        <f>ROUND(G37*H37/10000,0)</f>
        <v>0</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22"/>
      <c r="B38" s="2040" t="s">
        <v>2037</v>
      </c>
      <c r="C38" s="175">
        <f>ROUND(D5*C22*C23*C24*C28*F38,0)</f>
        <v>2701</v>
      </c>
      <c r="D38" s="2097"/>
      <c r="E38" s="171">
        <f t="shared" ref="E38:E42" si="4">ROUND(C38*D38/10000,0)</f>
        <v>0</v>
      </c>
      <c r="F38" s="171">
        <f>SUMIF(修正!A57:A68,G2,修正!C57:C68)</f>
        <v>0.3</v>
      </c>
      <c r="G38" s="171">
        <f>ROUND(IF(E2="工业",C38*$M$42,C38*$M$41),0)</f>
        <v>675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22"/>
      <c r="B39" s="2040" t="s">
        <v>3254</v>
      </c>
      <c r="C39" s="175">
        <f>ROUND(D5*C22*C23*C24*C28*F39,0)</f>
        <v>2251</v>
      </c>
      <c r="D39" s="2097"/>
      <c r="E39" s="171">
        <f t="shared" si="4"/>
        <v>0</v>
      </c>
      <c r="F39" s="171">
        <f>SUMIF(修正!A57:A68,G2,修正!D57:D68)</f>
        <v>0.25</v>
      </c>
      <c r="G39" s="171">
        <f>ROUND(IF(E2="工业",C39*$M$42,C39*$M$41),0)</f>
        <v>563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2251</v>
      </c>
      <c r="D40" s="2097"/>
      <c r="E40" s="171">
        <f t="shared" si="4"/>
        <v>0</v>
      </c>
      <c r="F40" s="175">
        <f>SUMIF(修正!A57:A68,G2,修正!E57:E68)</f>
        <v>0.25</v>
      </c>
      <c r="G40" s="171">
        <f>ROUND(IF(E2="工业",C40*$M$42,C40*$M$41),0)</f>
        <v>563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2251</v>
      </c>
      <c r="D41" s="2097"/>
      <c r="E41" s="171">
        <f t="shared" si="4"/>
        <v>0</v>
      </c>
      <c r="F41" s="175">
        <f>SUMIF(修正!A57:A68,G2,修正!F57:F68)</f>
        <v>0.25</v>
      </c>
      <c r="G41" s="171">
        <f>ROUND(IF(E2="工业",C41*$M$42,C41*$M$41),0)</f>
        <v>563</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1350</v>
      </c>
      <c r="D42" s="2102"/>
      <c r="E42" s="187">
        <f t="shared" si="4"/>
        <v>0</v>
      </c>
      <c r="F42" s="766">
        <f>SUMIF(修正!A57:A68,G2,修正!G57:G68)</f>
        <v>0.15</v>
      </c>
      <c r="G42" s="187">
        <f>ROUND(IF(E2="工业",C42*$M$42,C42*$M$41),0)</f>
        <v>338</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0.94440000000000002</v>
      </c>
      <c r="D44" s="171" t="s">
        <v>1999</v>
      </c>
      <c r="E44" s="2152">
        <f>G24</f>
        <v>5.5E-2</v>
      </c>
      <c r="F44" s="171" t="s">
        <v>2008</v>
      </c>
      <c r="G44" s="183">
        <f>项目基本情况!E15</f>
        <v>39.520000000000003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1.0336000000000001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t="s">
        <v>3382</v>
      </c>
      <c r="D61" s="1064">
        <f t="shared" ref="D61:D69" si="12">SUMIF($J$60:$N$60,C61,J61:N61)</f>
        <v>1.6199999999999999E-2</v>
      </c>
      <c r="E61" s="743">
        <f>ROUND(SUM(D61:D69),4)</f>
        <v>3.3599999999999998E-2</v>
      </c>
      <c r="F61" s="1813">
        <f>IF(E2="办公",SUMIF(L1:L12,G2,N1:N12),"——")</f>
        <v>0.13</v>
      </c>
      <c r="G61" s="1062">
        <f>H61</f>
        <v>1.6199999999999999E-2</v>
      </c>
      <c r="H61" s="1065">
        <f t="shared" ref="H61:H69" si="13">IFERROR(ROUNDDOWN($F$61*I61/2,4),"——")</f>
        <v>1.6199999999999999E-2</v>
      </c>
      <c r="I61" s="3366">
        <v>0.25</v>
      </c>
      <c r="J61" s="1063">
        <f t="shared" ref="J61:J69" si="14">K61+$G61</f>
        <v>3.2399999999999998E-2</v>
      </c>
      <c r="K61" s="1063">
        <f t="shared" ref="K61:K69" si="15">$L61+$G61</f>
        <v>1.6199999999999999E-2</v>
      </c>
      <c r="L61" s="1063">
        <v>0</v>
      </c>
      <c r="M61" s="1063">
        <f t="shared" ref="M61:N69" si="16">L61-$G61</f>
        <v>-1.6199999999999999E-2</v>
      </c>
      <c r="N61" s="1063">
        <f t="shared" si="16"/>
        <v>-3.2399999999999998E-2</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t="s">
        <v>3383</v>
      </c>
      <c r="D62" s="1064">
        <f t="shared" si="12"/>
        <v>0</v>
      </c>
      <c r="E62" s="744"/>
      <c r="F62" s="1813"/>
      <c r="G62" s="1062">
        <f t="shared" ref="G62:G69" si="17">H62</f>
        <v>1.6899999999999998E-2</v>
      </c>
      <c r="H62" s="1065">
        <f t="shared" si="13"/>
        <v>1.6899999999999998E-2</v>
      </c>
      <c r="I62" s="3366">
        <v>0.26</v>
      </c>
      <c r="J62" s="1063">
        <f t="shared" si="14"/>
        <v>3.3799999999999997E-2</v>
      </c>
      <c r="K62" s="1063">
        <f t="shared" si="15"/>
        <v>1.6899999999999998E-2</v>
      </c>
      <c r="L62" s="1063">
        <v>0</v>
      </c>
      <c r="M62" s="1063">
        <f t="shared" si="16"/>
        <v>-1.6899999999999998E-2</v>
      </c>
      <c r="N62" s="1063">
        <f t="shared" si="16"/>
        <v>-3.3799999999999997E-2</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t="s">
        <v>3382</v>
      </c>
      <c r="D63" s="1064">
        <f t="shared" si="12"/>
        <v>7.1000000000000004E-3</v>
      </c>
      <c r="E63" s="744"/>
      <c r="F63" s="1813"/>
      <c r="G63" s="1062">
        <f t="shared" si="17"/>
        <v>7.1000000000000004E-3</v>
      </c>
      <c r="H63" s="1065">
        <f t="shared" si="13"/>
        <v>7.1000000000000004E-3</v>
      </c>
      <c r="I63" s="3366">
        <v>0.11</v>
      </c>
      <c r="J63" s="1063">
        <f t="shared" si="14"/>
        <v>1.4200000000000001E-2</v>
      </c>
      <c r="K63" s="1063">
        <f t="shared" si="15"/>
        <v>7.1000000000000004E-3</v>
      </c>
      <c r="L63" s="1063">
        <v>0</v>
      </c>
      <c r="M63" s="1063">
        <f t="shared" si="16"/>
        <v>-7.1000000000000004E-3</v>
      </c>
      <c r="N63" s="1063">
        <f t="shared" si="16"/>
        <v>-1.4200000000000001E-2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3382</v>
      </c>
      <c r="D64" s="1064">
        <f t="shared" si="12"/>
        <v>3.2000000000000002E-3</v>
      </c>
      <c r="E64" s="744"/>
      <c r="F64" s="1813"/>
      <c r="G64" s="1062">
        <f t="shared" si="17"/>
        <v>3.2000000000000002E-3</v>
      </c>
      <c r="H64" s="1065">
        <f t="shared" si="13"/>
        <v>3.2000000000000002E-3</v>
      </c>
      <c r="I64" s="3366">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3382</v>
      </c>
      <c r="D65" s="1064">
        <f t="shared" si="12"/>
        <v>3.2000000000000002E-3</v>
      </c>
      <c r="E65" s="744"/>
      <c r="F65" s="1813"/>
      <c r="G65" s="1062">
        <f t="shared" si="17"/>
        <v>3.2000000000000002E-3</v>
      </c>
      <c r="H65" s="1065">
        <f t="shared" si="13"/>
        <v>3.2000000000000002E-3</v>
      </c>
      <c r="I65" s="3366">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3382</v>
      </c>
      <c r="D66" s="1064">
        <f t="shared" si="12"/>
        <v>3.8999999999999998E-3</v>
      </c>
      <c r="E66" s="744"/>
      <c r="F66" s="1813"/>
      <c r="G66" s="1062">
        <f t="shared" si="17"/>
        <v>3.8999999999999998E-3</v>
      </c>
      <c r="H66" s="1065">
        <f t="shared" si="13"/>
        <v>3.8999999999999998E-3</v>
      </c>
      <c r="I66" s="3366">
        <v>0.06</v>
      </c>
      <c r="J66" s="1063">
        <f t="shared" si="14"/>
        <v>7.7999999999999996E-3</v>
      </c>
      <c r="K66" s="1063">
        <f t="shared" si="15"/>
        <v>3.8999999999999998E-3</v>
      </c>
      <c r="L66" s="1063">
        <v>0</v>
      </c>
      <c r="M66" s="1063">
        <f t="shared" si="16"/>
        <v>-3.8999999999999998E-3</v>
      </c>
      <c r="N66" s="1063">
        <f t="shared" si="16"/>
        <v>-7.7999999999999996E-3</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t="s">
        <v>3383</v>
      </c>
      <c r="D67" s="1064">
        <f t="shared" si="12"/>
        <v>0</v>
      </c>
      <c r="E67" s="744"/>
      <c r="F67" s="1813"/>
      <c r="G67" s="1062">
        <f t="shared" si="17"/>
        <v>3.8999999999999998E-3</v>
      </c>
      <c r="H67" s="1065">
        <f t="shared" si="13"/>
        <v>3.8999999999999998E-3</v>
      </c>
      <c r="I67" s="3366">
        <v>0.06</v>
      </c>
      <c r="J67" s="1063">
        <f t="shared" si="14"/>
        <v>7.7999999999999996E-3</v>
      </c>
      <c r="K67" s="1063">
        <f t="shared" si="15"/>
        <v>3.8999999999999998E-3</v>
      </c>
      <c r="L67" s="1063">
        <v>0</v>
      </c>
      <c r="M67" s="1063">
        <f t="shared" si="16"/>
        <v>-3.8999999999999998E-3</v>
      </c>
      <c r="N67" s="1063">
        <f t="shared" si="16"/>
        <v>-7.7999999999999996E-3</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t="s">
        <v>3383</v>
      </c>
      <c r="D68" s="1064">
        <f t="shared" si="12"/>
        <v>0</v>
      </c>
      <c r="E68" s="744"/>
      <c r="F68" s="1813"/>
      <c r="G68" s="1062">
        <f t="shared" si="17"/>
        <v>5.7999999999999996E-3</v>
      </c>
      <c r="H68" s="1065">
        <f t="shared" si="13"/>
        <v>5.7999999999999996E-3</v>
      </c>
      <c r="I68" s="3366">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t="s">
        <v>3383</v>
      </c>
      <c r="D69" s="1064">
        <f t="shared" si="12"/>
        <v>0</v>
      </c>
      <c r="E69" s="745"/>
      <c r="F69" s="1813"/>
      <c r="G69" s="1062">
        <f t="shared" si="17"/>
        <v>4.4999999999999997E-3</v>
      </c>
      <c r="H69" s="1065">
        <f t="shared" si="13"/>
        <v>4.4999999999999997E-3</v>
      </c>
      <c r="I69" s="3367">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19" t="s">
        <v>3289</v>
      </c>
      <c r="B103" s="3719"/>
      <c r="C103" s="3719"/>
      <c r="D103" s="3719"/>
      <c r="E103" s="3719"/>
      <c r="F103" s="3719"/>
      <c r="G103" s="3719"/>
      <c r="H103" s="3719"/>
      <c r="I103" s="3719"/>
      <c r="J103" s="3719"/>
      <c r="K103" s="3389"/>
      <c r="L103" s="3389"/>
      <c r="M103" s="3389"/>
      <c r="N103" s="3389"/>
    </row>
    <row r="104" spans="1:14">
      <c r="A104" s="3720" t="s">
        <v>3290</v>
      </c>
      <c r="B104" s="3720" t="s">
        <v>3291</v>
      </c>
      <c r="C104" s="3390" t="s">
        <v>3292</v>
      </c>
      <c r="D104" s="3391"/>
      <c r="E104" s="3391"/>
      <c r="F104" s="3391"/>
      <c r="G104" s="3391"/>
      <c r="H104" s="3391"/>
      <c r="I104" s="3391"/>
      <c r="J104" s="3392"/>
      <c r="K104" s="3393"/>
      <c r="L104" s="3393"/>
      <c r="M104" s="3393"/>
      <c r="N104" s="3393"/>
    </row>
    <row r="105" spans="1:14">
      <c r="A105" s="3720"/>
      <c r="B105" s="3720"/>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06"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0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0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0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0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07"/>
      <c r="B111" s="3394" t="s">
        <v>3263</v>
      </c>
      <c r="C111" s="3395">
        <f>$I$3</f>
        <v>12</v>
      </c>
      <c r="D111" s="3395">
        <f t="shared" ref="D111:M111" si="33">$I$3</f>
        <v>12</v>
      </c>
      <c r="E111" s="3395">
        <f t="shared" si="33"/>
        <v>12</v>
      </c>
      <c r="F111" s="3395">
        <f t="shared" si="33"/>
        <v>12</v>
      </c>
      <c r="G111" s="3395">
        <f t="shared" si="33"/>
        <v>12</v>
      </c>
      <c r="H111" s="3395">
        <f t="shared" si="33"/>
        <v>12</v>
      </c>
      <c r="I111" s="3395">
        <f t="shared" si="33"/>
        <v>12</v>
      </c>
      <c r="J111" s="3395">
        <f t="shared" si="33"/>
        <v>12</v>
      </c>
      <c r="K111" s="3395">
        <f t="shared" si="33"/>
        <v>12</v>
      </c>
      <c r="L111" s="3395">
        <f t="shared" si="33"/>
        <v>12</v>
      </c>
      <c r="M111" s="3395">
        <f t="shared" si="33"/>
        <v>12</v>
      </c>
      <c r="N111" s="3395">
        <f>$I$3</f>
        <v>12</v>
      </c>
    </row>
    <row r="112" spans="1:14">
      <c r="A112" s="3708"/>
      <c r="B112" s="3394">
        <v>6</v>
      </c>
      <c r="C112" s="3387">
        <f>(-0.5556*(C111^2)-0.2719*C111+8944)*(10^(-4))</f>
        <v>0.88607307999999996</v>
      </c>
      <c r="D112" s="3387">
        <f>(-0.5556*(D111^2)-0.2719*D111+8944)*(10^(-4))</f>
        <v>0.88607307999999996</v>
      </c>
      <c r="E112" s="3387">
        <f>(-0.7912*(E111^2)-11.3794*E111+8482)*(10^(-4))</f>
        <v>0.82315144000000007</v>
      </c>
      <c r="F112" s="3387">
        <f t="shared" ref="F112:I112" si="34">(-0.7912*(F111^2)-11.3794*F111+8482)*(10^(-4))</f>
        <v>0.82315144000000007</v>
      </c>
      <c r="G112" s="3387">
        <f t="shared" si="34"/>
        <v>0.82315144000000007</v>
      </c>
      <c r="H112" s="3387">
        <f t="shared" si="34"/>
        <v>0.82315144000000007</v>
      </c>
      <c r="I112" s="3387">
        <f t="shared" si="34"/>
        <v>0.82315144000000007</v>
      </c>
      <c r="J112" s="3387">
        <f>(-0.989*(J111^2)-63.78*J111+7771)*(10^(-4))</f>
        <v>0.6863224</v>
      </c>
      <c r="K112" s="3387">
        <f t="shared" ref="K112:N112" si="35">(-0.989*(K111^2)-63.78*K111+7771)*(10^(-4))</f>
        <v>0.6863224</v>
      </c>
      <c r="L112" s="3387">
        <f t="shared" si="35"/>
        <v>0.6863224</v>
      </c>
      <c r="M112" s="3387">
        <f t="shared" si="35"/>
        <v>0.6863224</v>
      </c>
      <c r="N112" s="3387">
        <f t="shared" si="35"/>
        <v>0.6863224</v>
      </c>
    </row>
    <row r="113" spans="1:14">
      <c r="A113" s="3709" t="s">
        <v>3306</v>
      </c>
      <c r="B113" s="3709"/>
      <c r="C113" s="3709"/>
      <c r="D113" s="3709"/>
      <c r="E113" s="3709"/>
      <c r="F113" s="3709"/>
      <c r="G113" s="3709"/>
      <c r="H113" s="3709"/>
      <c r="I113" s="3709"/>
      <c r="J113" s="370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3</v>
      </c>
      <c r="C116" s="3399" t="s">
        <v>3308</v>
      </c>
      <c r="D116" s="3400">
        <f>SUMPRODUCT((A118:A122=F116)*(B117:M117=H116)*B118:M122)</f>
        <v>0.89890000000000003</v>
      </c>
      <c r="E116" s="1999" t="s">
        <v>3309</v>
      </c>
      <c r="F116" s="3401" t="str">
        <f>E2</f>
        <v>办公</v>
      </c>
      <c r="G116" s="1999" t="s">
        <v>3310</v>
      </c>
      <c r="H116" s="3401" t="str">
        <f>G2</f>
        <v>七级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3324</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3325</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3326</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2606</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25" t="s">
        <v>2311</v>
      </c>
      <c r="K2" s="3726"/>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27" t="s">
        <v>2321</v>
      </c>
      <c r="K3" s="3728"/>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27" t="s">
        <v>2323</v>
      </c>
      <c r="K4" s="3728"/>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29" t="s">
        <v>2327</v>
      </c>
      <c r="B6" s="3730"/>
      <c r="C6" s="3731"/>
      <c r="D6" s="2869"/>
      <c r="E6" s="2870"/>
      <c r="F6" s="2871"/>
      <c r="G6" s="2872"/>
      <c r="H6" s="2847"/>
      <c r="I6" s="2848"/>
      <c r="J6" s="3732">
        <v>1</v>
      </c>
      <c r="K6" s="3733"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32"/>
      <c r="K7" s="3734"/>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36" t="s">
        <v>2341</v>
      </c>
      <c r="C8" s="3737"/>
      <c r="D8" s="2888" t="s">
        <v>2342</v>
      </c>
      <c r="E8" s="2889" t="s">
        <v>2343</v>
      </c>
      <c r="F8" s="2890" t="s">
        <v>2344</v>
      </c>
      <c r="G8" s="2891"/>
      <c r="H8" s="2847"/>
      <c r="I8" s="2848"/>
      <c r="J8" s="3732"/>
      <c r="K8" s="3734"/>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36" t="s">
        <v>2347</v>
      </c>
      <c r="C9" s="3737"/>
      <c r="D9" s="2888">
        <f>ROUND(D6*E9,0)</f>
        <v>0</v>
      </c>
      <c r="E9" s="2892"/>
      <c r="F9" s="2893" t="s">
        <v>2348</v>
      </c>
      <c r="G9" s="2872"/>
      <c r="H9" s="2847"/>
      <c r="I9" s="2848"/>
      <c r="J9" s="3732"/>
      <c r="K9" s="3734"/>
      <c r="L9" s="2882" t="s">
        <v>2349</v>
      </c>
      <c r="M9" s="2883"/>
      <c r="N9" s="2859"/>
      <c r="O9" s="2884"/>
      <c r="P9" s="2884"/>
      <c r="Q9" s="2885">
        <v>365</v>
      </c>
      <c r="R9" s="2886">
        <f t="shared" si="0"/>
        <v>0</v>
      </c>
      <c r="S9" s="2840"/>
      <c r="T9" s="2840"/>
      <c r="U9" s="2840"/>
      <c r="V9" s="2848"/>
    </row>
    <row r="10" spans="1:22" s="2852" customFormat="1" ht="13.15" customHeight="1">
      <c r="A10" s="2887">
        <v>2</v>
      </c>
      <c r="B10" s="3736" t="s">
        <v>2350</v>
      </c>
      <c r="C10" s="3737"/>
      <c r="D10" s="2888">
        <f>ROUND(D6*E10,0)</f>
        <v>0</v>
      </c>
      <c r="E10" s="2892"/>
      <c r="F10" s="2893" t="s">
        <v>2351</v>
      </c>
      <c r="G10" s="2872"/>
      <c r="H10" s="2847"/>
      <c r="I10" s="2848"/>
      <c r="J10" s="3732"/>
      <c r="K10" s="3734"/>
      <c r="L10" s="2882" t="s">
        <v>2352</v>
      </c>
      <c r="M10" s="2883"/>
      <c r="N10" s="2859"/>
      <c r="O10" s="2884"/>
      <c r="P10" s="2884"/>
      <c r="Q10" s="2885">
        <v>365</v>
      </c>
      <c r="R10" s="2886">
        <f t="shared" si="0"/>
        <v>0</v>
      </c>
      <c r="S10" s="2840"/>
      <c r="T10" s="2840"/>
      <c r="U10" s="2840"/>
      <c r="V10" s="2848"/>
    </row>
    <row r="11" spans="1:22" s="2852" customFormat="1" ht="13.15" customHeight="1">
      <c r="A11" s="2887">
        <v>3</v>
      </c>
      <c r="B11" s="3736" t="s">
        <v>2353</v>
      </c>
      <c r="C11" s="3737"/>
      <c r="D11" s="2888">
        <f>D12+D14+D15+D16</f>
        <v>0</v>
      </c>
      <c r="E11" s="2894" t="e">
        <f>D11/D6</f>
        <v>#DIV/0!</v>
      </c>
      <c r="F11" s="2890"/>
      <c r="G11" s="2891"/>
      <c r="H11" s="2847"/>
      <c r="I11" s="2848"/>
      <c r="J11" s="3732"/>
      <c r="K11" s="3734"/>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38" t="s">
        <v>2356</v>
      </c>
      <c r="C12" s="3739"/>
      <c r="D12" s="2896">
        <f>ROUND(D13*1.2%*(1-30%),0)</f>
        <v>0</v>
      </c>
      <c r="E12" s="2897">
        <v>1.2E-2</v>
      </c>
      <c r="F12" s="2890" t="s">
        <v>2357</v>
      </c>
      <c r="G12" s="2891"/>
      <c r="H12" s="2847"/>
      <c r="I12" s="2848"/>
      <c r="J12" s="3732"/>
      <c r="K12" s="3734"/>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32"/>
      <c r="K13" s="3734"/>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38" t="s">
        <v>2362</v>
      </c>
      <c r="C14" s="3739"/>
      <c r="D14" s="2896">
        <f>ROUND(E14*B5/10000,0)</f>
        <v>0</v>
      </c>
      <c r="E14" s="2885"/>
      <c r="F14" s="2890" t="s">
        <v>2363</v>
      </c>
      <c r="G14" s="2891"/>
      <c r="H14" s="2847"/>
      <c r="I14" s="2848"/>
      <c r="J14" s="3732"/>
      <c r="K14" s="3735"/>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38" t="s">
        <v>2366</v>
      </c>
      <c r="C15" s="3739"/>
      <c r="D15" s="2896">
        <f>ROUND(D6*E15,0)</f>
        <v>0</v>
      </c>
      <c r="E15" s="2897">
        <v>5.5E-2</v>
      </c>
      <c r="F15" s="2890" t="s">
        <v>2367</v>
      </c>
      <c r="G15" s="2872"/>
      <c r="H15" s="2847"/>
      <c r="I15" s="2848"/>
      <c r="J15" s="3732">
        <v>2</v>
      </c>
      <c r="K15" s="3733"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38" t="s">
        <v>2375</v>
      </c>
      <c r="C16" s="3739"/>
      <c r="D16" s="2907">
        <f>D6*E16</f>
        <v>0</v>
      </c>
      <c r="E16" s="2908"/>
      <c r="F16" s="2893" t="s">
        <v>2376</v>
      </c>
      <c r="G16" s="2872"/>
      <c r="H16" s="2847"/>
      <c r="I16" s="2848"/>
      <c r="J16" s="3732"/>
      <c r="K16" s="3734"/>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40" t="s">
        <v>2378</v>
      </c>
      <c r="C17" s="3741"/>
      <c r="D17" s="2910">
        <f>ROUND(D6*E17,0)</f>
        <v>0</v>
      </c>
      <c r="E17" s="2911"/>
      <c r="F17" s="2912" t="s">
        <v>2379</v>
      </c>
      <c r="G17" s="2872"/>
      <c r="H17" s="2847"/>
      <c r="I17" s="2848"/>
      <c r="J17" s="3732"/>
      <c r="K17" s="3734"/>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32"/>
      <c r="K18" s="3734"/>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32"/>
      <c r="K19" s="3735"/>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2">
        <v>3</v>
      </c>
      <c r="K20" s="3733"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32"/>
      <c r="K21" s="3734"/>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32"/>
      <c r="K22" s="3734"/>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32"/>
      <c r="K23" s="3734"/>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32"/>
      <c r="K24" s="3735"/>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42">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4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25" t="s">
        <v>2311</v>
      </c>
      <c r="K32" s="3726"/>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27" t="s">
        <v>2321</v>
      </c>
      <c r="K33" s="3728"/>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27" t="s">
        <v>2323</v>
      </c>
      <c r="K34" s="372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32">
        <v>1</v>
      </c>
      <c r="K36" s="3733"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32"/>
      <c r="K37" s="3734"/>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2"/>
      <c r="K38" s="3734"/>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32"/>
      <c r="K39" s="3734"/>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32"/>
      <c r="K40" s="3735"/>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2">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4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264.149</v>
      </c>
      <c r="C2" s="1871" t="s">
        <v>1651</v>
      </c>
      <c r="D2" s="1872" t="s">
        <v>1652</v>
      </c>
      <c r="E2" s="2606">
        <f>SUM(E6:E13)</f>
        <v>145.47</v>
      </c>
      <c r="F2" s="2706"/>
      <c r="G2" s="1488"/>
      <c r="H2" s="1488"/>
      <c r="I2" s="1488"/>
      <c r="J2" s="1488"/>
      <c r="K2" s="1488"/>
      <c r="L2" s="1488"/>
      <c r="M2" s="1488"/>
      <c r="N2" s="1488"/>
      <c r="O2" s="1488"/>
      <c r="P2" s="1488"/>
      <c r="Q2" s="1488"/>
      <c r="R2" s="1488"/>
      <c r="S2" s="1488"/>
    </row>
    <row r="3" spans="1:22" ht="15.75">
      <c r="A3" s="1869" t="s">
        <v>686</v>
      </c>
      <c r="B3" s="2600">
        <f ca="1">ROUND(B2*10000/E2,0)</f>
        <v>18158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4" t="s">
        <v>1654</v>
      </c>
      <c r="C5" s="374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264.149</v>
      </c>
      <c r="C6" s="1871" t="s">
        <v>1651</v>
      </c>
      <c r="D6" s="2708"/>
      <c r="E6" s="2605">
        <f>IF(OR(A6=0,F6="否"),0,'数据-取费表'!K6+'数据-取费表'!S6)</f>
        <v>145.47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145.47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1" t="s">
        <v>1667</v>
      </c>
      <c r="D4" s="3672"/>
      <c r="E4" s="3673" t="s">
        <v>1668</v>
      </c>
      <c r="F4" s="3674"/>
      <c r="G4" s="3671" t="s">
        <v>1669</v>
      </c>
      <c r="H4" s="3672"/>
      <c r="I4" s="3671" t="s">
        <v>1670</v>
      </c>
      <c r="J4" s="3672"/>
      <c r="K4" s="1888" t="s">
        <v>1671</v>
      </c>
      <c r="L4" s="2714"/>
      <c r="M4" s="2715"/>
      <c r="N4" s="2715"/>
      <c r="O4" s="2715"/>
      <c r="P4" s="3751" t="s">
        <v>1672</v>
      </c>
      <c r="Q4" s="3752"/>
      <c r="R4" s="3747" t="s">
        <v>1668</v>
      </c>
      <c r="S4" s="3748"/>
      <c r="T4" s="3747" t="s">
        <v>1669</v>
      </c>
      <c r="U4" s="3748"/>
      <c r="V4" s="3684" t="s">
        <v>1670</v>
      </c>
      <c r="W4" s="3684"/>
      <c r="X4" s="1354"/>
      <c r="Y4" s="3747" t="s">
        <v>1672</v>
      </c>
      <c r="Z4" s="3748"/>
      <c r="AA4" s="3746" t="s">
        <v>1668</v>
      </c>
      <c r="AB4" s="3746" t="s">
        <v>1669</v>
      </c>
      <c r="AC4" s="3746" t="s">
        <v>1670</v>
      </c>
    </row>
    <row r="5" spans="1:29" ht="15">
      <c r="A5" s="358"/>
      <c r="B5" s="359"/>
      <c r="C5" s="3659" t="s">
        <v>1673</v>
      </c>
      <c r="D5" s="3660"/>
      <c r="E5" s="3749" t="s">
        <v>1674</v>
      </c>
      <c r="F5" s="3658"/>
      <c r="G5" s="3659" t="s">
        <v>1675</v>
      </c>
      <c r="H5" s="3660"/>
      <c r="I5" s="3659" t="s">
        <v>1676</v>
      </c>
      <c r="J5" s="3660"/>
      <c r="K5" s="1889"/>
      <c r="L5" s="2714"/>
      <c r="M5" s="2715"/>
      <c r="N5" s="2715"/>
      <c r="O5" s="2715"/>
      <c r="P5" s="3753"/>
      <c r="Q5" s="3678"/>
      <c r="R5" s="3655"/>
      <c r="S5" s="3656"/>
      <c r="T5" s="3655"/>
      <c r="U5" s="3656"/>
      <c r="V5" s="3684"/>
      <c r="W5" s="3684"/>
      <c r="X5" s="1354"/>
      <c r="Y5" s="3655"/>
      <c r="Z5" s="3656"/>
      <c r="AA5" s="3649"/>
      <c r="AB5" s="3649"/>
      <c r="AC5" s="3649"/>
    </row>
    <row r="6" spans="1:29" ht="15.75" thickBot="1">
      <c r="A6" s="360"/>
      <c r="B6" s="361"/>
      <c r="C6" s="3661" t="s">
        <v>1677</v>
      </c>
      <c r="D6" s="3662"/>
      <c r="E6" s="3750" t="s">
        <v>1677</v>
      </c>
      <c r="F6" s="3665"/>
      <c r="G6" s="3661" t="s">
        <v>1677</v>
      </c>
      <c r="H6" s="3662"/>
      <c r="I6" s="3661" t="s">
        <v>1677</v>
      </c>
      <c r="J6" s="3662"/>
      <c r="K6" s="1889" t="s">
        <v>1678</v>
      </c>
      <c r="L6" s="2714"/>
      <c r="M6" s="2715"/>
      <c r="N6" s="2715"/>
      <c r="O6" s="2715"/>
      <c r="P6" s="3754"/>
      <c r="Q6" s="3680"/>
      <c r="R6" s="3655"/>
      <c r="S6" s="3656"/>
      <c r="T6" s="3681"/>
      <c r="U6" s="3682"/>
      <c r="V6" s="3684"/>
      <c r="W6" s="3684"/>
      <c r="X6" s="1354"/>
      <c r="Y6" s="3681"/>
      <c r="Z6" s="3682"/>
      <c r="AA6" s="3650"/>
      <c r="AB6" s="3650"/>
      <c r="AC6" s="3650"/>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1" t="s">
        <v>1680</v>
      </c>
      <c r="Q7" s="3686"/>
      <c r="R7" s="700" t="s">
        <v>20</v>
      </c>
      <c r="S7" s="701">
        <f t="shared" ref="S7:S15" si="0">F7</f>
        <v>0</v>
      </c>
      <c r="T7" s="700" t="s">
        <v>20</v>
      </c>
      <c r="U7" s="701">
        <f t="shared" ref="U7:U15" si="1">H7</f>
        <v>0</v>
      </c>
      <c r="V7" s="700" t="s">
        <v>20</v>
      </c>
      <c r="W7" s="701">
        <f t="shared" ref="W7:W15" si="2">J7</f>
        <v>0</v>
      </c>
      <c r="X7" s="702"/>
      <c r="Y7" s="3651" t="s">
        <v>1680</v>
      </c>
      <c r="Z7" s="3652"/>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1" t="s">
        <v>1683</v>
      </c>
      <c r="Q8" s="3652"/>
      <c r="R8" s="700" t="s">
        <v>20</v>
      </c>
      <c r="S8" s="701">
        <f t="shared" si="0"/>
        <v>100</v>
      </c>
      <c r="T8" s="700" t="s">
        <v>20</v>
      </c>
      <c r="U8" s="701">
        <f t="shared" si="1"/>
        <v>100</v>
      </c>
      <c r="V8" s="700" t="s">
        <v>20</v>
      </c>
      <c r="W8" s="701">
        <f t="shared" si="2"/>
        <v>100</v>
      </c>
      <c r="X8" s="702"/>
      <c r="Y8" s="3651" t="s">
        <v>1683</v>
      </c>
      <c r="Z8" s="3652"/>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7"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7"/>
      <c r="Q11" s="1342" t="str">
        <f t="shared" si="6"/>
        <v>容积率</v>
      </c>
      <c r="R11" s="700" t="s">
        <v>18</v>
      </c>
      <c r="S11" s="701" t="e">
        <f t="shared" si="0"/>
        <v>#N/A</v>
      </c>
      <c r="T11" s="700" t="s">
        <v>18</v>
      </c>
      <c r="U11" s="701" t="e">
        <f t="shared" si="1"/>
        <v>#N/A</v>
      </c>
      <c r="V11" s="700" t="s">
        <v>18</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7"/>
      <c r="Q12" s="1342">
        <f t="shared" si="6"/>
        <v>111</v>
      </c>
      <c r="R12" s="700" t="s">
        <v>18</v>
      </c>
      <c r="S12" s="701">
        <f t="shared" si="0"/>
        <v>100</v>
      </c>
      <c r="T12" s="700" t="s">
        <v>18</v>
      </c>
      <c r="U12" s="701">
        <f t="shared" si="1"/>
        <v>100</v>
      </c>
      <c r="V12" s="700" t="s">
        <v>18</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7"/>
      <c r="Q13" s="1342">
        <f t="shared" si="6"/>
        <v>111</v>
      </c>
      <c r="R13" s="700" t="s">
        <v>18</v>
      </c>
      <c r="S13" s="701">
        <f t="shared" si="0"/>
        <v>100</v>
      </c>
      <c r="T13" s="700" t="s">
        <v>18</v>
      </c>
      <c r="U13" s="701">
        <f t="shared" si="1"/>
        <v>100</v>
      </c>
      <c r="V13" s="700" t="s">
        <v>18</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7"/>
      <c r="Q14" s="1342">
        <f t="shared" si="6"/>
        <v>111</v>
      </c>
      <c r="R14" s="700" t="s">
        <v>18</v>
      </c>
      <c r="S14" s="701">
        <f t="shared" si="0"/>
        <v>100</v>
      </c>
      <c r="T14" s="700" t="s">
        <v>18</v>
      </c>
      <c r="U14" s="701">
        <f t="shared" si="1"/>
        <v>100</v>
      </c>
      <c r="V14" s="700" t="s">
        <v>18</v>
      </c>
      <c r="W14" s="701">
        <f t="shared" si="2"/>
        <v>100</v>
      </c>
      <c r="X14" s="702"/>
      <c r="Y14" s="3621"/>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7" t="s">
        <v>1691</v>
      </c>
      <c r="Q15" s="1351" t="str">
        <f t="shared" si="6"/>
        <v>居住社区成熟度</v>
      </c>
      <c r="R15" s="704" t="s">
        <v>18</v>
      </c>
      <c r="S15" s="705">
        <f t="shared" si="0"/>
        <v>100</v>
      </c>
      <c r="T15" s="704" t="s">
        <v>18</v>
      </c>
      <c r="U15" s="705">
        <f t="shared" si="1"/>
        <v>100</v>
      </c>
      <c r="V15" s="704" t="s">
        <v>18</v>
      </c>
      <c r="W15" s="705">
        <f t="shared" si="2"/>
        <v>100</v>
      </c>
      <c r="X15" s="1354"/>
      <c r="Y15" s="368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8"/>
      <c r="Q16" s="1351"/>
      <c r="R16" s="704"/>
      <c r="S16" s="705"/>
      <c r="T16" s="704"/>
      <c r="U16" s="705"/>
      <c r="V16" s="704"/>
      <c r="W16" s="705"/>
      <c r="X16" s="1354"/>
      <c r="Y16" s="3690"/>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8"/>
      <c r="Q17" s="1351" t="str">
        <f>B17</f>
        <v>交通便捷度</v>
      </c>
      <c r="R17" s="704" t="s">
        <v>18</v>
      </c>
      <c r="S17" s="705">
        <f>F17</f>
        <v>100</v>
      </c>
      <c r="T17" s="704" t="s">
        <v>18</v>
      </c>
      <c r="U17" s="705">
        <f>H17</f>
        <v>100</v>
      </c>
      <c r="V17" s="704" t="s">
        <v>18</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8"/>
      <c r="Q18" s="1351"/>
      <c r="R18" s="704"/>
      <c r="S18" s="705"/>
      <c r="T18" s="704"/>
      <c r="U18" s="705"/>
      <c r="V18" s="704"/>
      <c r="W18" s="705"/>
      <c r="X18" s="1354"/>
      <c r="Y18" s="3690"/>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8"/>
      <c r="Q19" s="1351" t="str">
        <f>B19</f>
        <v>公共配套设施</v>
      </c>
      <c r="R19" s="704" t="s">
        <v>18</v>
      </c>
      <c r="S19" s="705">
        <f>F19</f>
        <v>100</v>
      </c>
      <c r="T19" s="704" t="s">
        <v>18</v>
      </c>
      <c r="U19" s="705">
        <f>H19</f>
        <v>100</v>
      </c>
      <c r="V19" s="704" t="s">
        <v>18</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8"/>
      <c r="Q20" s="1351"/>
      <c r="R20" s="704"/>
      <c r="S20" s="705"/>
      <c r="T20" s="704"/>
      <c r="U20" s="705"/>
      <c r="V20" s="704"/>
      <c r="W20" s="705"/>
      <c r="X20" s="1354"/>
      <c r="Y20" s="3690"/>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8"/>
      <c r="Q22" s="1351"/>
      <c r="R22" s="704"/>
      <c r="S22" s="705"/>
      <c r="T22" s="704"/>
      <c r="U22" s="705"/>
      <c r="V22" s="704"/>
      <c r="W22" s="705"/>
      <c r="X22" s="1354"/>
      <c r="Y22" s="3690"/>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8"/>
      <c r="Q23" s="1351" t="str">
        <f>B23</f>
        <v>自然及人文环境</v>
      </c>
      <c r="R23" s="704" t="s">
        <v>18</v>
      </c>
      <c r="S23" s="705">
        <f>F23</f>
        <v>100</v>
      </c>
      <c r="T23" s="704" t="s">
        <v>18</v>
      </c>
      <c r="U23" s="705">
        <f>H23</f>
        <v>100</v>
      </c>
      <c r="V23" s="704" t="s">
        <v>18</v>
      </c>
      <c r="W23" s="705">
        <f>J23</f>
        <v>100</v>
      </c>
      <c r="X23" s="1354"/>
      <c r="Y23" s="369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8"/>
      <c r="Q24" s="1351"/>
      <c r="R24" s="704"/>
      <c r="S24" s="705"/>
      <c r="T24" s="704"/>
      <c r="U24" s="705"/>
      <c r="V24" s="704"/>
      <c r="W24" s="705"/>
      <c r="X24" s="1354"/>
      <c r="Y24" s="369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8"/>
      <c r="Q26" s="1351" t="str">
        <f t="shared" si="11"/>
        <v>朝向</v>
      </c>
      <c r="R26" s="704" t="s">
        <v>18</v>
      </c>
      <c r="S26" s="705">
        <f t="shared" si="12"/>
        <v>100</v>
      </c>
      <c r="T26" s="704" t="s">
        <v>18</v>
      </c>
      <c r="U26" s="705">
        <f t="shared" si="13"/>
        <v>100</v>
      </c>
      <c r="V26" s="704" t="s">
        <v>18</v>
      </c>
      <c r="W26" s="705">
        <f t="shared" si="14"/>
        <v>100</v>
      </c>
      <c r="X26" s="1354"/>
      <c r="Y26" s="369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8"/>
      <c r="Q27" s="1342">
        <f t="shared" si="11"/>
        <v>111</v>
      </c>
      <c r="R27" s="700" t="s">
        <v>18</v>
      </c>
      <c r="S27" s="701">
        <f t="shared" si="12"/>
        <v>100</v>
      </c>
      <c r="T27" s="700" t="s">
        <v>18</v>
      </c>
      <c r="U27" s="701">
        <f t="shared" si="13"/>
        <v>100</v>
      </c>
      <c r="V27" s="700" t="s">
        <v>18</v>
      </c>
      <c r="W27" s="701">
        <f t="shared" si="14"/>
        <v>100</v>
      </c>
      <c r="X27" s="702"/>
      <c r="Y27" s="369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8"/>
      <c r="Q28" s="1351">
        <f t="shared" si="11"/>
        <v>111</v>
      </c>
      <c r="R28" s="704" t="s">
        <v>18</v>
      </c>
      <c r="S28" s="705">
        <f t="shared" si="12"/>
        <v>100</v>
      </c>
      <c r="T28" s="704" t="s">
        <v>18</v>
      </c>
      <c r="U28" s="705">
        <f t="shared" si="13"/>
        <v>100</v>
      </c>
      <c r="V28" s="704" t="s">
        <v>18</v>
      </c>
      <c r="W28" s="705">
        <f t="shared" si="14"/>
        <v>100</v>
      </c>
      <c r="X28" s="1354"/>
      <c r="Y28" s="369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8"/>
      <c r="Q29" s="1351">
        <f t="shared" si="11"/>
        <v>111</v>
      </c>
      <c r="R29" s="704" t="s">
        <v>18</v>
      </c>
      <c r="S29" s="705">
        <f t="shared" si="12"/>
        <v>100</v>
      </c>
      <c r="T29" s="704" t="s">
        <v>18</v>
      </c>
      <c r="U29" s="705">
        <f t="shared" si="13"/>
        <v>100</v>
      </c>
      <c r="V29" s="704" t="s">
        <v>18</v>
      </c>
      <c r="W29" s="705">
        <f t="shared" si="14"/>
        <v>100</v>
      </c>
      <c r="X29" s="1354"/>
      <c r="Y29" s="369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8"/>
      <c r="Q30" s="1351">
        <f t="shared" si="11"/>
        <v>111</v>
      </c>
      <c r="R30" s="704" t="s">
        <v>18</v>
      </c>
      <c r="S30" s="705">
        <f t="shared" si="12"/>
        <v>100</v>
      </c>
      <c r="T30" s="704" t="s">
        <v>18</v>
      </c>
      <c r="U30" s="705">
        <f t="shared" si="13"/>
        <v>100</v>
      </c>
      <c r="V30" s="704" t="s">
        <v>18</v>
      </c>
      <c r="W30" s="705">
        <f t="shared" si="14"/>
        <v>100</v>
      </c>
      <c r="X30" s="1354"/>
      <c r="Y30" s="369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8"/>
      <c r="Q31" s="1351">
        <f t="shared" si="11"/>
        <v>111</v>
      </c>
      <c r="R31" s="704" t="s">
        <v>18</v>
      </c>
      <c r="S31" s="705">
        <f t="shared" si="12"/>
        <v>100</v>
      </c>
      <c r="T31" s="704" t="s">
        <v>18</v>
      </c>
      <c r="U31" s="705">
        <f t="shared" si="13"/>
        <v>100</v>
      </c>
      <c r="V31" s="704" t="s">
        <v>18</v>
      </c>
      <c r="W31" s="705">
        <f t="shared" si="14"/>
        <v>100</v>
      </c>
      <c r="X31" s="1354"/>
      <c r="Y31" s="369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1" t="s">
        <v>1696</v>
      </c>
      <c r="Q32" s="1351" t="str">
        <f t="shared" si="11"/>
        <v>建筑类型</v>
      </c>
      <c r="R32" s="704" t="s">
        <v>18</v>
      </c>
      <c r="S32" s="705">
        <f t="shared" si="12"/>
        <v>100</v>
      </c>
      <c r="T32" s="704" t="s">
        <v>18</v>
      </c>
      <c r="U32" s="705">
        <f t="shared" si="13"/>
        <v>100</v>
      </c>
      <c r="V32" s="704" t="s">
        <v>18</v>
      </c>
      <c r="W32" s="705">
        <f t="shared" si="14"/>
        <v>100</v>
      </c>
      <c r="X32" s="1354"/>
      <c r="Y32" s="369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2"/>
      <c r="Q33" s="706" t="str">
        <f t="shared" si="11"/>
        <v>项目建筑规模</v>
      </c>
      <c r="R33" s="707" t="s">
        <v>18</v>
      </c>
      <c r="S33" s="708" t="e">
        <f t="shared" si="12"/>
        <v>#N/A</v>
      </c>
      <c r="T33" s="707" t="s">
        <v>18</v>
      </c>
      <c r="U33" s="708" t="e">
        <f t="shared" si="13"/>
        <v>#N/A</v>
      </c>
      <c r="V33" s="707" t="s">
        <v>18</v>
      </c>
      <c r="W33" s="708" t="e">
        <f t="shared" si="14"/>
        <v>#N/A</v>
      </c>
      <c r="X33" s="709"/>
      <c r="Y33" s="369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2"/>
      <c r="Q34" s="1351" t="str">
        <f t="shared" si="11"/>
        <v>建筑结构</v>
      </c>
      <c r="R34" s="704" t="s">
        <v>18</v>
      </c>
      <c r="S34" s="705">
        <f t="shared" si="12"/>
        <v>100</v>
      </c>
      <c r="T34" s="704" t="s">
        <v>18</v>
      </c>
      <c r="U34" s="705">
        <f t="shared" si="13"/>
        <v>100</v>
      </c>
      <c r="V34" s="704" t="s">
        <v>18</v>
      </c>
      <c r="W34" s="705">
        <f t="shared" si="14"/>
        <v>100</v>
      </c>
      <c r="X34" s="1354"/>
      <c r="Y34" s="369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2"/>
      <c r="Q35" s="1351" t="str">
        <f t="shared" si="11"/>
        <v>建筑品质</v>
      </c>
      <c r="R35" s="704" t="s">
        <v>18</v>
      </c>
      <c r="S35" s="705">
        <f t="shared" si="12"/>
        <v>100</v>
      </c>
      <c r="T35" s="704" t="s">
        <v>18</v>
      </c>
      <c r="U35" s="705">
        <f t="shared" si="13"/>
        <v>100</v>
      </c>
      <c r="V35" s="704" t="s">
        <v>18</v>
      </c>
      <c r="W35" s="705">
        <f t="shared" si="14"/>
        <v>100</v>
      </c>
      <c r="X35" s="1354"/>
      <c r="Y35" s="369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2"/>
      <c r="Q36" s="1351" t="str">
        <f t="shared" si="11"/>
        <v>公共部分装修</v>
      </c>
      <c r="R36" s="704" t="s">
        <v>18</v>
      </c>
      <c r="S36" s="705">
        <f t="shared" si="12"/>
        <v>100</v>
      </c>
      <c r="T36" s="704" t="s">
        <v>18</v>
      </c>
      <c r="U36" s="705">
        <f t="shared" si="13"/>
        <v>100</v>
      </c>
      <c r="V36" s="704" t="s">
        <v>18</v>
      </c>
      <c r="W36" s="705">
        <f t="shared" si="14"/>
        <v>100</v>
      </c>
      <c r="X36" s="1354"/>
      <c r="Y36" s="369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2"/>
      <c r="Q37" s="1342" t="str">
        <f t="shared" si="11"/>
        <v>成新度</v>
      </c>
      <c r="R37" s="700" t="s">
        <v>18</v>
      </c>
      <c r="S37" s="701" t="e">
        <f t="shared" si="12"/>
        <v>#N/A</v>
      </c>
      <c r="T37" s="700" t="s">
        <v>18</v>
      </c>
      <c r="U37" s="701" t="e">
        <f t="shared" si="13"/>
        <v>#N/A</v>
      </c>
      <c r="V37" s="700" t="s">
        <v>18</v>
      </c>
      <c r="W37" s="701" t="e">
        <f t="shared" si="14"/>
        <v>#N/A</v>
      </c>
      <c r="X37" s="702"/>
      <c r="Y37" s="369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2" t="s">
        <v>1696</v>
      </c>
      <c r="Q38" s="1351" t="str">
        <f t="shared" si="11"/>
        <v>物业管理</v>
      </c>
      <c r="R38" s="704" t="s">
        <v>18</v>
      </c>
      <c r="S38" s="705">
        <f t="shared" si="12"/>
        <v>100</v>
      </c>
      <c r="T38" s="704" t="s">
        <v>18</v>
      </c>
      <c r="U38" s="705">
        <f t="shared" si="13"/>
        <v>100</v>
      </c>
      <c r="V38" s="704" t="s">
        <v>18</v>
      </c>
      <c r="W38" s="705">
        <f t="shared" si="14"/>
        <v>100</v>
      </c>
      <c r="X38" s="1354"/>
      <c r="Y38" s="369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2"/>
      <c r="Q39" s="1351" t="str">
        <f t="shared" si="11"/>
        <v>市政基础设施</v>
      </c>
      <c r="R39" s="704" t="s">
        <v>18</v>
      </c>
      <c r="S39" s="705">
        <f t="shared" si="12"/>
        <v>100</v>
      </c>
      <c r="T39" s="704" t="s">
        <v>18</v>
      </c>
      <c r="U39" s="705">
        <f t="shared" si="13"/>
        <v>100</v>
      </c>
      <c r="V39" s="704" t="s">
        <v>18</v>
      </c>
      <c r="W39" s="705">
        <f t="shared" si="14"/>
        <v>100</v>
      </c>
      <c r="X39" s="1354"/>
      <c r="Y39" s="369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2"/>
      <c r="Q40" s="1351" t="str">
        <f t="shared" si="11"/>
        <v>房型</v>
      </c>
      <c r="R40" s="704" t="s">
        <v>18</v>
      </c>
      <c r="S40" s="705">
        <f t="shared" si="12"/>
        <v>100</v>
      </c>
      <c r="T40" s="704" t="s">
        <v>18</v>
      </c>
      <c r="U40" s="705">
        <f t="shared" si="13"/>
        <v>100</v>
      </c>
      <c r="V40" s="704" t="s">
        <v>18</v>
      </c>
      <c r="W40" s="705">
        <f t="shared" si="14"/>
        <v>100</v>
      </c>
      <c r="X40" s="1354"/>
      <c r="Y40" s="369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2"/>
      <c r="Q41" s="706" t="str">
        <f t="shared" si="11"/>
        <v>单套/主力户型建筑面积</v>
      </c>
      <c r="R41" s="707" t="s">
        <v>18</v>
      </c>
      <c r="S41" s="708">
        <f t="shared" si="12"/>
        <v>100</v>
      </c>
      <c r="T41" s="707" t="s">
        <v>18</v>
      </c>
      <c r="U41" s="708">
        <f t="shared" si="13"/>
        <v>100</v>
      </c>
      <c r="V41" s="707" t="s">
        <v>18</v>
      </c>
      <c r="W41" s="708">
        <f t="shared" si="14"/>
        <v>100</v>
      </c>
      <c r="X41" s="709"/>
      <c r="Y41" s="369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2"/>
      <c r="Q42" s="1351" t="str">
        <f t="shared" si="11"/>
        <v>内部装修</v>
      </c>
      <c r="R42" s="704" t="s">
        <v>18</v>
      </c>
      <c r="S42" s="705">
        <f t="shared" si="12"/>
        <v>100</v>
      </c>
      <c r="T42" s="704" t="s">
        <v>18</v>
      </c>
      <c r="U42" s="705">
        <f t="shared" si="13"/>
        <v>100</v>
      </c>
      <c r="V42" s="704" t="s">
        <v>18</v>
      </c>
      <c r="W42" s="705">
        <f t="shared" si="14"/>
        <v>100</v>
      </c>
      <c r="X42" s="1354"/>
      <c r="Y42" s="369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2"/>
      <c r="Q43" s="1351" t="str">
        <f t="shared" si="11"/>
        <v>内部装修维护情况</v>
      </c>
      <c r="R43" s="704" t="s">
        <v>18</v>
      </c>
      <c r="S43" s="705">
        <f t="shared" si="12"/>
        <v>100</v>
      </c>
      <c r="T43" s="704" t="s">
        <v>18</v>
      </c>
      <c r="U43" s="705">
        <f t="shared" si="13"/>
        <v>100</v>
      </c>
      <c r="V43" s="704" t="s">
        <v>18</v>
      </c>
      <c r="W43" s="705">
        <f t="shared" si="14"/>
        <v>100</v>
      </c>
      <c r="X43" s="1354"/>
      <c r="Y43" s="369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2"/>
      <c r="Q44" s="1342">
        <f t="shared" si="11"/>
        <v>111</v>
      </c>
      <c r="R44" s="700" t="s">
        <v>18</v>
      </c>
      <c r="S44" s="701">
        <f t="shared" si="12"/>
        <v>100</v>
      </c>
      <c r="T44" s="700" t="s">
        <v>18</v>
      </c>
      <c r="U44" s="701">
        <f t="shared" si="13"/>
        <v>100</v>
      </c>
      <c r="V44" s="700" t="s">
        <v>18</v>
      </c>
      <c r="W44" s="701">
        <f t="shared" si="14"/>
        <v>100</v>
      </c>
      <c r="X44" s="702"/>
      <c r="Y44" s="369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2"/>
      <c r="Q45" s="1351">
        <f t="shared" si="11"/>
        <v>111</v>
      </c>
      <c r="R45" s="704" t="s">
        <v>18</v>
      </c>
      <c r="S45" s="705">
        <f t="shared" si="12"/>
        <v>100</v>
      </c>
      <c r="T45" s="704" t="s">
        <v>18</v>
      </c>
      <c r="U45" s="705">
        <f t="shared" si="13"/>
        <v>100</v>
      </c>
      <c r="V45" s="704" t="s">
        <v>18</v>
      </c>
      <c r="W45" s="705">
        <f t="shared" si="14"/>
        <v>100</v>
      </c>
      <c r="X45" s="1354"/>
      <c r="Y45" s="369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3"/>
      <c r="Q46" s="1351">
        <f t="shared" si="11"/>
        <v>111</v>
      </c>
      <c r="R46" s="704" t="s">
        <v>17</v>
      </c>
      <c r="S46" s="705">
        <f t="shared" si="12"/>
        <v>100</v>
      </c>
      <c r="T46" s="704" t="s">
        <v>17</v>
      </c>
      <c r="U46" s="705">
        <f t="shared" si="13"/>
        <v>100</v>
      </c>
      <c r="V46" s="704" t="s">
        <v>17</v>
      </c>
      <c r="W46" s="705">
        <f t="shared" si="14"/>
        <v>100</v>
      </c>
      <c r="X46" s="1354"/>
      <c r="Y46" s="369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6" t="str">
        <f>A47</f>
        <v>成交单价（元/平方米）</v>
      </c>
      <c r="Q47" s="3696"/>
      <c r="R47" s="3697">
        <f>E47</f>
        <v>0</v>
      </c>
      <c r="S47" s="3697"/>
      <c r="T47" s="3697">
        <f>G47</f>
        <v>0</v>
      </c>
      <c r="U47" s="3697"/>
      <c r="V47" s="3697">
        <f>I47</f>
        <v>0</v>
      </c>
      <c r="W47" s="3697"/>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55" t="str">
        <f>A49</f>
        <v>估价对象XX用房的比较价值（楼面单价，元/平方米）</v>
      </c>
      <c r="Q49" s="3756"/>
      <c r="R49" s="3757" t="e">
        <f>IF(F1="售价",ROUND(IF(D48="简单平均",AVERAGE(R48:V48),R48*F48+T48*H48+V48*J48),0),ROUND(IF(D48="简单平均",AVERAGE(R48:V48),R48*F48+T48*H48+V48*J48),1))</f>
        <v>#DIV/0!</v>
      </c>
      <c r="S49" s="3757"/>
      <c r="T49" s="3757"/>
      <c r="U49" s="3757"/>
      <c r="V49" s="3757"/>
      <c r="W49" s="375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估价对象为北京市房地产，为所有。根据《国有土地使用证》[]，估价对象（分摊）出让国有建设用地使用权面积为0平方米，建筑面积为145.47平方米。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估价对象为北京市房地产,属开发建设的，该项目尚在开发建设中。根据《国有土地使用证》[]，估价对象（分摊）出让国有建设用地使用权面积为0平方米，规划建筑面积为145.47平方米。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145.47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1" t="s">
        <v>1775</v>
      </c>
      <c r="Q4" s="3752"/>
      <c r="R4" s="3747" t="s">
        <v>1771</v>
      </c>
      <c r="S4" s="3748"/>
      <c r="T4" s="3747" t="s">
        <v>1772</v>
      </c>
      <c r="U4" s="3748"/>
      <c r="V4" s="3684" t="s">
        <v>1773</v>
      </c>
      <c r="W4" s="3684"/>
      <c r="X4" s="1354"/>
      <c r="Y4" s="3747" t="s">
        <v>1775</v>
      </c>
      <c r="Z4" s="3748"/>
      <c r="AA4" s="3746" t="s">
        <v>1771</v>
      </c>
      <c r="AB4" s="3684" t="s">
        <v>1772</v>
      </c>
      <c r="AC4" s="3746" t="s">
        <v>1773</v>
      </c>
    </row>
    <row r="5" spans="1:29" ht="15">
      <c r="A5" s="358"/>
      <c r="B5" s="359"/>
      <c r="C5" s="3659" t="s">
        <v>1673</v>
      </c>
      <c r="D5" s="3660"/>
      <c r="E5" s="3749" t="s">
        <v>1674</v>
      </c>
      <c r="F5" s="3658"/>
      <c r="G5" s="3659" t="s">
        <v>1675</v>
      </c>
      <c r="H5" s="3660"/>
      <c r="I5" s="3659" t="s">
        <v>1676</v>
      </c>
      <c r="J5" s="3660"/>
      <c r="K5" s="559"/>
      <c r="L5" s="2714"/>
      <c r="M5" s="2715"/>
      <c r="N5" s="2715"/>
      <c r="O5" s="2715"/>
      <c r="P5" s="3753"/>
      <c r="Q5" s="3678"/>
      <c r="R5" s="3655"/>
      <c r="S5" s="3656"/>
      <c r="T5" s="3655"/>
      <c r="U5" s="3656"/>
      <c r="V5" s="3684"/>
      <c r="W5" s="3684"/>
      <c r="X5" s="1354"/>
      <c r="Y5" s="3655"/>
      <c r="Z5" s="3656"/>
      <c r="AA5" s="3649"/>
      <c r="AB5" s="3684"/>
      <c r="AC5" s="3649"/>
    </row>
    <row r="6" spans="1:29" ht="15.75" thickBot="1">
      <c r="A6" s="360"/>
      <c r="B6" s="361"/>
      <c r="C6" s="3661" t="s">
        <v>1677</v>
      </c>
      <c r="D6" s="3662"/>
      <c r="E6" s="3750" t="s">
        <v>1677</v>
      </c>
      <c r="F6" s="3665"/>
      <c r="G6" s="3661" t="s">
        <v>1677</v>
      </c>
      <c r="H6" s="3662"/>
      <c r="I6" s="3661" t="s">
        <v>1677</v>
      </c>
      <c r="J6" s="3662"/>
      <c r="K6" s="559" t="s">
        <v>1678</v>
      </c>
      <c r="L6" s="2714"/>
      <c r="M6" s="2715"/>
      <c r="N6" s="2715"/>
      <c r="O6" s="2715"/>
      <c r="P6" s="3754"/>
      <c r="Q6" s="3680"/>
      <c r="R6" s="3655"/>
      <c r="S6" s="3656"/>
      <c r="T6" s="3681"/>
      <c r="U6" s="3682"/>
      <c r="V6" s="3684"/>
      <c r="W6" s="3684"/>
      <c r="X6" s="1354"/>
      <c r="Y6" s="3681"/>
      <c r="Z6" s="3682"/>
      <c r="AA6" s="3650"/>
      <c r="AB6" s="3684"/>
      <c r="AC6" s="3650"/>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1" t="s">
        <v>1680</v>
      </c>
      <c r="Q7" s="3686"/>
      <c r="R7" s="700" t="s">
        <v>14</v>
      </c>
      <c r="S7" s="701">
        <f t="shared" ref="S7:S15" si="0">F7</f>
        <v>0</v>
      </c>
      <c r="T7" s="700" t="s">
        <v>14</v>
      </c>
      <c r="U7" s="701">
        <f t="shared" ref="U7:U15" si="1">H7</f>
        <v>0</v>
      </c>
      <c r="V7" s="700" t="s">
        <v>14</v>
      </c>
      <c r="W7" s="701">
        <f t="shared" ref="W7:W15" si="2">J7</f>
        <v>0</v>
      </c>
      <c r="X7" s="702"/>
      <c r="Y7" s="3651" t="s">
        <v>1680</v>
      </c>
      <c r="Z7" s="3652"/>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1" t="s">
        <v>1683</v>
      </c>
      <c r="Q8" s="3652"/>
      <c r="R8" s="700" t="s">
        <v>14</v>
      </c>
      <c r="S8" s="701">
        <f t="shared" si="0"/>
        <v>100</v>
      </c>
      <c r="T8" s="700" t="s">
        <v>14</v>
      </c>
      <c r="U8" s="701">
        <f t="shared" si="1"/>
        <v>100</v>
      </c>
      <c r="V8" s="700" t="s">
        <v>14</v>
      </c>
      <c r="W8" s="701">
        <f t="shared" si="2"/>
        <v>100</v>
      </c>
      <c r="X8" s="702"/>
      <c r="Y8" s="3651" t="s">
        <v>1683</v>
      </c>
      <c r="Z8" s="3652"/>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7"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7"/>
      <c r="Q11" s="1342"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7"/>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7"/>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7"/>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7" t="s">
        <v>1691</v>
      </c>
      <c r="Q15" s="1351" t="str">
        <f t="shared" si="6"/>
        <v>商业繁华度</v>
      </c>
      <c r="R15" s="704" t="s">
        <v>14</v>
      </c>
      <c r="S15" s="705">
        <f t="shared" si="0"/>
        <v>100</v>
      </c>
      <c r="T15" s="704" t="s">
        <v>14</v>
      </c>
      <c r="U15" s="705">
        <f t="shared" si="1"/>
        <v>100</v>
      </c>
      <c r="V15" s="704" t="s">
        <v>14</v>
      </c>
      <c r="W15" s="705">
        <f t="shared" si="2"/>
        <v>100</v>
      </c>
      <c r="X15" s="1354"/>
      <c r="Y15" s="368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88"/>
      <c r="Q16" s="1351"/>
      <c r="R16" s="704"/>
      <c r="S16" s="705"/>
      <c r="T16" s="704"/>
      <c r="U16" s="705"/>
      <c r="V16" s="704"/>
      <c r="W16" s="705"/>
      <c r="X16" s="1354"/>
      <c r="Y16" s="3690"/>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8"/>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88"/>
      <c r="Q18" s="1351"/>
      <c r="R18" s="704"/>
      <c r="S18" s="705"/>
      <c r="T18" s="704"/>
      <c r="U18" s="705"/>
      <c r="V18" s="704"/>
      <c r="W18" s="705"/>
      <c r="X18" s="1354"/>
      <c r="Y18" s="3690"/>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8"/>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88"/>
      <c r="Q20" s="1351"/>
      <c r="R20" s="704"/>
      <c r="S20" s="705"/>
      <c r="T20" s="704"/>
      <c r="U20" s="705"/>
      <c r="V20" s="704"/>
      <c r="W20" s="705"/>
      <c r="X20" s="1354"/>
      <c r="Y20" s="3690"/>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88"/>
      <c r="Q22" s="1351"/>
      <c r="R22" s="704"/>
      <c r="S22" s="705"/>
      <c r="T22" s="704"/>
      <c r="U22" s="705"/>
      <c r="V22" s="704"/>
      <c r="W22" s="705"/>
      <c r="X22" s="1354"/>
      <c r="Y22" s="3690"/>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8"/>
      <c r="Q23" s="1351" t="str">
        <f>B23</f>
        <v>自然及人文环境</v>
      </c>
      <c r="R23" s="704" t="s">
        <v>14</v>
      </c>
      <c r="S23" s="705">
        <f>F23</f>
        <v>100</v>
      </c>
      <c r="T23" s="704" t="s">
        <v>14</v>
      </c>
      <c r="U23" s="705">
        <f>H23</f>
        <v>100</v>
      </c>
      <c r="V23" s="704" t="s">
        <v>14</v>
      </c>
      <c r="W23" s="705">
        <f>J23</f>
        <v>100</v>
      </c>
      <c r="X23" s="1354"/>
      <c r="Y23" s="369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88"/>
      <c r="Q24" s="1351"/>
      <c r="R24" s="704"/>
      <c r="S24" s="705"/>
      <c r="T24" s="704"/>
      <c r="U24" s="705"/>
      <c r="V24" s="704"/>
      <c r="W24" s="705"/>
      <c r="X24" s="1354"/>
      <c r="Y24" s="369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8"/>
      <c r="Q25" s="1351" t="str">
        <f t="shared" ref="Q25:Q46" si="11">B25</f>
        <v>临街状况</v>
      </c>
      <c r="R25" s="704" t="s">
        <v>14</v>
      </c>
      <c r="S25" s="705">
        <f>F25</f>
        <v>100</v>
      </c>
      <c r="T25" s="704" t="s">
        <v>14</v>
      </c>
      <c r="U25" s="705">
        <f>H25</f>
        <v>100</v>
      </c>
      <c r="V25" s="704" t="s">
        <v>14</v>
      </c>
      <c r="W25" s="705">
        <f>J25</f>
        <v>100</v>
      </c>
      <c r="X25" s="1354"/>
      <c r="Y25" s="3690"/>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8"/>
      <c r="Q26" s="1351" t="str">
        <f t="shared" si="11"/>
        <v>平面位置/可视性</v>
      </c>
      <c r="R26" s="704" t="s">
        <v>14</v>
      </c>
      <c r="S26" s="705">
        <f>F26</f>
        <v>100</v>
      </c>
      <c r="T26" s="704" t="s">
        <v>14</v>
      </c>
      <c r="U26" s="705">
        <f>H26</f>
        <v>100</v>
      </c>
      <c r="V26" s="704" t="s">
        <v>14</v>
      </c>
      <c r="W26" s="705">
        <f>J26</f>
        <v>100</v>
      </c>
      <c r="X26" s="1354"/>
      <c r="Y26" s="369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88"/>
      <c r="Q27" s="1342" t="str">
        <f t="shared" si="11"/>
        <v>人流量</v>
      </c>
      <c r="R27" s="700" t="s">
        <v>14</v>
      </c>
      <c r="S27" s="701">
        <f>F27</f>
        <v>100</v>
      </c>
      <c r="T27" s="700" t="s">
        <v>14</v>
      </c>
      <c r="U27" s="701">
        <f>H27</f>
        <v>100</v>
      </c>
      <c r="V27" s="700" t="s">
        <v>14</v>
      </c>
      <c r="W27" s="701">
        <f>J27</f>
        <v>100</v>
      </c>
      <c r="X27" s="702"/>
      <c r="Y27" s="369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8"/>
      <c r="Q29" s="1351">
        <f t="shared" si="11"/>
        <v>111</v>
      </c>
      <c r="R29" s="704" t="s">
        <v>14</v>
      </c>
      <c r="S29" s="705">
        <f t="shared" si="12"/>
        <v>100</v>
      </c>
      <c r="T29" s="704" t="s">
        <v>14</v>
      </c>
      <c r="U29" s="705">
        <f t="shared" si="13"/>
        <v>100</v>
      </c>
      <c r="V29" s="704" t="s">
        <v>14</v>
      </c>
      <c r="W29" s="705">
        <f t="shared" si="14"/>
        <v>100</v>
      </c>
      <c r="X29" s="1354"/>
      <c r="Y29" s="369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8"/>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8"/>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1" t="s">
        <v>1696</v>
      </c>
      <c r="Q32" s="1351" t="str">
        <f t="shared" si="11"/>
        <v>商业类型</v>
      </c>
      <c r="R32" s="704" t="s">
        <v>14</v>
      </c>
      <c r="S32" s="705">
        <f t="shared" si="12"/>
        <v>100</v>
      </c>
      <c r="T32" s="704" t="s">
        <v>14</v>
      </c>
      <c r="U32" s="705">
        <f t="shared" si="13"/>
        <v>100</v>
      </c>
      <c r="V32" s="704" t="s">
        <v>14</v>
      </c>
      <c r="W32" s="705">
        <f t="shared" si="14"/>
        <v>100</v>
      </c>
      <c r="X32" s="1354"/>
      <c r="Y32" s="369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2"/>
      <c r="Q33" s="706" t="str">
        <f t="shared" si="11"/>
        <v>项目建筑规模</v>
      </c>
      <c r="R33" s="707" t="s">
        <v>14</v>
      </c>
      <c r="S33" s="708" t="e">
        <f t="shared" si="12"/>
        <v>#N/A</v>
      </c>
      <c r="T33" s="707" t="s">
        <v>14</v>
      </c>
      <c r="U33" s="708" t="e">
        <f t="shared" si="13"/>
        <v>#N/A</v>
      </c>
      <c r="V33" s="707" t="s">
        <v>14</v>
      </c>
      <c r="W33" s="708" t="e">
        <f t="shared" si="14"/>
        <v>#N/A</v>
      </c>
      <c r="X33" s="709"/>
      <c r="Y33" s="3694"/>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92"/>
      <c r="Q34" s="1351" t="str">
        <f t="shared" si="11"/>
        <v>建筑结构</v>
      </c>
      <c r="R34" s="704" t="s">
        <v>14</v>
      </c>
      <c r="S34" s="705">
        <f t="shared" si="12"/>
        <v>100</v>
      </c>
      <c r="T34" s="704" t="s">
        <v>14</v>
      </c>
      <c r="U34" s="705">
        <f t="shared" si="13"/>
        <v>100</v>
      </c>
      <c r="V34" s="704" t="s">
        <v>14</v>
      </c>
      <c r="W34" s="705">
        <f t="shared" si="14"/>
        <v>100</v>
      </c>
      <c r="X34" s="1354"/>
      <c r="Y34" s="369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2"/>
      <c r="Q35" s="1351" t="str">
        <f t="shared" si="11"/>
        <v>公共部分装修</v>
      </c>
      <c r="R35" s="704" t="s">
        <v>14</v>
      </c>
      <c r="S35" s="705">
        <f t="shared" si="12"/>
        <v>100</v>
      </c>
      <c r="T35" s="704" t="s">
        <v>14</v>
      </c>
      <c r="U35" s="705">
        <f t="shared" si="13"/>
        <v>100</v>
      </c>
      <c r="V35" s="704" t="s">
        <v>14</v>
      </c>
      <c r="W35" s="705">
        <f t="shared" si="14"/>
        <v>100</v>
      </c>
      <c r="X35" s="1354"/>
      <c r="Y35" s="369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2"/>
      <c r="Q36" s="1351" t="str">
        <f t="shared" si="11"/>
        <v>成新度</v>
      </c>
      <c r="R36" s="704" t="s">
        <v>14</v>
      </c>
      <c r="S36" s="705" t="e">
        <f t="shared" si="12"/>
        <v>#N/A</v>
      </c>
      <c r="T36" s="704" t="s">
        <v>14</v>
      </c>
      <c r="U36" s="705" t="e">
        <f t="shared" si="13"/>
        <v>#N/A</v>
      </c>
      <c r="V36" s="704" t="s">
        <v>14</v>
      </c>
      <c r="W36" s="705" t="e">
        <f t="shared" si="14"/>
        <v>#N/A</v>
      </c>
      <c r="X36" s="1354"/>
      <c r="Y36" s="369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2"/>
      <c r="Q37" s="1342" t="str">
        <f t="shared" si="11"/>
        <v>市政基础设施</v>
      </c>
      <c r="R37" s="700" t="s">
        <v>14</v>
      </c>
      <c r="S37" s="701">
        <f t="shared" si="12"/>
        <v>100</v>
      </c>
      <c r="T37" s="700" t="s">
        <v>14</v>
      </c>
      <c r="U37" s="701">
        <f t="shared" si="13"/>
        <v>100</v>
      </c>
      <c r="V37" s="700" t="s">
        <v>14</v>
      </c>
      <c r="W37" s="701">
        <f t="shared" si="14"/>
        <v>100</v>
      </c>
      <c r="X37" s="702"/>
      <c r="Y37" s="3694"/>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2" t="s">
        <v>1696</v>
      </c>
      <c r="Q38" s="1351" t="str">
        <f t="shared" si="11"/>
        <v>业态</v>
      </c>
      <c r="R38" s="704" t="s">
        <v>14</v>
      </c>
      <c r="S38" s="705">
        <f t="shared" si="12"/>
        <v>100</v>
      </c>
      <c r="T38" s="704" t="s">
        <v>14</v>
      </c>
      <c r="U38" s="705">
        <f t="shared" si="13"/>
        <v>100</v>
      </c>
      <c r="V38" s="704" t="s">
        <v>14</v>
      </c>
      <c r="W38" s="705">
        <f t="shared" si="14"/>
        <v>100</v>
      </c>
      <c r="X38" s="1354"/>
      <c r="Y38" s="369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2"/>
      <c r="Q39" s="1351" t="str">
        <f t="shared" si="11"/>
        <v>层高</v>
      </c>
      <c r="R39" s="704" t="s">
        <v>14</v>
      </c>
      <c r="S39" s="705">
        <f t="shared" si="12"/>
        <v>100</v>
      </c>
      <c r="T39" s="704" t="s">
        <v>14</v>
      </c>
      <c r="U39" s="705">
        <f t="shared" si="13"/>
        <v>100</v>
      </c>
      <c r="V39" s="704" t="s">
        <v>14</v>
      </c>
      <c r="W39" s="705">
        <f t="shared" si="14"/>
        <v>100</v>
      </c>
      <c r="X39" s="1354"/>
      <c r="Y39" s="369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2"/>
      <c r="Q40" s="1351" t="str">
        <f t="shared" si="11"/>
        <v>单套建筑面积</v>
      </c>
      <c r="R40" s="704" t="s">
        <v>14</v>
      </c>
      <c r="S40" s="705">
        <f t="shared" si="12"/>
        <v>100</v>
      </c>
      <c r="T40" s="704" t="s">
        <v>14</v>
      </c>
      <c r="U40" s="705">
        <f t="shared" si="13"/>
        <v>100</v>
      </c>
      <c r="V40" s="704" t="s">
        <v>14</v>
      </c>
      <c r="W40" s="705">
        <f t="shared" si="14"/>
        <v>100</v>
      </c>
      <c r="X40" s="1354"/>
      <c r="Y40" s="369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2"/>
      <c r="Q42" s="1351" t="str">
        <f t="shared" si="11"/>
        <v>内部装修</v>
      </c>
      <c r="R42" s="704" t="s">
        <v>14</v>
      </c>
      <c r="S42" s="705">
        <f t="shared" si="12"/>
        <v>100</v>
      </c>
      <c r="T42" s="704" t="s">
        <v>14</v>
      </c>
      <c r="U42" s="705">
        <f t="shared" si="13"/>
        <v>100</v>
      </c>
      <c r="V42" s="704" t="s">
        <v>14</v>
      </c>
      <c r="W42" s="705">
        <f t="shared" si="14"/>
        <v>100</v>
      </c>
      <c r="X42" s="1354"/>
      <c r="Y42" s="369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2"/>
      <c r="Q43" s="1351" t="str">
        <f t="shared" si="11"/>
        <v>内部装修维护情况</v>
      </c>
      <c r="R43" s="704" t="s">
        <v>14</v>
      </c>
      <c r="S43" s="705">
        <f t="shared" si="12"/>
        <v>100</v>
      </c>
      <c r="T43" s="704" t="s">
        <v>14</v>
      </c>
      <c r="U43" s="705">
        <f t="shared" si="13"/>
        <v>100</v>
      </c>
      <c r="V43" s="704" t="s">
        <v>14</v>
      </c>
      <c r="W43" s="705">
        <f t="shared" si="14"/>
        <v>100</v>
      </c>
      <c r="X43" s="1354"/>
      <c r="Y43" s="369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2"/>
      <c r="Q44" s="1342">
        <f t="shared" si="11"/>
        <v>111</v>
      </c>
      <c r="R44" s="700" t="s">
        <v>14</v>
      </c>
      <c r="S44" s="701">
        <f t="shared" si="12"/>
        <v>100</v>
      </c>
      <c r="T44" s="700" t="s">
        <v>14</v>
      </c>
      <c r="U44" s="701">
        <f t="shared" si="13"/>
        <v>100</v>
      </c>
      <c r="V44" s="700" t="s">
        <v>14</v>
      </c>
      <c r="W44" s="701">
        <f t="shared" si="14"/>
        <v>100</v>
      </c>
      <c r="X44" s="702"/>
      <c r="Y44" s="369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1351">
        <f t="shared" si="11"/>
        <v>111</v>
      </c>
      <c r="R45" s="704" t="s">
        <v>14</v>
      </c>
      <c r="S45" s="705">
        <f t="shared" si="12"/>
        <v>100</v>
      </c>
      <c r="T45" s="704" t="s">
        <v>14</v>
      </c>
      <c r="U45" s="705">
        <f t="shared" si="13"/>
        <v>100</v>
      </c>
      <c r="V45" s="704" t="s">
        <v>14</v>
      </c>
      <c r="W45" s="705">
        <f t="shared" si="14"/>
        <v>100</v>
      </c>
      <c r="X45" s="1354"/>
      <c r="Y45" s="369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1351">
        <f t="shared" si="11"/>
        <v>111</v>
      </c>
      <c r="R46" s="704" t="s">
        <v>14</v>
      </c>
      <c r="S46" s="705">
        <f t="shared" si="12"/>
        <v>100</v>
      </c>
      <c r="T46" s="704" t="s">
        <v>14</v>
      </c>
      <c r="U46" s="705">
        <f t="shared" si="13"/>
        <v>100</v>
      </c>
      <c r="V46" s="704" t="s">
        <v>14</v>
      </c>
      <c r="W46" s="705">
        <f t="shared" si="14"/>
        <v>100</v>
      </c>
      <c r="X46" s="1354"/>
      <c r="Y46" s="3695"/>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696" t="str">
        <f>A47</f>
        <v>成交单价（元/平方米）</v>
      </c>
      <c r="Q47" s="3696"/>
      <c r="R47" s="3684">
        <f>E47</f>
        <v>0</v>
      </c>
      <c r="S47" s="3684"/>
      <c r="T47" s="3684">
        <f>G47</f>
        <v>0</v>
      </c>
      <c r="U47" s="3684"/>
      <c r="V47" s="3684">
        <f>I47</f>
        <v>0</v>
      </c>
      <c r="W47" s="3684"/>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55" t="str">
        <f>A49</f>
        <v>估价对象XX用房的比较价值（楼面单价，元/平方米）</v>
      </c>
      <c r="Q49" s="3756"/>
      <c r="R49" s="3757" t="e">
        <f>IF(F1="售价",ROUND(IF(D48="简单平均",AVERAGE(R48:V48),R48*F48+T48*H48+V48*J48),0),ROUND(IF(D48="简单平均",AVERAGE(R48:V48),R48*F48+T48*H48+V48*J48),1))</f>
        <v>#DIV/0!</v>
      </c>
      <c r="S49" s="3757"/>
      <c r="T49" s="3757"/>
      <c r="U49" s="3757"/>
      <c r="V49" s="3757"/>
      <c r="W49" s="375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145.47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912"/>
      <c r="M4" s="913"/>
      <c r="N4" s="913"/>
      <c r="O4" s="913"/>
      <c r="P4" s="3751" t="s">
        <v>1775</v>
      </c>
      <c r="Q4" s="3752"/>
      <c r="R4" s="3747" t="s">
        <v>1771</v>
      </c>
      <c r="S4" s="3748"/>
      <c r="T4" s="3747" t="s">
        <v>1772</v>
      </c>
      <c r="U4" s="3748"/>
      <c r="V4" s="3684" t="s">
        <v>1773</v>
      </c>
      <c r="W4" s="3684"/>
      <c r="X4" s="1354"/>
      <c r="Y4" s="3747" t="s">
        <v>1775</v>
      </c>
      <c r="Z4" s="3748"/>
      <c r="AA4" s="3746" t="s">
        <v>1771</v>
      </c>
      <c r="AB4" s="3649" t="s">
        <v>1772</v>
      </c>
      <c r="AC4" s="3746" t="s">
        <v>1773</v>
      </c>
    </row>
    <row r="5" spans="1:29" ht="15">
      <c r="A5" s="358"/>
      <c r="B5" s="359"/>
      <c r="C5" s="3659" t="s">
        <v>1673</v>
      </c>
      <c r="D5" s="3660"/>
      <c r="E5" s="3749" t="s">
        <v>1674</v>
      </c>
      <c r="F5" s="3658"/>
      <c r="G5" s="3659" t="s">
        <v>1675</v>
      </c>
      <c r="H5" s="3660"/>
      <c r="I5" s="3659" t="s">
        <v>1676</v>
      </c>
      <c r="J5" s="3660"/>
      <c r="K5" s="559"/>
      <c r="L5" s="912"/>
      <c r="M5" s="913"/>
      <c r="N5" s="913"/>
      <c r="O5" s="913"/>
      <c r="P5" s="3753"/>
      <c r="Q5" s="3678"/>
      <c r="R5" s="3655"/>
      <c r="S5" s="3656"/>
      <c r="T5" s="3655"/>
      <c r="U5" s="3656"/>
      <c r="V5" s="3684"/>
      <c r="W5" s="3684"/>
      <c r="X5" s="1354"/>
      <c r="Y5" s="3655"/>
      <c r="Z5" s="3656"/>
      <c r="AA5" s="3649"/>
      <c r="AB5" s="3649"/>
      <c r="AC5" s="3649"/>
    </row>
    <row r="6" spans="1:29" ht="15.75" thickBot="1">
      <c r="A6" s="360"/>
      <c r="B6" s="361"/>
      <c r="C6" s="3661" t="s">
        <v>1677</v>
      </c>
      <c r="D6" s="3662"/>
      <c r="E6" s="3750" t="s">
        <v>1677</v>
      </c>
      <c r="F6" s="3665"/>
      <c r="G6" s="3661" t="s">
        <v>1677</v>
      </c>
      <c r="H6" s="3662"/>
      <c r="I6" s="3661" t="s">
        <v>1677</v>
      </c>
      <c r="J6" s="3662"/>
      <c r="K6" s="559" t="s">
        <v>1678</v>
      </c>
      <c r="L6" s="912"/>
      <c r="M6" s="913"/>
      <c r="N6" s="913"/>
      <c r="O6" s="913"/>
      <c r="P6" s="3754"/>
      <c r="Q6" s="3680"/>
      <c r="R6" s="3655"/>
      <c r="S6" s="3656"/>
      <c r="T6" s="3681"/>
      <c r="U6" s="3682"/>
      <c r="V6" s="3684"/>
      <c r="W6" s="3684"/>
      <c r="X6" s="1354"/>
      <c r="Y6" s="3681"/>
      <c r="Z6" s="3682"/>
      <c r="AA6" s="3650"/>
      <c r="AB6" s="3650"/>
      <c r="AC6" s="3650"/>
    </row>
    <row r="7" spans="1:29" s="108" customFormat="1" ht="15.75" thickBot="1">
      <c r="A7" s="362" t="s">
        <v>1679</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4"/>
      <c r="M7" s="915"/>
      <c r="N7" s="915"/>
      <c r="O7" s="915"/>
      <c r="P7" s="3651" t="s">
        <v>1680</v>
      </c>
      <c r="Q7" s="3686"/>
      <c r="R7" s="700" t="s">
        <v>14</v>
      </c>
      <c r="S7" s="701">
        <f t="shared" ref="S7:S15" si="0">F7</f>
        <v>0</v>
      </c>
      <c r="T7" s="700" t="s">
        <v>14</v>
      </c>
      <c r="U7" s="701">
        <f t="shared" ref="U7:U15" si="1">H7</f>
        <v>0</v>
      </c>
      <c r="V7" s="700" t="s">
        <v>14</v>
      </c>
      <c r="W7" s="701">
        <f t="shared" ref="W7:W15" si="2">J7</f>
        <v>0</v>
      </c>
      <c r="X7" s="702"/>
      <c r="Y7" s="3651" t="s">
        <v>1680</v>
      </c>
      <c r="Z7" s="3652"/>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1" t="s">
        <v>1683</v>
      </c>
      <c r="Q8" s="3652"/>
      <c r="R8" s="700" t="s">
        <v>14</v>
      </c>
      <c r="S8" s="701">
        <f t="shared" si="0"/>
        <v>100</v>
      </c>
      <c r="T8" s="700" t="s">
        <v>14</v>
      </c>
      <c r="U8" s="701">
        <f t="shared" si="1"/>
        <v>100</v>
      </c>
      <c r="V8" s="700" t="s">
        <v>14</v>
      </c>
      <c r="W8" s="701">
        <f t="shared" si="2"/>
        <v>100</v>
      </c>
      <c r="X8" s="702"/>
      <c r="Y8" s="3651" t="s">
        <v>1683</v>
      </c>
      <c r="Z8" s="3652"/>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6"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6"/>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6"/>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6"/>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6"/>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6"/>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9" t="s">
        <v>1691</v>
      </c>
      <c r="Q15" s="1351" t="str">
        <f t="shared" si="6"/>
        <v>产业集聚程度</v>
      </c>
      <c r="R15" s="704" t="s">
        <v>14</v>
      </c>
      <c r="S15" s="705">
        <f t="shared" si="0"/>
        <v>100</v>
      </c>
      <c r="T15" s="704" t="s">
        <v>14</v>
      </c>
      <c r="U15" s="705">
        <f t="shared" si="1"/>
        <v>100</v>
      </c>
      <c r="V15" s="704" t="s">
        <v>14</v>
      </c>
      <c r="W15" s="705">
        <f t="shared" si="2"/>
        <v>100</v>
      </c>
      <c r="X15" s="1354"/>
      <c r="Y15" s="368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0"/>
      <c r="Q16" s="1351"/>
      <c r="R16" s="704"/>
      <c r="S16" s="705"/>
      <c r="T16" s="704"/>
      <c r="U16" s="705"/>
      <c r="V16" s="704"/>
      <c r="W16" s="705"/>
      <c r="X16" s="1354"/>
      <c r="Y16" s="3690"/>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0"/>
      <c r="Q18" s="1351"/>
      <c r="R18" s="704"/>
      <c r="S18" s="705"/>
      <c r="T18" s="704"/>
      <c r="U18" s="705"/>
      <c r="V18" s="704"/>
      <c r="W18" s="705"/>
      <c r="X18" s="1354"/>
      <c r="Y18" s="3690"/>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0"/>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0"/>
      <c r="Q20" s="1351"/>
      <c r="R20" s="704"/>
      <c r="S20" s="705"/>
      <c r="T20" s="704"/>
      <c r="U20" s="705"/>
      <c r="V20" s="704"/>
      <c r="W20" s="705"/>
      <c r="X20" s="1354"/>
      <c r="Y20" s="3690"/>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0"/>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0"/>
      <c r="Q22" s="1351"/>
      <c r="R22" s="704"/>
      <c r="S22" s="705"/>
      <c r="T22" s="704"/>
      <c r="U22" s="705"/>
      <c r="V22" s="704"/>
      <c r="W22" s="705"/>
      <c r="X22" s="1354"/>
      <c r="Y22" s="3690"/>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0"/>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0"/>
      <c r="Q24" s="1351"/>
      <c r="R24" s="704"/>
      <c r="S24" s="705"/>
      <c r="T24" s="704"/>
      <c r="U24" s="705"/>
      <c r="V24" s="704"/>
      <c r="W24" s="705"/>
      <c r="X24" s="1354"/>
      <c r="Y24" s="369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0"/>
      <c r="Q25" s="1351">
        <f>B25</f>
        <v>111</v>
      </c>
      <c r="R25" s="704" t="s">
        <v>14</v>
      </c>
      <c r="S25" s="705">
        <f>F25</f>
        <v>100</v>
      </c>
      <c r="T25" s="704" t="s">
        <v>14</v>
      </c>
      <c r="U25" s="705">
        <f>H25</f>
        <v>100</v>
      </c>
      <c r="V25" s="704" t="s">
        <v>14</v>
      </c>
      <c r="W25" s="705">
        <f>J25</f>
        <v>100</v>
      </c>
      <c r="X25" s="1354"/>
      <c r="Y25" s="369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0"/>
      <c r="Q26" s="1351">
        <f t="shared" ref="Q26:Q40" si="11">B26</f>
        <v>111</v>
      </c>
      <c r="R26" s="704" t="s">
        <v>14</v>
      </c>
      <c r="S26" s="705">
        <f>F26</f>
        <v>100</v>
      </c>
      <c r="T26" s="704" t="s">
        <v>14</v>
      </c>
      <c r="U26" s="705">
        <f>H26</f>
        <v>100</v>
      </c>
      <c r="V26" s="704" t="s">
        <v>14</v>
      </c>
      <c r="W26" s="705">
        <f>J26</f>
        <v>100</v>
      </c>
      <c r="X26" s="1354"/>
      <c r="Y26" s="369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0"/>
      <c r="Q27" s="1342">
        <f t="shared" si="11"/>
        <v>111</v>
      </c>
      <c r="R27" s="700" t="s">
        <v>14</v>
      </c>
      <c r="S27" s="701">
        <f>F27</f>
        <v>100</v>
      </c>
      <c r="T27" s="700" t="s">
        <v>14</v>
      </c>
      <c r="U27" s="701">
        <f>H27</f>
        <v>100</v>
      </c>
      <c r="V27" s="700" t="s">
        <v>14</v>
      </c>
      <c r="W27" s="701">
        <f>J27</f>
        <v>100</v>
      </c>
      <c r="X27" s="702"/>
      <c r="Y27" s="369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0"/>
      <c r="Q28" s="1351">
        <f t="shared" si="11"/>
        <v>111</v>
      </c>
      <c r="R28" s="704" t="s">
        <v>14</v>
      </c>
      <c r="S28" s="705">
        <f t="shared" ref="S28:S40" si="12">F28</f>
        <v>100</v>
      </c>
      <c r="T28" s="704" t="s">
        <v>14</v>
      </c>
      <c r="U28" s="705">
        <f t="shared" ref="U28:U40" si="13">H28</f>
        <v>100</v>
      </c>
      <c r="V28" s="704" t="s">
        <v>14</v>
      </c>
      <c r="W28" s="705">
        <f t="shared" ref="W28:W40" si="14">J28</f>
        <v>100</v>
      </c>
      <c r="X28" s="1354"/>
      <c r="Y28" s="369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8" t="s">
        <v>1696</v>
      </c>
      <c r="Q29" s="1351" t="str">
        <f t="shared" si="11"/>
        <v>建筑类型</v>
      </c>
      <c r="R29" s="704" t="s">
        <v>14</v>
      </c>
      <c r="S29" s="705">
        <f t="shared" si="12"/>
        <v>100</v>
      </c>
      <c r="T29" s="704" t="s">
        <v>14</v>
      </c>
      <c r="U29" s="705">
        <f t="shared" si="13"/>
        <v>100</v>
      </c>
      <c r="V29" s="704" t="s">
        <v>14</v>
      </c>
      <c r="W29" s="705">
        <f t="shared" si="14"/>
        <v>100</v>
      </c>
      <c r="X29" s="1354"/>
      <c r="Y29" s="369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4"/>
      <c r="Q30" s="706" t="str">
        <f t="shared" si="11"/>
        <v>项目建筑规模</v>
      </c>
      <c r="R30" s="707" t="s">
        <v>14</v>
      </c>
      <c r="S30" s="708" t="e">
        <f t="shared" si="12"/>
        <v>#N/A</v>
      </c>
      <c r="T30" s="707" t="s">
        <v>14</v>
      </c>
      <c r="U30" s="708" t="e">
        <f t="shared" si="13"/>
        <v>#N/A</v>
      </c>
      <c r="V30" s="707" t="s">
        <v>14</v>
      </c>
      <c r="W30" s="708" t="e">
        <f t="shared" si="14"/>
        <v>#N/A</v>
      </c>
      <c r="X30" s="709"/>
      <c r="Y30" s="369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4"/>
      <c r="Q31" s="1351" t="str">
        <f t="shared" si="11"/>
        <v>建筑结构</v>
      </c>
      <c r="R31" s="704" t="s">
        <v>14</v>
      </c>
      <c r="S31" s="705">
        <f t="shared" si="12"/>
        <v>100</v>
      </c>
      <c r="T31" s="704" t="s">
        <v>14</v>
      </c>
      <c r="U31" s="705">
        <f t="shared" si="13"/>
        <v>100</v>
      </c>
      <c r="V31" s="704" t="s">
        <v>14</v>
      </c>
      <c r="W31" s="705">
        <f t="shared" si="14"/>
        <v>100</v>
      </c>
      <c r="X31" s="1354"/>
      <c r="Y31" s="369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4"/>
      <c r="Q32" s="1351" t="str">
        <f t="shared" si="11"/>
        <v>公共部分装修</v>
      </c>
      <c r="R32" s="704" t="s">
        <v>14</v>
      </c>
      <c r="S32" s="705">
        <f t="shared" si="12"/>
        <v>100</v>
      </c>
      <c r="T32" s="704" t="s">
        <v>14</v>
      </c>
      <c r="U32" s="705">
        <f t="shared" si="13"/>
        <v>100</v>
      </c>
      <c r="V32" s="704" t="s">
        <v>14</v>
      </c>
      <c r="W32" s="705">
        <f t="shared" si="14"/>
        <v>100</v>
      </c>
      <c r="X32" s="1354"/>
      <c r="Y32" s="369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4"/>
      <c r="Q33" s="1351" t="str">
        <f t="shared" si="11"/>
        <v>成新度</v>
      </c>
      <c r="R33" s="704" t="s">
        <v>14</v>
      </c>
      <c r="S33" s="705" t="e">
        <f t="shared" si="12"/>
        <v>#N/A</v>
      </c>
      <c r="T33" s="704" t="s">
        <v>14</v>
      </c>
      <c r="U33" s="705" t="e">
        <f t="shared" si="13"/>
        <v>#N/A</v>
      </c>
      <c r="V33" s="704" t="s">
        <v>14</v>
      </c>
      <c r="W33" s="705" t="e">
        <f t="shared" si="14"/>
        <v>#N/A</v>
      </c>
      <c r="X33" s="1354"/>
      <c r="Y33" s="369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4"/>
      <c r="Q34" s="1342" t="str">
        <f t="shared" si="11"/>
        <v>物业管理</v>
      </c>
      <c r="R34" s="700" t="s">
        <v>14</v>
      </c>
      <c r="S34" s="701">
        <f t="shared" si="12"/>
        <v>100</v>
      </c>
      <c r="T34" s="700" t="s">
        <v>14</v>
      </c>
      <c r="U34" s="701">
        <f t="shared" si="13"/>
        <v>100</v>
      </c>
      <c r="V34" s="700" t="s">
        <v>14</v>
      </c>
      <c r="W34" s="701">
        <f t="shared" si="14"/>
        <v>100</v>
      </c>
      <c r="X34" s="702"/>
      <c r="Y34" s="369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4" t="s">
        <v>1696</v>
      </c>
      <c r="Q35" s="1351" t="str">
        <f t="shared" si="11"/>
        <v>市政基础设施</v>
      </c>
      <c r="R35" s="704" t="s">
        <v>14</v>
      </c>
      <c r="S35" s="705">
        <f t="shared" si="12"/>
        <v>100</v>
      </c>
      <c r="T35" s="704" t="s">
        <v>14</v>
      </c>
      <c r="U35" s="705">
        <f t="shared" si="13"/>
        <v>100</v>
      </c>
      <c r="V35" s="704" t="s">
        <v>14</v>
      </c>
      <c r="W35" s="705">
        <f t="shared" si="14"/>
        <v>100</v>
      </c>
      <c r="X35" s="1354"/>
      <c r="Y35" s="369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4"/>
      <c r="Q36" s="1351" t="str">
        <f t="shared" si="11"/>
        <v>内部装修</v>
      </c>
      <c r="R36" s="704" t="s">
        <v>14</v>
      </c>
      <c r="S36" s="705">
        <f t="shared" si="12"/>
        <v>100</v>
      </c>
      <c r="T36" s="704" t="s">
        <v>14</v>
      </c>
      <c r="U36" s="705">
        <f t="shared" si="13"/>
        <v>100</v>
      </c>
      <c r="V36" s="704" t="s">
        <v>14</v>
      </c>
      <c r="W36" s="705">
        <f t="shared" si="14"/>
        <v>100</v>
      </c>
      <c r="X36" s="1354"/>
      <c r="Y36" s="369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4"/>
      <c r="Q37" s="1351" t="str">
        <f t="shared" si="11"/>
        <v>内部装修状况</v>
      </c>
      <c r="R37" s="704" t="s">
        <v>14</v>
      </c>
      <c r="S37" s="705">
        <f t="shared" si="12"/>
        <v>100</v>
      </c>
      <c r="T37" s="704" t="s">
        <v>14</v>
      </c>
      <c r="U37" s="705">
        <f t="shared" si="13"/>
        <v>100</v>
      </c>
      <c r="V37" s="704" t="s">
        <v>14</v>
      </c>
      <c r="W37" s="705">
        <f t="shared" si="14"/>
        <v>100</v>
      </c>
      <c r="X37" s="1354"/>
      <c r="Y37" s="369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4"/>
      <c r="Q38" s="706">
        <f t="shared" si="11"/>
        <v>111</v>
      </c>
      <c r="R38" s="707" t="s">
        <v>14</v>
      </c>
      <c r="S38" s="708">
        <f t="shared" si="12"/>
        <v>100</v>
      </c>
      <c r="T38" s="707" t="s">
        <v>14</v>
      </c>
      <c r="U38" s="708">
        <f t="shared" si="13"/>
        <v>100</v>
      </c>
      <c r="V38" s="707" t="s">
        <v>14</v>
      </c>
      <c r="W38" s="708">
        <f t="shared" si="14"/>
        <v>100</v>
      </c>
      <c r="X38" s="709"/>
      <c r="Y38" s="369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4"/>
      <c r="Q39" s="1351">
        <f t="shared" si="11"/>
        <v>111</v>
      </c>
      <c r="R39" s="704" t="s">
        <v>14</v>
      </c>
      <c r="S39" s="705">
        <f t="shared" si="12"/>
        <v>100</v>
      </c>
      <c r="T39" s="704" t="s">
        <v>14</v>
      </c>
      <c r="U39" s="705">
        <f t="shared" si="13"/>
        <v>100</v>
      </c>
      <c r="V39" s="704" t="s">
        <v>14</v>
      </c>
      <c r="W39" s="705">
        <f t="shared" si="14"/>
        <v>100</v>
      </c>
      <c r="X39" s="1354"/>
      <c r="Y39" s="369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5"/>
      <c r="Q40" s="1351">
        <f t="shared" si="11"/>
        <v>111</v>
      </c>
      <c r="R40" s="704" t="s">
        <v>14</v>
      </c>
      <c r="S40" s="705">
        <f t="shared" si="12"/>
        <v>100</v>
      </c>
      <c r="T40" s="704" t="s">
        <v>14</v>
      </c>
      <c r="U40" s="705">
        <f t="shared" si="13"/>
        <v>100</v>
      </c>
      <c r="V40" s="704" t="s">
        <v>14</v>
      </c>
      <c r="W40" s="705">
        <f t="shared" si="14"/>
        <v>100</v>
      </c>
      <c r="X40" s="1354"/>
      <c r="Y40" s="369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6" t="str">
        <f>A41</f>
        <v>成交单价（元/平方米）</v>
      </c>
      <c r="Q41" s="3696"/>
      <c r="R41" s="3697">
        <f>E41</f>
        <v>0</v>
      </c>
      <c r="S41" s="3697"/>
      <c r="T41" s="3697">
        <f>G41</f>
        <v>0</v>
      </c>
      <c r="U41" s="3697"/>
      <c r="V41" s="3697">
        <f>I41</f>
        <v>0</v>
      </c>
      <c r="W41" s="3697"/>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55" t="str">
        <f>A43</f>
        <v>估价对象XX用房的比较价值（楼面单价，元/平方米）</v>
      </c>
      <c r="Q43" s="3756"/>
      <c r="R43" s="3757" t="e">
        <f>IF(F1="售价",ROUND(IF(D42="简单平均",AVERAGE(R42:V42),R42*F42+T42*H42+V42*J42),0),ROUND(IF(D42="简单平均",AVERAGE(R42:V42),R42*F42+T42*H42+V42*J42),1))</f>
        <v>#DIV/0!</v>
      </c>
      <c r="S43" s="3757"/>
      <c r="T43" s="3757"/>
      <c r="U43" s="3757"/>
      <c r="V43" s="3757"/>
      <c r="W43" s="3757"/>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1" t="s">
        <v>1775</v>
      </c>
      <c r="Q4" s="3752"/>
      <c r="R4" s="3747" t="s">
        <v>1771</v>
      </c>
      <c r="S4" s="3748"/>
      <c r="T4" s="3747" t="s">
        <v>1772</v>
      </c>
      <c r="U4" s="3748"/>
      <c r="V4" s="3684" t="s">
        <v>1773</v>
      </c>
      <c r="W4" s="3684"/>
      <c r="X4" s="1354"/>
      <c r="Y4" s="3747" t="s">
        <v>1775</v>
      </c>
      <c r="Z4" s="3748"/>
      <c r="AA4" s="3746" t="s">
        <v>1771</v>
      </c>
      <c r="AB4" s="3649" t="s">
        <v>1772</v>
      </c>
      <c r="AC4" s="3746" t="s">
        <v>1773</v>
      </c>
    </row>
    <row r="5" spans="1:29" ht="15">
      <c r="A5" s="358"/>
      <c r="B5" s="359"/>
      <c r="C5" s="3659" t="s">
        <v>1673</v>
      </c>
      <c r="D5" s="3660"/>
      <c r="E5" s="3749" t="s">
        <v>1674</v>
      </c>
      <c r="F5" s="3658"/>
      <c r="G5" s="3659" t="s">
        <v>1675</v>
      </c>
      <c r="H5" s="3660"/>
      <c r="I5" s="3659" t="s">
        <v>1676</v>
      </c>
      <c r="J5" s="3660"/>
      <c r="K5" s="559"/>
      <c r="L5" s="2714"/>
      <c r="M5" s="2715"/>
      <c r="N5" s="2715"/>
      <c r="O5" s="2715"/>
      <c r="P5" s="3753"/>
      <c r="Q5" s="3678"/>
      <c r="R5" s="3655"/>
      <c r="S5" s="3656"/>
      <c r="T5" s="3655"/>
      <c r="U5" s="3656"/>
      <c r="V5" s="3684"/>
      <c r="W5" s="3684"/>
      <c r="X5" s="1354"/>
      <c r="Y5" s="3655"/>
      <c r="Z5" s="3656"/>
      <c r="AA5" s="3649"/>
      <c r="AB5" s="3649"/>
      <c r="AC5" s="3649"/>
    </row>
    <row r="6" spans="1:29" ht="15.75" thickBot="1">
      <c r="A6" s="360"/>
      <c r="B6" s="361"/>
      <c r="C6" s="3661" t="s">
        <v>1677</v>
      </c>
      <c r="D6" s="3662"/>
      <c r="E6" s="3750" t="s">
        <v>1677</v>
      </c>
      <c r="F6" s="3665"/>
      <c r="G6" s="3661" t="s">
        <v>1677</v>
      </c>
      <c r="H6" s="3662"/>
      <c r="I6" s="3661" t="s">
        <v>1677</v>
      </c>
      <c r="J6" s="3662"/>
      <c r="K6" s="559" t="s">
        <v>1678</v>
      </c>
      <c r="L6" s="2714"/>
      <c r="M6" s="2715"/>
      <c r="N6" s="2715"/>
      <c r="O6" s="2715"/>
      <c r="P6" s="3754"/>
      <c r="Q6" s="3680"/>
      <c r="R6" s="3655"/>
      <c r="S6" s="3656"/>
      <c r="T6" s="3681"/>
      <c r="U6" s="3682"/>
      <c r="V6" s="3684"/>
      <c r="W6" s="3684"/>
      <c r="X6" s="1354"/>
      <c r="Y6" s="3681"/>
      <c r="Z6" s="3682"/>
      <c r="AA6" s="3650"/>
      <c r="AB6" s="3650"/>
      <c r="AC6" s="3650"/>
    </row>
    <row r="7" spans="1:29" s="108" customFormat="1" ht="15.75" thickBot="1">
      <c r="A7" s="362" t="s">
        <v>1679</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1" t="s">
        <v>1680</v>
      </c>
      <c r="Q7" s="3686"/>
      <c r="R7" s="700" t="s">
        <v>14</v>
      </c>
      <c r="S7" s="701">
        <f t="shared" ref="S7:S14" si="0">F7</f>
        <v>0</v>
      </c>
      <c r="T7" s="700" t="s">
        <v>14</v>
      </c>
      <c r="U7" s="701">
        <f t="shared" ref="U7:U14" si="1">H7</f>
        <v>0</v>
      </c>
      <c r="V7" s="700" t="s">
        <v>14</v>
      </c>
      <c r="W7" s="701">
        <f t="shared" ref="W7:W14" si="2">J7</f>
        <v>0</v>
      </c>
      <c r="X7" s="702"/>
      <c r="Y7" s="3651" t="s">
        <v>1680</v>
      </c>
      <c r="Z7" s="3652"/>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1" t="s">
        <v>1683</v>
      </c>
      <c r="Q8" s="3652"/>
      <c r="R8" s="700" t="s">
        <v>14</v>
      </c>
      <c r="S8" s="701">
        <f t="shared" si="0"/>
        <v>100</v>
      </c>
      <c r="T8" s="700" t="s">
        <v>14</v>
      </c>
      <c r="U8" s="701">
        <f t="shared" si="1"/>
        <v>100</v>
      </c>
      <c r="V8" s="700" t="s">
        <v>14</v>
      </c>
      <c r="W8" s="701">
        <f t="shared" si="2"/>
        <v>100</v>
      </c>
      <c r="X8" s="702"/>
      <c r="Y8" s="3651" t="s">
        <v>1683</v>
      </c>
      <c r="Z8" s="3652"/>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2" t="str">
        <f t="shared" ref="Q9:Q14" si="6">B9</f>
        <v>用途</v>
      </c>
      <c r="R9" s="700" t="s">
        <v>14</v>
      </c>
      <c r="S9" s="701">
        <f t="shared" si="0"/>
        <v>100</v>
      </c>
      <c r="T9" s="700" t="s">
        <v>14</v>
      </c>
      <c r="U9" s="701">
        <f t="shared" si="1"/>
        <v>100</v>
      </c>
      <c r="V9" s="700" t="s">
        <v>14</v>
      </c>
      <c r="W9" s="701">
        <f t="shared" si="2"/>
        <v>100</v>
      </c>
      <c r="X9" s="702"/>
      <c r="Y9" s="3621"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2">
        <f t="shared" si="6"/>
        <v>111</v>
      </c>
      <c r="R11" s="700" t="s">
        <v>14</v>
      </c>
      <c r="S11" s="701">
        <f t="shared" si="0"/>
        <v>100</v>
      </c>
      <c r="T11" s="700" t="s">
        <v>14</v>
      </c>
      <c r="U11" s="701">
        <f t="shared" si="1"/>
        <v>100</v>
      </c>
      <c r="V11" s="700" t="s">
        <v>14</v>
      </c>
      <c r="W11" s="701">
        <f t="shared" si="2"/>
        <v>100</v>
      </c>
      <c r="X11" s="702"/>
      <c r="Y11" s="3621"/>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
      <c r="A14" s="355" t="s">
        <v>1690</v>
      </c>
      <c r="B14" s="577"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9" t="s">
        <v>1691</v>
      </c>
      <c r="Q14" s="1351" t="str">
        <f t="shared" si="6"/>
        <v>交通便捷度</v>
      </c>
      <c r="R14" s="704" t="s">
        <v>14</v>
      </c>
      <c r="S14" s="705">
        <f t="shared" si="0"/>
        <v>100</v>
      </c>
      <c r="T14" s="704" t="s">
        <v>14</v>
      </c>
      <c r="U14" s="705">
        <f t="shared" si="1"/>
        <v>100</v>
      </c>
      <c r="V14" s="704" t="s">
        <v>14</v>
      </c>
      <c r="W14" s="705">
        <f t="shared" si="2"/>
        <v>100</v>
      </c>
      <c r="X14" s="1354"/>
      <c r="Y14" s="368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0"/>
      <c r="Q15" s="1351"/>
      <c r="R15" s="704"/>
      <c r="S15" s="705"/>
      <c r="T15" s="704"/>
      <c r="U15" s="705"/>
      <c r="V15" s="704"/>
      <c r="W15" s="705"/>
      <c r="X15" s="1354"/>
      <c r="Y15" s="3690"/>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0"/>
      <c r="Q17" s="1351"/>
      <c r="R17" s="704"/>
      <c r="S17" s="705"/>
      <c r="T17" s="704"/>
      <c r="U17" s="705"/>
      <c r="V17" s="704"/>
      <c r="W17" s="705"/>
      <c r="X17" s="1354"/>
      <c r="Y17" s="3690"/>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90"/>
      <c r="Q19" s="1351"/>
      <c r="R19" s="704"/>
      <c r="S19" s="705"/>
      <c r="T19" s="704"/>
      <c r="U19" s="705"/>
      <c r="V19" s="704"/>
      <c r="W19" s="705"/>
      <c r="X19" s="1354"/>
      <c r="Y19" s="3690"/>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0"/>
      <c r="Q21" s="1351"/>
      <c r="R21" s="704"/>
      <c r="S21" s="705"/>
      <c r="T21" s="704"/>
      <c r="U21" s="705"/>
      <c r="V21" s="704"/>
      <c r="W21" s="705"/>
      <c r="X21" s="1354"/>
      <c r="Y21" s="369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0"/>
      <c r="Q24" s="1351">
        <f t="shared" ref="Q24:Q36"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4"/>
      <c r="Q27" s="706" t="str">
        <f t="shared" si="11"/>
        <v>项目停车位配比</v>
      </c>
      <c r="R27" s="707" t="s">
        <v>14</v>
      </c>
      <c r="S27" s="708">
        <f t="shared" si="12"/>
        <v>100</v>
      </c>
      <c r="T27" s="707" t="s">
        <v>14</v>
      </c>
      <c r="U27" s="708">
        <f t="shared" si="13"/>
        <v>100</v>
      </c>
      <c r="V27" s="707" t="s">
        <v>14</v>
      </c>
      <c r="W27" s="708">
        <f t="shared" si="14"/>
        <v>100</v>
      </c>
      <c r="X27" s="709"/>
      <c r="Y27" s="3694"/>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4"/>
      <c r="Q28" s="1351" t="str">
        <f t="shared" si="11"/>
        <v>公共部分装修</v>
      </c>
      <c r="R28" s="704" t="s">
        <v>14</v>
      </c>
      <c r="S28" s="705">
        <f t="shared" si="12"/>
        <v>100</v>
      </c>
      <c r="T28" s="704" t="s">
        <v>14</v>
      </c>
      <c r="U28" s="705">
        <f t="shared" si="13"/>
        <v>100</v>
      </c>
      <c r="V28" s="704" t="s">
        <v>14</v>
      </c>
      <c r="W28" s="705">
        <f t="shared" si="14"/>
        <v>100</v>
      </c>
      <c r="X28" s="1354"/>
      <c r="Y28" s="369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4"/>
      <c r="Q29" s="1351" t="str">
        <f t="shared" si="11"/>
        <v>成新率</v>
      </c>
      <c r="R29" s="704" t="s">
        <v>14</v>
      </c>
      <c r="S29" s="705" t="e">
        <f t="shared" si="12"/>
        <v>#N/A</v>
      </c>
      <c r="T29" s="704" t="s">
        <v>14</v>
      </c>
      <c r="U29" s="705" t="e">
        <f t="shared" si="13"/>
        <v>#N/A</v>
      </c>
      <c r="V29" s="704" t="s">
        <v>14</v>
      </c>
      <c r="W29" s="705" t="e">
        <f t="shared" si="14"/>
        <v>#N/A</v>
      </c>
      <c r="X29" s="1354"/>
      <c r="Y29" s="369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4"/>
      <c r="Q30" s="1351" t="str">
        <f t="shared" si="11"/>
        <v>物业等级</v>
      </c>
      <c r="R30" s="704" t="s">
        <v>14</v>
      </c>
      <c r="S30" s="705">
        <f t="shared" si="12"/>
        <v>100</v>
      </c>
      <c r="T30" s="704" t="s">
        <v>14</v>
      </c>
      <c r="U30" s="705">
        <f t="shared" si="13"/>
        <v>100</v>
      </c>
      <c r="V30" s="704" t="s">
        <v>14</v>
      </c>
      <c r="W30" s="705">
        <f t="shared" si="14"/>
        <v>100</v>
      </c>
      <c r="X30" s="1354"/>
      <c r="Y30" s="369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4"/>
      <c r="Q31" s="1342" t="str">
        <f t="shared" si="11"/>
        <v>停车位面积</v>
      </c>
      <c r="R31" s="700" t="s">
        <v>14</v>
      </c>
      <c r="S31" s="701" t="e">
        <f t="shared" si="12"/>
        <v>#N/A</v>
      </c>
      <c r="T31" s="700" t="s">
        <v>14</v>
      </c>
      <c r="U31" s="701" t="e">
        <f t="shared" si="13"/>
        <v>#N/A</v>
      </c>
      <c r="V31" s="700" t="s">
        <v>14</v>
      </c>
      <c r="W31" s="701" t="e">
        <f t="shared" si="14"/>
        <v>#N/A</v>
      </c>
      <c r="X31" s="702"/>
      <c r="Y31" s="3694"/>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4" t="s">
        <v>1696</v>
      </c>
      <c r="Q32" s="1351" t="str">
        <f t="shared" si="11"/>
        <v>车位类型</v>
      </c>
      <c r="R32" s="704" t="s">
        <v>14</v>
      </c>
      <c r="S32" s="705">
        <f t="shared" si="12"/>
        <v>100</v>
      </c>
      <c r="T32" s="704" t="s">
        <v>14</v>
      </c>
      <c r="U32" s="705">
        <f t="shared" si="13"/>
        <v>100</v>
      </c>
      <c r="V32" s="704" t="s">
        <v>14</v>
      </c>
      <c r="W32" s="705">
        <f t="shared" si="14"/>
        <v>100</v>
      </c>
      <c r="X32" s="1354"/>
      <c r="Y32" s="369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4"/>
      <c r="Q33" s="1351" t="str">
        <f t="shared" si="11"/>
        <v>是否直接入户</v>
      </c>
      <c r="R33" s="704" t="s">
        <v>14</v>
      </c>
      <c r="S33" s="705">
        <f t="shared" si="12"/>
        <v>100</v>
      </c>
      <c r="T33" s="704" t="s">
        <v>14</v>
      </c>
      <c r="U33" s="705">
        <f t="shared" si="13"/>
        <v>100</v>
      </c>
      <c r="V33" s="704" t="s">
        <v>14</v>
      </c>
      <c r="W33" s="705">
        <f t="shared" si="14"/>
        <v>100</v>
      </c>
      <c r="X33" s="1354"/>
      <c r="Y33" s="369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4"/>
      <c r="Q35" s="706">
        <f t="shared" si="11"/>
        <v>111</v>
      </c>
      <c r="R35" s="707" t="s">
        <v>14</v>
      </c>
      <c r="S35" s="708">
        <f t="shared" si="12"/>
        <v>100</v>
      </c>
      <c r="T35" s="707" t="s">
        <v>14</v>
      </c>
      <c r="U35" s="708">
        <f t="shared" si="13"/>
        <v>100</v>
      </c>
      <c r="V35" s="707" t="s">
        <v>14</v>
      </c>
      <c r="W35" s="708">
        <f t="shared" si="14"/>
        <v>100</v>
      </c>
      <c r="X35" s="709"/>
      <c r="Y35" s="3694"/>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4"/>
      <c r="Q36" s="1351">
        <f t="shared" si="11"/>
        <v>111</v>
      </c>
      <c r="R36" s="704" t="s">
        <v>14</v>
      </c>
      <c r="S36" s="705">
        <f t="shared" si="12"/>
        <v>100</v>
      </c>
      <c r="T36" s="704" t="s">
        <v>14</v>
      </c>
      <c r="U36" s="705">
        <f t="shared" si="13"/>
        <v>100</v>
      </c>
      <c r="V36" s="704" t="s">
        <v>14</v>
      </c>
      <c r="W36" s="705">
        <f t="shared" si="14"/>
        <v>100</v>
      </c>
      <c r="X36" s="1354"/>
      <c r="Y36" s="3694"/>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8"/>
      <c r="L37" s="2723"/>
      <c r="M37" s="2724"/>
      <c r="N37" s="2715"/>
      <c r="O37" s="2724"/>
      <c r="P37" s="3696" t="str">
        <f>A37</f>
        <v>成交单价</v>
      </c>
      <c r="Q37" s="3696"/>
      <c r="R37" s="3697">
        <f>E37</f>
        <v>0</v>
      </c>
      <c r="S37" s="3697"/>
      <c r="T37" s="3697">
        <f>G37</f>
        <v>0</v>
      </c>
      <c r="U37" s="3697"/>
      <c r="V37" s="3697">
        <f>I37</f>
        <v>0</v>
      </c>
      <c r="W37" s="3697"/>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55" t="str">
        <f>A39</f>
        <v>估价对象XX用房的比较价值（楼面单价，元/平方米）</v>
      </c>
      <c r="Q39" s="3756"/>
      <c r="R39" s="3759" t="e">
        <f>IF(F1="售价",ROUND(IF(D38="简单平均",AVERAGE(R38:W38),R38*F38+T38*H38+V38*J38),0),ROUND(IF(D38="简单平均",AVERAGE(R38:V38),R38*F38+T38*H38+V38*J38),1))</f>
        <v>#DIV/0!</v>
      </c>
      <c r="S39" s="3759"/>
      <c r="T39" s="3759"/>
      <c r="U39" s="3759"/>
      <c r="V39" s="3759"/>
      <c r="W39" s="375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2" priority="18" stopIfTrue="1" operator="containsText" text="超过">
      <formula>NOT(ISERROR(SEARCH("超过",F42)))</formula>
    </cfRule>
  </conditionalFormatting>
  <conditionalFormatting sqref="J44">
    <cfRule type="containsText" dxfId="91" priority="17" stopIfTrue="1" operator="containsText" text="超过">
      <formula>NOT(ISERROR(SEARCH("超过",J44)))</formula>
    </cfRule>
  </conditionalFormatting>
  <conditionalFormatting sqref="H44">
    <cfRule type="containsText" dxfId="90" priority="16" stopIfTrue="1" operator="containsText" text="超过">
      <formula>NOT(ISERROR(SEARCH("超过",H44)))</formula>
    </cfRule>
  </conditionalFormatting>
  <conditionalFormatting sqref="F44">
    <cfRule type="containsText" dxfId="89" priority="15" stopIfTrue="1" operator="containsText" text="超过">
      <formula>NOT(ISERROR(SEARCH("超过",F44)))</formula>
    </cfRule>
  </conditionalFormatting>
  <conditionalFormatting sqref="F43 H43 J43">
    <cfRule type="containsText" dxfId="88" priority="14" stopIfTrue="1" operator="containsText" text="超过">
      <formula>NOT(ISERROR(SEARCH("超过",F43)))</formula>
    </cfRule>
  </conditionalFormatting>
  <conditionalFormatting sqref="E42">
    <cfRule type="expression" dxfId="87" priority="13" stopIfTrue="1">
      <formula>$F$42="超过30%"</formula>
    </cfRule>
  </conditionalFormatting>
  <conditionalFormatting sqref="G44">
    <cfRule type="expression" dxfId="86" priority="12" stopIfTrue="1">
      <formula>$H$54+$H$44="超过30%"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G42">
    <cfRule type="expression" dxfId="83" priority="9" stopIfTrue="1">
      <formula>$H$52+$H$42="超过30%"</formula>
    </cfRule>
  </conditionalFormatting>
  <conditionalFormatting sqref="G43">
    <cfRule type="expression" dxfId="82" priority="8" stopIfTrue="1">
      <formula>$H$43="超过20%"</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F7:F36 H7:H36 J7:J36">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1" t="s">
        <v>1775</v>
      </c>
      <c r="Q4" s="3752"/>
      <c r="R4" s="3747" t="s">
        <v>1771</v>
      </c>
      <c r="S4" s="3748"/>
      <c r="T4" s="3747" t="s">
        <v>1772</v>
      </c>
      <c r="U4" s="3748"/>
      <c r="V4" s="3684" t="s">
        <v>1773</v>
      </c>
      <c r="W4" s="3684"/>
      <c r="X4" s="1354"/>
      <c r="Y4" s="3747" t="s">
        <v>1775</v>
      </c>
      <c r="Z4" s="3748"/>
      <c r="AA4" s="3746" t="s">
        <v>1771</v>
      </c>
      <c r="AB4" s="3649" t="s">
        <v>1772</v>
      </c>
      <c r="AC4" s="3746" t="s">
        <v>1773</v>
      </c>
    </row>
    <row r="5" spans="1:29" ht="15">
      <c r="A5" s="358"/>
      <c r="B5" s="359"/>
      <c r="C5" s="3659" t="s">
        <v>1673</v>
      </c>
      <c r="D5" s="3660"/>
      <c r="E5" s="3749" t="s">
        <v>1674</v>
      </c>
      <c r="F5" s="3658"/>
      <c r="G5" s="3659" t="s">
        <v>1675</v>
      </c>
      <c r="H5" s="3660"/>
      <c r="I5" s="3659" t="s">
        <v>1676</v>
      </c>
      <c r="J5" s="3660"/>
      <c r="K5" s="559"/>
      <c r="L5" s="2714"/>
      <c r="M5" s="2715"/>
      <c r="N5" s="2715"/>
      <c r="O5" s="2715"/>
      <c r="P5" s="3753"/>
      <c r="Q5" s="3678"/>
      <c r="R5" s="3655"/>
      <c r="S5" s="3656"/>
      <c r="T5" s="3655"/>
      <c r="U5" s="3656"/>
      <c r="V5" s="3684"/>
      <c r="W5" s="3684"/>
      <c r="X5" s="1354"/>
      <c r="Y5" s="3655"/>
      <c r="Z5" s="3656"/>
      <c r="AA5" s="3649"/>
      <c r="AB5" s="3649"/>
      <c r="AC5" s="3649"/>
    </row>
    <row r="6" spans="1:29" ht="15.75" thickBot="1">
      <c r="A6" s="360"/>
      <c r="B6" s="361"/>
      <c r="C6" s="3661" t="s">
        <v>1677</v>
      </c>
      <c r="D6" s="3662"/>
      <c r="E6" s="3750" t="s">
        <v>1677</v>
      </c>
      <c r="F6" s="3665"/>
      <c r="G6" s="3661" t="s">
        <v>1677</v>
      </c>
      <c r="H6" s="3662"/>
      <c r="I6" s="3661" t="s">
        <v>1677</v>
      </c>
      <c r="J6" s="3662"/>
      <c r="K6" s="559" t="s">
        <v>1678</v>
      </c>
      <c r="L6" s="2714"/>
      <c r="M6" s="2715"/>
      <c r="N6" s="2715"/>
      <c r="O6" s="2715"/>
      <c r="P6" s="3754"/>
      <c r="Q6" s="3680"/>
      <c r="R6" s="3655"/>
      <c r="S6" s="3656"/>
      <c r="T6" s="3681"/>
      <c r="U6" s="3682"/>
      <c r="V6" s="3684"/>
      <c r="W6" s="3684"/>
      <c r="X6" s="1354"/>
      <c r="Y6" s="3681"/>
      <c r="Z6" s="3682"/>
      <c r="AA6" s="3650"/>
      <c r="AB6" s="3650"/>
      <c r="AC6" s="3650"/>
    </row>
    <row r="7" spans="1:29" s="108" customFormat="1" ht="15.75" thickBot="1">
      <c r="A7" s="362" t="s">
        <v>1679</v>
      </c>
      <c r="B7" s="363"/>
      <c r="C7" s="364">
        <f>'数据-取费表'!B2</f>
        <v>45210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1" t="s">
        <v>1680</v>
      </c>
      <c r="Q7" s="3686"/>
      <c r="R7" s="700" t="s">
        <v>14</v>
      </c>
      <c r="S7" s="701">
        <f t="shared" ref="S7:S14" si="0">F7</f>
        <v>0</v>
      </c>
      <c r="T7" s="700" t="s">
        <v>14</v>
      </c>
      <c r="U7" s="701">
        <f t="shared" ref="U7:U14" si="1">H7</f>
        <v>0</v>
      </c>
      <c r="V7" s="700" t="s">
        <v>14</v>
      </c>
      <c r="W7" s="701">
        <f t="shared" ref="W7:W14" si="2">J7</f>
        <v>0</v>
      </c>
      <c r="X7" s="702"/>
      <c r="Y7" s="3651" t="s">
        <v>1680</v>
      </c>
      <c r="Z7" s="3652"/>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1" t="s">
        <v>1683</v>
      </c>
      <c r="Q8" s="3652"/>
      <c r="R8" s="700" t="s">
        <v>14</v>
      </c>
      <c r="S8" s="701">
        <f t="shared" si="0"/>
        <v>100</v>
      </c>
      <c r="T8" s="700" t="s">
        <v>14</v>
      </c>
      <c r="U8" s="701">
        <f t="shared" si="1"/>
        <v>100</v>
      </c>
      <c r="V8" s="700" t="s">
        <v>14</v>
      </c>
      <c r="W8" s="701">
        <f t="shared" si="2"/>
        <v>100</v>
      </c>
      <c r="X8" s="702"/>
      <c r="Y8" s="3651" t="s">
        <v>1683</v>
      </c>
      <c r="Z8" s="3652"/>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2" t="str">
        <f t="shared" ref="Q9:Q14" si="6">B9</f>
        <v>用途</v>
      </c>
      <c r="R9" s="700" t="s">
        <v>14</v>
      </c>
      <c r="S9" s="701">
        <f t="shared" si="0"/>
        <v>100</v>
      </c>
      <c r="T9" s="700" t="s">
        <v>14</v>
      </c>
      <c r="U9" s="701">
        <f t="shared" si="1"/>
        <v>100</v>
      </c>
      <c r="V9" s="700" t="s">
        <v>14</v>
      </c>
      <c r="W9" s="701">
        <f t="shared" si="2"/>
        <v>100</v>
      </c>
      <c r="X9" s="702"/>
      <c r="Y9" s="3621"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2">
        <f t="shared" si="6"/>
        <v>111</v>
      </c>
      <c r="R11" s="700" t="s">
        <v>14</v>
      </c>
      <c r="S11" s="701">
        <f t="shared" si="0"/>
        <v>100</v>
      </c>
      <c r="T11" s="700" t="s">
        <v>14</v>
      </c>
      <c r="U11" s="701">
        <f t="shared" si="1"/>
        <v>100</v>
      </c>
      <c r="V11" s="700" t="s">
        <v>14</v>
      </c>
      <c r="W11" s="701">
        <f t="shared" si="2"/>
        <v>100</v>
      </c>
      <c r="X11" s="702"/>
      <c r="Y11" s="362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9" t="s">
        <v>1691</v>
      </c>
      <c r="Q14" s="1351" t="str">
        <f t="shared" si="6"/>
        <v>交通便捷度</v>
      </c>
      <c r="R14" s="704" t="s">
        <v>14</v>
      </c>
      <c r="S14" s="705">
        <f t="shared" si="0"/>
        <v>100</v>
      </c>
      <c r="T14" s="704" t="s">
        <v>14</v>
      </c>
      <c r="U14" s="705">
        <f t="shared" si="1"/>
        <v>100</v>
      </c>
      <c r="V14" s="704" t="s">
        <v>14</v>
      </c>
      <c r="W14" s="705">
        <f t="shared" si="2"/>
        <v>100</v>
      </c>
      <c r="X14" s="1354"/>
      <c r="Y14" s="368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0"/>
      <c r="Q15" s="1351"/>
      <c r="R15" s="704"/>
      <c r="S15" s="705"/>
      <c r="T15" s="704"/>
      <c r="U15" s="705"/>
      <c r="V15" s="704"/>
      <c r="W15" s="705"/>
      <c r="X15" s="1354"/>
      <c r="Y15" s="3690"/>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0"/>
      <c r="Q17" s="1351"/>
      <c r="R17" s="704"/>
      <c r="S17" s="705"/>
      <c r="T17" s="704"/>
      <c r="U17" s="705"/>
      <c r="V17" s="704"/>
      <c r="W17" s="705"/>
      <c r="X17" s="1354"/>
      <c r="Y17" s="3690"/>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0"/>
      <c r="Q19" s="1351"/>
      <c r="R19" s="704"/>
      <c r="S19" s="705"/>
      <c r="T19" s="704"/>
      <c r="U19" s="705"/>
      <c r="V19" s="704"/>
      <c r="W19" s="705"/>
      <c r="X19" s="1354"/>
      <c r="Y19" s="3690"/>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0"/>
      <c r="Q21" s="1351"/>
      <c r="R21" s="704"/>
      <c r="S21" s="705"/>
      <c r="T21" s="704"/>
      <c r="U21" s="705"/>
      <c r="V21" s="704"/>
      <c r="W21" s="705"/>
      <c r="X21" s="1354"/>
      <c r="Y21" s="369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0"/>
      <c r="Q24" s="1351">
        <f t="shared" ref="Q24:Q34"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4"/>
      <c r="Q27" s="706" t="str">
        <f t="shared" si="11"/>
        <v>成新率</v>
      </c>
      <c r="R27" s="707" t="s">
        <v>14</v>
      </c>
      <c r="S27" s="708" t="e">
        <f t="shared" si="12"/>
        <v>#N/A</v>
      </c>
      <c r="T27" s="707" t="s">
        <v>14</v>
      </c>
      <c r="U27" s="708" t="e">
        <f t="shared" si="13"/>
        <v>#N/A</v>
      </c>
      <c r="V27" s="707" t="s">
        <v>14</v>
      </c>
      <c r="W27" s="708" t="e">
        <f t="shared" si="14"/>
        <v>#N/A</v>
      </c>
      <c r="X27" s="709"/>
      <c r="Y27" s="369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4"/>
      <c r="Q28" s="1351" t="str">
        <f t="shared" si="11"/>
        <v>物业等级</v>
      </c>
      <c r="R28" s="704" t="s">
        <v>14</v>
      </c>
      <c r="S28" s="705">
        <f t="shared" si="12"/>
        <v>100</v>
      </c>
      <c r="T28" s="704" t="s">
        <v>14</v>
      </c>
      <c r="U28" s="705">
        <f t="shared" si="13"/>
        <v>100</v>
      </c>
      <c r="V28" s="704" t="s">
        <v>14</v>
      </c>
      <c r="W28" s="705">
        <f t="shared" si="14"/>
        <v>100</v>
      </c>
      <c r="X28" s="1354"/>
      <c r="Y28" s="369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4"/>
      <c r="Q29" s="1351" t="str">
        <f t="shared" si="11"/>
        <v>有无电梯</v>
      </c>
      <c r="R29" s="704" t="s">
        <v>14</v>
      </c>
      <c r="S29" s="705">
        <f t="shared" si="12"/>
        <v>100</v>
      </c>
      <c r="T29" s="704" t="s">
        <v>14</v>
      </c>
      <c r="U29" s="705">
        <f t="shared" si="13"/>
        <v>100</v>
      </c>
      <c r="V29" s="704" t="s">
        <v>14</v>
      </c>
      <c r="W29" s="705">
        <f t="shared" si="14"/>
        <v>100</v>
      </c>
      <c r="X29" s="1354"/>
      <c r="Y29" s="369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4"/>
      <c r="Q30" s="1351" t="str">
        <f t="shared" si="11"/>
        <v>建筑面积</v>
      </c>
      <c r="R30" s="704" t="s">
        <v>14</v>
      </c>
      <c r="S30" s="705" t="e">
        <f t="shared" si="12"/>
        <v>#N/A</v>
      </c>
      <c r="T30" s="704" t="s">
        <v>14</v>
      </c>
      <c r="U30" s="705" t="e">
        <f t="shared" si="13"/>
        <v>#N/A</v>
      </c>
      <c r="V30" s="704" t="s">
        <v>14</v>
      </c>
      <c r="W30" s="705" t="e">
        <f t="shared" si="14"/>
        <v>#N/A</v>
      </c>
      <c r="X30" s="1354"/>
      <c r="Y30" s="369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4"/>
      <c r="Q31" s="1342" t="str">
        <f t="shared" si="11"/>
        <v>是否封闭</v>
      </c>
      <c r="R31" s="700" t="s">
        <v>14</v>
      </c>
      <c r="S31" s="701">
        <f t="shared" si="12"/>
        <v>100</v>
      </c>
      <c r="T31" s="700" t="s">
        <v>14</v>
      </c>
      <c r="U31" s="701">
        <f t="shared" si="13"/>
        <v>100</v>
      </c>
      <c r="V31" s="700" t="s">
        <v>14</v>
      </c>
      <c r="W31" s="701">
        <f t="shared" si="14"/>
        <v>100</v>
      </c>
      <c r="X31" s="702"/>
      <c r="Y31" s="369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4" t="s">
        <v>1696</v>
      </c>
      <c r="Q32" s="1351">
        <f t="shared" si="11"/>
        <v>111</v>
      </c>
      <c r="R32" s="704" t="s">
        <v>14</v>
      </c>
      <c r="S32" s="705">
        <f t="shared" si="12"/>
        <v>100</v>
      </c>
      <c r="T32" s="704" t="s">
        <v>14</v>
      </c>
      <c r="U32" s="705">
        <f t="shared" si="13"/>
        <v>100</v>
      </c>
      <c r="V32" s="704" t="s">
        <v>14</v>
      </c>
      <c r="W32" s="705">
        <f t="shared" si="14"/>
        <v>100</v>
      </c>
      <c r="X32" s="1354"/>
      <c r="Y32" s="369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4"/>
      <c r="Q33" s="1351">
        <f t="shared" si="11"/>
        <v>111</v>
      </c>
      <c r="R33" s="704" t="s">
        <v>14</v>
      </c>
      <c r="S33" s="705">
        <f t="shared" si="12"/>
        <v>100</v>
      </c>
      <c r="T33" s="704" t="s">
        <v>14</v>
      </c>
      <c r="U33" s="705">
        <f t="shared" si="13"/>
        <v>100</v>
      </c>
      <c r="V33" s="704" t="s">
        <v>14</v>
      </c>
      <c r="W33" s="705">
        <f t="shared" si="14"/>
        <v>100</v>
      </c>
      <c r="X33" s="1354"/>
      <c r="Y33" s="369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6" t="str">
        <f>A35</f>
        <v>成交单价（元/平方米）</v>
      </c>
      <c r="Q35" s="3696"/>
      <c r="R35" s="3697">
        <f>E35</f>
        <v>0</v>
      </c>
      <c r="S35" s="3697"/>
      <c r="T35" s="3697">
        <f>G35</f>
        <v>0</v>
      </c>
      <c r="U35" s="3697"/>
      <c r="V35" s="3697">
        <f>I35</f>
        <v>0</v>
      </c>
      <c r="W35" s="3697"/>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55" t="str">
        <f>A37</f>
        <v>估价对象XX用房的比较价值（楼面单价，元/平方米）</v>
      </c>
      <c r="Q37" s="3756"/>
      <c r="R37" s="3759" t="e">
        <f>IF(F1="售价",ROUND(IF(D36="简单平均",AVERAGE(R36:W36),R36*F36+T36*H36+V36*J36),0),ROUND(IF(D36="简单平均",AVERAGE(R36:V36),R36*F36+T36*H36+V36*J36),1))</f>
        <v>#DIV/0!</v>
      </c>
      <c r="S37" s="3759"/>
      <c r="T37" s="3759"/>
      <c r="U37" s="3759"/>
      <c r="V37" s="3759"/>
      <c r="W37" s="375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4" priority="18" stopIfTrue="1" operator="containsText" text="超过">
      <formula>NOT(ISERROR(SEARCH("超过",F40)))</formula>
    </cfRule>
  </conditionalFormatting>
  <conditionalFormatting sqref="J42">
    <cfRule type="containsText" dxfId="73" priority="17" stopIfTrue="1" operator="containsText" text="超过">
      <formula>NOT(ISERROR(SEARCH("超过",J42)))</formula>
    </cfRule>
  </conditionalFormatting>
  <conditionalFormatting sqref="H42">
    <cfRule type="containsText" dxfId="72" priority="16" stopIfTrue="1" operator="containsText" text="超过">
      <formula>NOT(ISERROR(SEARCH("超过",H42)))</formula>
    </cfRule>
  </conditionalFormatting>
  <conditionalFormatting sqref="F42">
    <cfRule type="containsText" dxfId="71" priority="15" stopIfTrue="1" operator="containsText" text="超过">
      <formula>NOT(ISERROR(SEARCH("超过",F42)))</formula>
    </cfRule>
  </conditionalFormatting>
  <conditionalFormatting sqref="F41 H41 J41">
    <cfRule type="containsText" dxfId="70" priority="14" stopIfTrue="1" operator="containsText" text="超过">
      <formula>NOT(ISERROR(SEARCH("超过",F41)))</formula>
    </cfRule>
  </conditionalFormatting>
  <conditionalFormatting sqref="E40">
    <cfRule type="expression" dxfId="69" priority="13" stopIfTrue="1">
      <formula>$F$40="超过30%"</formula>
    </cfRule>
  </conditionalFormatting>
  <conditionalFormatting sqref="G42">
    <cfRule type="expression" dxfId="68" priority="12" stopIfTrue="1">
      <formula>$H$54+$H$42="超过30%"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F7:F34 H7:H34 J7:J34">
    <cfRule type="cellIs" dxfId="5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1" t="s">
        <v>1770</v>
      </c>
      <c r="D4" s="3672"/>
      <c r="E4" s="3673" t="s">
        <v>1771</v>
      </c>
      <c r="F4" s="3674"/>
      <c r="G4" s="3671" t="s">
        <v>1772</v>
      </c>
      <c r="H4" s="3672"/>
      <c r="I4" s="3671" t="s">
        <v>1773</v>
      </c>
      <c r="J4" s="3672"/>
      <c r="K4" s="559" t="s">
        <v>1774</v>
      </c>
      <c r="L4" s="2714"/>
      <c r="M4" s="2715"/>
      <c r="N4" s="2715"/>
      <c r="O4" s="2715"/>
      <c r="P4" s="3751" t="s">
        <v>1775</v>
      </c>
      <c r="Q4" s="3752"/>
      <c r="R4" s="3747" t="s">
        <v>1771</v>
      </c>
      <c r="S4" s="3748"/>
      <c r="T4" s="3747" t="s">
        <v>1772</v>
      </c>
      <c r="U4" s="3748"/>
      <c r="V4" s="3684" t="s">
        <v>1773</v>
      </c>
      <c r="W4" s="3684"/>
      <c r="X4" s="1354"/>
      <c r="Y4" s="3747" t="s">
        <v>1775</v>
      </c>
      <c r="Z4" s="3748"/>
      <c r="AA4" s="3746" t="s">
        <v>1771</v>
      </c>
      <c r="AB4" s="3649" t="s">
        <v>1772</v>
      </c>
      <c r="AC4" s="3746" t="s">
        <v>1773</v>
      </c>
    </row>
    <row r="5" spans="1:30" ht="15">
      <c r="A5" s="358"/>
      <c r="B5" s="359"/>
      <c r="C5" s="3659" t="s">
        <v>1673</v>
      </c>
      <c r="D5" s="3660"/>
      <c r="E5" s="3749" t="s">
        <v>1674</v>
      </c>
      <c r="F5" s="3658"/>
      <c r="G5" s="3659" t="s">
        <v>1675</v>
      </c>
      <c r="H5" s="3660"/>
      <c r="I5" s="3659" t="s">
        <v>1676</v>
      </c>
      <c r="J5" s="3660"/>
      <c r="K5" s="559"/>
      <c r="L5" s="2714"/>
      <c r="M5" s="2715"/>
      <c r="N5" s="2715"/>
      <c r="O5" s="2715"/>
      <c r="P5" s="3753"/>
      <c r="Q5" s="3678"/>
      <c r="R5" s="3655"/>
      <c r="S5" s="3656"/>
      <c r="T5" s="3655"/>
      <c r="U5" s="3656"/>
      <c r="V5" s="3684"/>
      <c r="W5" s="3684"/>
      <c r="X5" s="1354"/>
      <c r="Y5" s="3655"/>
      <c r="Z5" s="3656"/>
      <c r="AA5" s="3649"/>
      <c r="AB5" s="3649"/>
      <c r="AC5" s="3649"/>
    </row>
    <row r="6" spans="1:30" ht="15.75" thickBot="1">
      <c r="A6" s="360"/>
      <c r="B6" s="361"/>
      <c r="C6" s="3661" t="s">
        <v>1677</v>
      </c>
      <c r="D6" s="3662"/>
      <c r="E6" s="3750" t="s">
        <v>1677</v>
      </c>
      <c r="F6" s="3665"/>
      <c r="G6" s="3661" t="s">
        <v>1677</v>
      </c>
      <c r="H6" s="3662"/>
      <c r="I6" s="3661" t="s">
        <v>1677</v>
      </c>
      <c r="J6" s="3662"/>
      <c r="K6" s="559" t="s">
        <v>1678</v>
      </c>
      <c r="L6" s="2714"/>
      <c r="M6" s="2715"/>
      <c r="N6" s="2715"/>
      <c r="O6" s="2715"/>
      <c r="P6" s="3754"/>
      <c r="Q6" s="3680"/>
      <c r="R6" s="3655"/>
      <c r="S6" s="3656"/>
      <c r="T6" s="3681"/>
      <c r="U6" s="3682"/>
      <c r="V6" s="3684"/>
      <c r="W6" s="3684"/>
      <c r="X6" s="1354"/>
      <c r="Y6" s="3681"/>
      <c r="Z6" s="3682"/>
      <c r="AA6" s="3650"/>
      <c r="AB6" s="3650"/>
      <c r="AC6" s="3650"/>
    </row>
    <row r="7" spans="1:30" s="108" customFormat="1" ht="15.75" thickBot="1">
      <c r="A7" s="362" t="s">
        <v>1679</v>
      </c>
      <c r="B7" s="363"/>
      <c r="C7" s="364">
        <f>'数据-取费表'!B2</f>
        <v>45210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1" t="s">
        <v>1680</v>
      </c>
      <c r="Q7" s="3686"/>
      <c r="R7" s="700" t="s">
        <v>14</v>
      </c>
      <c r="S7" s="701">
        <f t="shared" ref="S7:S15" si="0">F7</f>
        <v>0</v>
      </c>
      <c r="T7" s="700" t="s">
        <v>14</v>
      </c>
      <c r="U7" s="701">
        <f t="shared" ref="U7:U15" si="1">H7</f>
        <v>0</v>
      </c>
      <c r="V7" s="700" t="s">
        <v>14</v>
      </c>
      <c r="W7" s="701">
        <f t="shared" ref="W7:W15" si="2">J7</f>
        <v>0</v>
      </c>
      <c r="X7" s="702"/>
      <c r="Y7" s="3651" t="s">
        <v>1680</v>
      </c>
      <c r="Z7" s="3652"/>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1" t="s">
        <v>1683</v>
      </c>
      <c r="Q8" s="3652"/>
      <c r="R8" s="700" t="s">
        <v>14</v>
      </c>
      <c r="S8" s="701">
        <f t="shared" si="0"/>
        <v>0</v>
      </c>
      <c r="T8" s="700" t="s">
        <v>14</v>
      </c>
      <c r="U8" s="701">
        <f t="shared" si="1"/>
        <v>0</v>
      </c>
      <c r="V8" s="700" t="s">
        <v>14</v>
      </c>
      <c r="W8" s="701">
        <f t="shared" si="2"/>
        <v>0</v>
      </c>
      <c r="X8" s="702"/>
      <c r="Y8" s="3651" t="s">
        <v>1683</v>
      </c>
      <c r="Z8" s="3652"/>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6"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96"/>
      <c r="Q10" s="1342" t="str">
        <f t="shared" si="6"/>
        <v>土地使用年限（年）</v>
      </c>
      <c r="R10" s="700" t="s">
        <v>14</v>
      </c>
      <c r="S10" s="701">
        <f t="shared" si="0"/>
        <v>107</v>
      </c>
      <c r="T10" s="700" t="s">
        <v>14</v>
      </c>
      <c r="U10" s="701">
        <f t="shared" si="1"/>
        <v>107</v>
      </c>
      <c r="V10" s="700" t="s">
        <v>14</v>
      </c>
      <c r="W10" s="701">
        <f t="shared" si="2"/>
        <v>107</v>
      </c>
      <c r="X10" s="702"/>
      <c r="Y10" s="3621"/>
      <c r="Z10" s="52" t="str">
        <f t="shared" si="7"/>
        <v>土地使用年限（年）</v>
      </c>
      <c r="AA10" s="703">
        <f t="shared" si="3"/>
        <v>0.93457943925233644</v>
      </c>
      <c r="AB10" s="703">
        <f t="shared" si="4"/>
        <v>0.93457943925233644</v>
      </c>
      <c r="AC10" s="703">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2"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2" t="str">
        <f t="shared" si="6"/>
        <v>配建</v>
      </c>
      <c r="R12" s="700" t="s">
        <v>14</v>
      </c>
      <c r="S12" s="701">
        <f t="shared" si="0"/>
        <v>100</v>
      </c>
      <c r="T12" s="700" t="s">
        <v>14</v>
      </c>
      <c r="U12" s="701">
        <f t="shared" si="1"/>
        <v>100</v>
      </c>
      <c r="V12" s="700" t="s">
        <v>14</v>
      </c>
      <c r="W12" s="701">
        <f t="shared" si="2"/>
        <v>100</v>
      </c>
      <c r="X12" s="702"/>
      <c r="Y12" s="362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2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2">
        <f t="shared" si="6"/>
        <v>111</v>
      </c>
      <c r="R14" s="700" t="s">
        <v>14</v>
      </c>
      <c r="S14" s="701">
        <f t="shared" si="0"/>
        <v>100</v>
      </c>
      <c r="T14" s="700" t="s">
        <v>14</v>
      </c>
      <c r="U14" s="701">
        <f t="shared" si="1"/>
        <v>100</v>
      </c>
      <c r="V14" s="700" t="s">
        <v>14</v>
      </c>
      <c r="W14" s="701">
        <f t="shared" si="2"/>
        <v>100</v>
      </c>
      <c r="X14" s="702"/>
      <c r="Y14" s="3621"/>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9" t="s">
        <v>1691</v>
      </c>
      <c r="Q15" s="1351" t="str">
        <f t="shared" si="6"/>
        <v>居住社区成熟度</v>
      </c>
      <c r="R15" s="704" t="s">
        <v>14</v>
      </c>
      <c r="S15" s="705">
        <f t="shared" si="0"/>
        <v>100</v>
      </c>
      <c r="T15" s="704" t="s">
        <v>14</v>
      </c>
      <c r="U15" s="705">
        <f t="shared" si="1"/>
        <v>100</v>
      </c>
      <c r="V15" s="704" t="s">
        <v>14</v>
      </c>
      <c r="W15" s="705">
        <f t="shared" si="2"/>
        <v>100</v>
      </c>
      <c r="X15" s="1354"/>
      <c r="Y15" s="368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0"/>
      <c r="Q16" s="1351"/>
      <c r="R16" s="704"/>
      <c r="S16" s="705"/>
      <c r="T16" s="704"/>
      <c r="U16" s="705"/>
      <c r="V16" s="704"/>
      <c r="W16" s="705"/>
      <c r="X16" s="1354"/>
      <c r="Y16" s="3690"/>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0"/>
      <c r="Q17" s="1351" t="str">
        <f>B17</f>
        <v>商业繁华度</v>
      </c>
      <c r="R17" s="704" t="s">
        <v>14</v>
      </c>
      <c r="S17" s="705">
        <f>F17</f>
        <v>100</v>
      </c>
      <c r="T17" s="704" t="s">
        <v>14</v>
      </c>
      <c r="U17" s="705">
        <f>H17</f>
        <v>100</v>
      </c>
      <c r="V17" s="704" t="s">
        <v>14</v>
      </c>
      <c r="W17" s="705">
        <f>J17</f>
        <v>100</v>
      </c>
      <c r="X17" s="1354"/>
      <c r="Y17" s="369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0"/>
      <c r="Q18" s="1351"/>
      <c r="R18" s="704"/>
      <c r="S18" s="705"/>
      <c r="T18" s="704"/>
      <c r="U18" s="705"/>
      <c r="V18" s="704"/>
      <c r="W18" s="705"/>
      <c r="X18" s="1354"/>
      <c r="Y18" s="3690"/>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0"/>
      <c r="Q19" s="1351" t="str">
        <f>B19</f>
        <v>办公集聚程度</v>
      </c>
      <c r="R19" s="704" t="s">
        <v>14</v>
      </c>
      <c r="S19" s="705">
        <f>F19</f>
        <v>100</v>
      </c>
      <c r="T19" s="704" t="s">
        <v>14</v>
      </c>
      <c r="U19" s="705">
        <f>H19</f>
        <v>100</v>
      </c>
      <c r="V19" s="704" t="s">
        <v>14</v>
      </c>
      <c r="W19" s="705">
        <f>J19</f>
        <v>100</v>
      </c>
      <c r="X19" s="1354"/>
      <c r="Y19" s="369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0"/>
      <c r="Q20" s="1351"/>
      <c r="R20" s="704"/>
      <c r="S20" s="705"/>
      <c r="T20" s="704"/>
      <c r="U20" s="705"/>
      <c r="V20" s="704"/>
      <c r="W20" s="705"/>
      <c r="X20" s="1354"/>
      <c r="Y20" s="3690"/>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0"/>
      <c r="Q21" s="1351" t="str">
        <f>B21</f>
        <v>交通便捷度</v>
      </c>
      <c r="R21" s="704" t="s">
        <v>14</v>
      </c>
      <c r="S21" s="705">
        <f>F21</f>
        <v>100</v>
      </c>
      <c r="T21" s="704" t="s">
        <v>14</v>
      </c>
      <c r="U21" s="705">
        <f>H21</f>
        <v>100</v>
      </c>
      <c r="V21" s="704" t="s">
        <v>14</v>
      </c>
      <c r="W21" s="705">
        <f>J21</f>
        <v>100</v>
      </c>
      <c r="X21" s="1354"/>
      <c r="Y21" s="369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90"/>
      <c r="Q22" s="1351"/>
      <c r="R22" s="704"/>
      <c r="S22" s="705"/>
      <c r="T22" s="704"/>
      <c r="U22" s="705"/>
      <c r="V22" s="704"/>
      <c r="W22" s="705"/>
      <c r="X22" s="1354"/>
      <c r="Y22" s="369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0"/>
      <c r="Q23" s="1351" t="str">
        <f t="shared" ref="Q23:Q37" si="8">B23</f>
        <v>区域土地利用方向</v>
      </c>
      <c r="R23" s="704" t="s">
        <v>14</v>
      </c>
      <c r="S23" s="705">
        <f>F23</f>
        <v>100</v>
      </c>
      <c r="T23" s="704" t="s">
        <v>14</v>
      </c>
      <c r="U23" s="705">
        <f>H23</f>
        <v>100</v>
      </c>
      <c r="V23" s="704" t="s">
        <v>14</v>
      </c>
      <c r="W23" s="705">
        <f>J23</f>
        <v>100</v>
      </c>
      <c r="X23" s="1354"/>
      <c r="Y23" s="369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0"/>
      <c r="Q24" s="1351"/>
      <c r="R24" s="704"/>
      <c r="S24" s="705"/>
      <c r="T24" s="704"/>
      <c r="U24" s="705"/>
      <c r="V24" s="704"/>
      <c r="W24" s="705"/>
      <c r="X24" s="1354"/>
      <c r="Y24" s="3690"/>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0"/>
      <c r="Q25" s="1351" t="str">
        <f t="shared" si="8"/>
        <v>自然及人文环境状况</v>
      </c>
      <c r="R25" s="704" t="s">
        <v>14</v>
      </c>
      <c r="S25" s="705">
        <f>F25</f>
        <v>100</v>
      </c>
      <c r="T25" s="704" t="s">
        <v>14</v>
      </c>
      <c r="U25" s="705">
        <f>H25</f>
        <v>100</v>
      </c>
      <c r="V25" s="704" t="s">
        <v>14</v>
      </c>
      <c r="W25" s="705">
        <f>J25</f>
        <v>100</v>
      </c>
      <c r="X25" s="1354"/>
      <c r="Y25" s="369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0"/>
      <c r="Q26" s="1351"/>
      <c r="R26" s="704"/>
      <c r="S26" s="705"/>
      <c r="T26" s="704"/>
      <c r="U26" s="705"/>
      <c r="V26" s="704"/>
      <c r="W26" s="705"/>
      <c r="X26" s="1354"/>
      <c r="Y26" s="3690"/>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0"/>
      <c r="Q27" s="1342" t="str">
        <f t="shared" si="8"/>
        <v>公共配套设施</v>
      </c>
      <c r="R27" s="700" t="s">
        <v>14</v>
      </c>
      <c r="S27" s="701">
        <f>F27</f>
        <v>100</v>
      </c>
      <c r="T27" s="700" t="s">
        <v>14</v>
      </c>
      <c r="U27" s="701">
        <f>H27</f>
        <v>100</v>
      </c>
      <c r="V27" s="700" t="s">
        <v>14</v>
      </c>
      <c r="W27" s="701">
        <f>J27</f>
        <v>100</v>
      </c>
      <c r="X27" s="702"/>
      <c r="Y27" s="3690"/>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0"/>
      <c r="Q28" s="1342"/>
      <c r="R28" s="700"/>
      <c r="S28" s="701"/>
      <c r="T28" s="700"/>
      <c r="U28" s="701"/>
      <c r="V28" s="700"/>
      <c r="W28" s="701"/>
      <c r="X28" s="702"/>
      <c r="Y28" s="3690"/>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0"/>
      <c r="Q29" s="1342" t="str">
        <f t="shared" ref="Q29" si="9">B29</f>
        <v>基础设施水平</v>
      </c>
      <c r="R29" s="700" t="s">
        <v>14</v>
      </c>
      <c r="S29" s="701">
        <f>F29</f>
        <v>100</v>
      </c>
      <c r="T29" s="700" t="s">
        <v>14</v>
      </c>
      <c r="U29" s="701">
        <f>H29</f>
        <v>100</v>
      </c>
      <c r="V29" s="700" t="s">
        <v>14</v>
      </c>
      <c r="W29" s="701">
        <f>J29</f>
        <v>100</v>
      </c>
      <c r="X29" s="702"/>
      <c r="Y29" s="369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0"/>
      <c r="Q30" s="1342"/>
      <c r="R30" s="700"/>
      <c r="S30" s="701"/>
      <c r="T30" s="700"/>
      <c r="U30" s="701"/>
      <c r="V30" s="700"/>
      <c r="W30" s="701"/>
      <c r="X30" s="702"/>
      <c r="Y30" s="369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0"/>
      <c r="Q32" s="1351" t="str">
        <f t="shared" si="8"/>
        <v>毗邻道路的类型与等级</v>
      </c>
      <c r="R32" s="704" t="s">
        <v>14</v>
      </c>
      <c r="S32" s="705">
        <f t="shared" si="10"/>
        <v>100</v>
      </c>
      <c r="T32" s="704" t="s">
        <v>14</v>
      </c>
      <c r="U32" s="705">
        <f t="shared" si="11"/>
        <v>100</v>
      </c>
      <c r="V32" s="704" t="s">
        <v>14</v>
      </c>
      <c r="W32" s="705">
        <f t="shared" si="12"/>
        <v>100</v>
      </c>
      <c r="X32" s="1354"/>
      <c r="Y32" s="369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0"/>
      <c r="Q33" s="1351"/>
      <c r="R33" s="704"/>
      <c r="S33" s="705"/>
      <c r="T33" s="704"/>
      <c r="U33" s="705"/>
      <c r="V33" s="704"/>
      <c r="W33" s="705"/>
      <c r="X33" s="1354"/>
      <c r="Y33" s="369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0"/>
      <c r="Q34" s="1351" t="str">
        <f t="shared" si="8"/>
        <v>土地级别</v>
      </c>
      <c r="R34" s="704" t="s">
        <v>14</v>
      </c>
      <c r="S34" s="705">
        <f t="shared" si="10"/>
        <v>100</v>
      </c>
      <c r="T34" s="704" t="s">
        <v>14</v>
      </c>
      <c r="U34" s="705">
        <f t="shared" si="11"/>
        <v>100</v>
      </c>
      <c r="V34" s="704" t="s">
        <v>14</v>
      </c>
      <c r="W34" s="705">
        <f t="shared" si="12"/>
        <v>100</v>
      </c>
      <c r="X34" s="1354"/>
      <c r="Y34" s="3690"/>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0"/>
      <c r="Q35" s="1351">
        <f t="shared" si="8"/>
        <v>111</v>
      </c>
      <c r="R35" s="704" t="s">
        <v>14</v>
      </c>
      <c r="S35" s="705">
        <f t="shared" si="10"/>
        <v>100</v>
      </c>
      <c r="T35" s="704" t="s">
        <v>14</v>
      </c>
      <c r="U35" s="705">
        <f t="shared" si="11"/>
        <v>100</v>
      </c>
      <c r="V35" s="704" t="s">
        <v>14</v>
      </c>
      <c r="W35" s="705">
        <f t="shared" si="12"/>
        <v>100</v>
      </c>
      <c r="X35" s="1354"/>
      <c r="Y35" s="3690"/>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8" t="s">
        <v>1696</v>
      </c>
      <c r="Q36" s="1351">
        <f t="shared" si="8"/>
        <v>111</v>
      </c>
      <c r="R36" s="704" t="s">
        <v>14</v>
      </c>
      <c r="S36" s="705">
        <f t="shared" si="10"/>
        <v>100</v>
      </c>
      <c r="T36" s="704" t="s">
        <v>14</v>
      </c>
      <c r="U36" s="705">
        <f t="shared" si="11"/>
        <v>100</v>
      </c>
      <c r="V36" s="704" t="s">
        <v>14</v>
      </c>
      <c r="W36" s="705">
        <f t="shared" si="12"/>
        <v>100</v>
      </c>
      <c r="X36" s="1354"/>
      <c r="Y36" s="3694"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4"/>
      <c r="Q37" s="1351">
        <f t="shared" si="8"/>
        <v>111</v>
      </c>
      <c r="R37" s="707" t="s">
        <v>14</v>
      </c>
      <c r="S37" s="708">
        <f t="shared" si="10"/>
        <v>100</v>
      </c>
      <c r="T37" s="707" t="s">
        <v>14</v>
      </c>
      <c r="U37" s="708">
        <f t="shared" si="11"/>
        <v>100</v>
      </c>
      <c r="V37" s="707" t="s">
        <v>14</v>
      </c>
      <c r="W37" s="708">
        <f t="shared" si="12"/>
        <v>100</v>
      </c>
      <c r="X37" s="709"/>
      <c r="Y37" s="3694"/>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4"/>
      <c r="Q38" s="1351" t="str">
        <f>B38</f>
        <v>宗地面积</v>
      </c>
      <c r="R38" s="704" t="s">
        <v>14</v>
      </c>
      <c r="S38" s="705" t="e">
        <f t="shared" si="10"/>
        <v>#N/A</v>
      </c>
      <c r="T38" s="704" t="s">
        <v>14</v>
      </c>
      <c r="U38" s="705" t="e">
        <f t="shared" si="11"/>
        <v>#N/A</v>
      </c>
      <c r="V38" s="704" t="s">
        <v>14</v>
      </c>
      <c r="W38" s="705" t="e">
        <f t="shared" si="12"/>
        <v>#N/A</v>
      </c>
      <c r="X38" s="1354"/>
      <c r="Y38" s="369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4"/>
      <c r="Q39" s="1351" t="str">
        <f t="shared" ref="Q39:Q45" si="14">B39</f>
        <v>宗地形状</v>
      </c>
      <c r="R39" s="704" t="s">
        <v>14</v>
      </c>
      <c r="S39" s="705">
        <f t="shared" si="10"/>
        <v>100</v>
      </c>
      <c r="T39" s="704" t="s">
        <v>14</v>
      </c>
      <c r="U39" s="705">
        <f t="shared" si="11"/>
        <v>100</v>
      </c>
      <c r="V39" s="704" t="s">
        <v>14</v>
      </c>
      <c r="W39" s="705">
        <f t="shared" si="12"/>
        <v>100</v>
      </c>
      <c r="X39" s="1354"/>
      <c r="Y39" s="369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4"/>
      <c r="Q40" s="1351" t="str">
        <f t="shared" si="14"/>
        <v>临街宽度及深度</v>
      </c>
      <c r="R40" s="704" t="s">
        <v>14</v>
      </c>
      <c r="S40" s="705">
        <f t="shared" si="10"/>
        <v>100</v>
      </c>
      <c r="T40" s="704" t="s">
        <v>14</v>
      </c>
      <c r="U40" s="705">
        <f t="shared" si="11"/>
        <v>100</v>
      </c>
      <c r="V40" s="704" t="s">
        <v>14</v>
      </c>
      <c r="W40" s="705">
        <f t="shared" si="12"/>
        <v>100</v>
      </c>
      <c r="X40" s="1354"/>
      <c r="Y40" s="369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4"/>
      <c r="Q41" s="1351" t="str">
        <f t="shared" si="14"/>
        <v>宗地开发程度</v>
      </c>
      <c r="R41" s="700" t="s">
        <v>14</v>
      </c>
      <c r="S41" s="701">
        <f t="shared" si="10"/>
        <v>100</v>
      </c>
      <c r="T41" s="700" t="s">
        <v>14</v>
      </c>
      <c r="U41" s="701">
        <f t="shared" si="11"/>
        <v>100</v>
      </c>
      <c r="V41" s="700" t="s">
        <v>14</v>
      </c>
      <c r="W41" s="701">
        <f t="shared" si="12"/>
        <v>100</v>
      </c>
      <c r="X41" s="702"/>
      <c r="Y41" s="369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4" t="s">
        <v>1696</v>
      </c>
      <c r="Q42" s="1351" t="str">
        <f t="shared" si="14"/>
        <v>工程地质条件</v>
      </c>
      <c r="R42" s="704" t="s">
        <v>14</v>
      </c>
      <c r="S42" s="705">
        <f t="shared" si="10"/>
        <v>100</v>
      </c>
      <c r="T42" s="704" t="s">
        <v>14</v>
      </c>
      <c r="U42" s="705">
        <f t="shared" si="11"/>
        <v>100</v>
      </c>
      <c r="V42" s="704" t="s">
        <v>14</v>
      </c>
      <c r="W42" s="705">
        <f t="shared" si="12"/>
        <v>100</v>
      </c>
      <c r="X42" s="1354"/>
      <c r="Y42" s="3694"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4"/>
      <c r="Q43" s="1351">
        <f t="shared" si="14"/>
        <v>111</v>
      </c>
      <c r="R43" s="704" t="s">
        <v>14</v>
      </c>
      <c r="S43" s="705">
        <f t="shared" si="10"/>
        <v>100</v>
      </c>
      <c r="T43" s="704" t="s">
        <v>14</v>
      </c>
      <c r="U43" s="705">
        <f t="shared" si="11"/>
        <v>100</v>
      </c>
      <c r="V43" s="704" t="s">
        <v>14</v>
      </c>
      <c r="W43" s="705">
        <f t="shared" si="12"/>
        <v>100</v>
      </c>
      <c r="X43" s="1354"/>
      <c r="Y43" s="3694"/>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4"/>
      <c r="Q44" s="1351">
        <f t="shared" si="14"/>
        <v>111</v>
      </c>
      <c r="R44" s="704" t="s">
        <v>14</v>
      </c>
      <c r="S44" s="705">
        <f t="shared" si="10"/>
        <v>100</v>
      </c>
      <c r="T44" s="704" t="s">
        <v>14</v>
      </c>
      <c r="U44" s="705">
        <f t="shared" si="11"/>
        <v>100</v>
      </c>
      <c r="V44" s="704" t="s">
        <v>14</v>
      </c>
      <c r="W44" s="705">
        <f t="shared" si="12"/>
        <v>100</v>
      </c>
      <c r="X44" s="1354"/>
      <c r="Y44" s="3694"/>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4"/>
      <c r="Q45" s="1351">
        <f t="shared" si="14"/>
        <v>111</v>
      </c>
      <c r="R45" s="707" t="s">
        <v>14</v>
      </c>
      <c r="S45" s="708">
        <f t="shared" si="10"/>
        <v>100</v>
      </c>
      <c r="T45" s="707" t="s">
        <v>14</v>
      </c>
      <c r="U45" s="708">
        <f t="shared" si="11"/>
        <v>100</v>
      </c>
      <c r="V45" s="707" t="s">
        <v>14</v>
      </c>
      <c r="W45" s="708">
        <f t="shared" si="12"/>
        <v>100</v>
      </c>
      <c r="X45" s="709"/>
      <c r="Y45" s="3694"/>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96" t="str">
        <f>A46</f>
        <v>成交单价</v>
      </c>
      <c r="Q46" s="3696"/>
      <c r="R46" s="3684">
        <f>E46</f>
        <v>0</v>
      </c>
      <c r="S46" s="3684"/>
      <c r="T46" s="3684">
        <f>G46</f>
        <v>0</v>
      </c>
      <c r="U46" s="3684"/>
      <c r="V46" s="3684">
        <f>I46</f>
        <v>0</v>
      </c>
      <c r="W46" s="3684"/>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96" t="str">
        <f>A47</f>
        <v>比较价值（元/平方米）</v>
      </c>
      <c r="Q47" s="3696"/>
      <c r="R47" s="3760" t="e">
        <f>ROUND(PRODUCT(R46,AA7:AA45),0)</f>
        <v>#DIV/0!</v>
      </c>
      <c r="S47" s="3760"/>
      <c r="T47" s="3760" t="e">
        <f>ROUND(PRODUCT(T46,AB7:AB45),0)</f>
        <v>#DIV/0!</v>
      </c>
      <c r="U47" s="3760"/>
      <c r="V47" s="3760" t="e">
        <f>ROUND(PRODUCT(V46,AC7:AC45),0)</f>
        <v>#DIV/0!</v>
      </c>
      <c r="W47" s="376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55" t="str">
        <f>A48</f>
        <v>估价对象XX用房的比较价值（楼面单价，元/平方米）</v>
      </c>
      <c r="Q48" s="3756"/>
      <c r="R48" s="3761" t="e">
        <f>ROUND(IF(D47="简单平均",AVERAGE(R47:W47),R47*F47+T47*H47+V47*J47),0)</f>
        <v>#DIV/0!</v>
      </c>
      <c r="S48" s="3761"/>
      <c r="T48" s="3761"/>
      <c r="U48" s="3761"/>
      <c r="V48" s="3761"/>
      <c r="W48" s="376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71" t="s">
        <v>1887</v>
      </c>
      <c r="H55" s="376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145.47</v>
      </c>
      <c r="F56" s="885" t="e">
        <f t="shared" ref="F56:F64" si="15">ROUND(B56*E56/10000,0)</f>
        <v>#DIV/0!</v>
      </c>
      <c r="G56" s="3667"/>
      <c r="H56" s="369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145.47</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6" priority="18" stopIfTrue="1" operator="containsText" text="超过">
      <formula>NOT(ISERROR(SEARCH("超过",F51)))</formula>
    </cfRule>
  </conditionalFormatting>
  <conditionalFormatting sqref="J53">
    <cfRule type="containsText" dxfId="55" priority="17" stopIfTrue="1" operator="containsText" text="超过">
      <formula>NOT(ISERROR(SEARCH("超过",J53)))</formula>
    </cfRule>
  </conditionalFormatting>
  <conditionalFormatting sqref="H53">
    <cfRule type="containsText" dxfId="54" priority="16" stopIfTrue="1" operator="containsText" text="超过">
      <formula>NOT(ISERROR(SEARCH("超过",H53)))</formula>
    </cfRule>
  </conditionalFormatting>
  <conditionalFormatting sqref="F53">
    <cfRule type="containsText" dxfId="53" priority="15" stopIfTrue="1" operator="containsText" text="超过">
      <formula>NOT(ISERROR(SEARCH("超过",F53)))</formula>
    </cfRule>
  </conditionalFormatting>
  <conditionalFormatting sqref="F52 H52 J52">
    <cfRule type="containsText" dxfId="52" priority="14" stopIfTrue="1" operator="containsText" text="超过">
      <formula>NOT(ISERROR(SEARCH("超过",F52)))</formula>
    </cfRule>
  </conditionalFormatting>
  <conditionalFormatting sqref="E51">
    <cfRule type="expression" dxfId="51" priority="13" stopIfTrue="1">
      <formula>$F$51="超过30%"</formula>
    </cfRule>
  </conditionalFormatting>
  <conditionalFormatting sqref="G53">
    <cfRule type="expression" dxfId="50" priority="12" stopIfTrue="1">
      <formula>$H$53="超过30%"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I51">
    <cfRule type="expression" dxfId="45" priority="7" stopIfTrue="1">
      <formula>$J$51="超过30%"</formula>
    </cfRule>
  </conditionalFormatting>
  <conditionalFormatting sqref="I52">
    <cfRule type="expression" dxfId="44" priority="6" stopIfTrue="1">
      <formula>$J$52="超过20%"</formula>
    </cfRule>
  </conditionalFormatting>
  <conditionalFormatting sqref="I53">
    <cfRule type="expression" dxfId="43" priority="5" stopIfTrue="1">
      <formula>$J$53="超过30%"</formula>
    </cfRule>
  </conditionalFormatting>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F7:F45 H7:H45 J7:J45">
    <cfRule type="cellIs" dxfId="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1" t="s">
        <v>1770</v>
      </c>
      <c r="D4" s="3672"/>
      <c r="E4" s="3673" t="s">
        <v>1771</v>
      </c>
      <c r="F4" s="3674"/>
      <c r="G4" s="3671" t="s">
        <v>1772</v>
      </c>
      <c r="H4" s="3672"/>
      <c r="I4" s="3671" t="s">
        <v>1773</v>
      </c>
      <c r="J4" s="3672"/>
      <c r="K4" s="559" t="s">
        <v>1774</v>
      </c>
      <c r="L4" s="2714"/>
      <c r="M4" s="2715"/>
      <c r="N4" s="2715"/>
      <c r="O4" s="2715"/>
      <c r="P4" s="3751" t="s">
        <v>1775</v>
      </c>
      <c r="Q4" s="3752"/>
      <c r="R4" s="3747" t="s">
        <v>1771</v>
      </c>
      <c r="S4" s="3748"/>
      <c r="T4" s="3747" t="s">
        <v>1772</v>
      </c>
      <c r="U4" s="3748"/>
      <c r="V4" s="3684" t="s">
        <v>1773</v>
      </c>
      <c r="W4" s="3684"/>
      <c r="X4" s="1354"/>
      <c r="Y4" s="3747" t="s">
        <v>1775</v>
      </c>
      <c r="Z4" s="3748"/>
      <c r="AA4" s="3746" t="s">
        <v>1771</v>
      </c>
      <c r="AB4" s="3649" t="s">
        <v>1772</v>
      </c>
      <c r="AC4" s="3746" t="s">
        <v>1773</v>
      </c>
    </row>
    <row r="5" spans="1:29" ht="15">
      <c r="A5" s="358"/>
      <c r="B5" s="359"/>
      <c r="C5" s="3659" t="s">
        <v>1673</v>
      </c>
      <c r="D5" s="3660"/>
      <c r="E5" s="3749" t="s">
        <v>1674</v>
      </c>
      <c r="F5" s="3658"/>
      <c r="G5" s="3659" t="s">
        <v>1675</v>
      </c>
      <c r="H5" s="3660"/>
      <c r="I5" s="3659" t="s">
        <v>1676</v>
      </c>
      <c r="J5" s="3660"/>
      <c r="K5" s="559"/>
      <c r="L5" s="2714"/>
      <c r="M5" s="2715"/>
      <c r="N5" s="2715"/>
      <c r="O5" s="2715"/>
      <c r="P5" s="3753"/>
      <c r="Q5" s="3678"/>
      <c r="R5" s="3655"/>
      <c r="S5" s="3656"/>
      <c r="T5" s="3655"/>
      <c r="U5" s="3656"/>
      <c r="V5" s="3684"/>
      <c r="W5" s="3684"/>
      <c r="X5" s="1354"/>
      <c r="Y5" s="3655"/>
      <c r="Z5" s="3656"/>
      <c r="AA5" s="3649"/>
      <c r="AB5" s="3649"/>
      <c r="AC5" s="3649"/>
    </row>
    <row r="6" spans="1:29" ht="15.75" thickBot="1">
      <c r="A6" s="360"/>
      <c r="B6" s="361"/>
      <c r="C6" s="3763" t="s">
        <v>1919</v>
      </c>
      <c r="D6" s="3764"/>
      <c r="E6" s="3765" t="s">
        <v>1919</v>
      </c>
      <c r="F6" s="3766"/>
      <c r="G6" s="3763" t="s">
        <v>1919</v>
      </c>
      <c r="H6" s="3764"/>
      <c r="I6" s="3763" t="s">
        <v>1919</v>
      </c>
      <c r="J6" s="3764"/>
      <c r="K6" s="559" t="s">
        <v>1678</v>
      </c>
      <c r="L6" s="2714"/>
      <c r="M6" s="2715"/>
      <c r="N6" s="2715"/>
      <c r="O6" s="2715"/>
      <c r="P6" s="3754"/>
      <c r="Q6" s="3680"/>
      <c r="R6" s="3655"/>
      <c r="S6" s="3656"/>
      <c r="T6" s="3681"/>
      <c r="U6" s="3682"/>
      <c r="V6" s="3684"/>
      <c r="W6" s="3684"/>
      <c r="X6" s="1354"/>
      <c r="Y6" s="3681"/>
      <c r="Z6" s="3682"/>
      <c r="AA6" s="3650"/>
      <c r="AB6" s="3650"/>
      <c r="AC6" s="3650"/>
    </row>
    <row r="7" spans="1:29" s="108" customFormat="1" ht="15.75" thickBot="1">
      <c r="A7" s="362" t="s">
        <v>1679</v>
      </c>
      <c r="B7" s="363"/>
      <c r="C7" s="364">
        <f>'数据-取费表'!B2</f>
        <v>45210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1" t="s">
        <v>1680</v>
      </c>
      <c r="Q7" s="3686"/>
      <c r="R7" s="700" t="s">
        <v>14</v>
      </c>
      <c r="S7" s="701">
        <f t="shared" ref="S7:S15" si="0">F7</f>
        <v>0</v>
      </c>
      <c r="T7" s="700" t="s">
        <v>14</v>
      </c>
      <c r="U7" s="701">
        <f t="shared" ref="U7:U15" si="1">H7</f>
        <v>0</v>
      </c>
      <c r="V7" s="700" t="s">
        <v>14</v>
      </c>
      <c r="W7" s="701">
        <f t="shared" ref="W7:W15" si="2">J7</f>
        <v>0</v>
      </c>
      <c r="X7" s="702"/>
      <c r="Y7" s="3651" t="s">
        <v>1680</v>
      </c>
      <c r="Z7" s="3652"/>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1" t="s">
        <v>1683</v>
      </c>
      <c r="Q8" s="3652"/>
      <c r="R8" s="700" t="s">
        <v>14</v>
      </c>
      <c r="S8" s="701">
        <f t="shared" si="0"/>
        <v>0</v>
      </c>
      <c r="T8" s="700" t="s">
        <v>14</v>
      </c>
      <c r="U8" s="701">
        <f t="shared" si="1"/>
        <v>0</v>
      </c>
      <c r="V8" s="700" t="s">
        <v>14</v>
      </c>
      <c r="W8" s="701">
        <f t="shared" si="2"/>
        <v>0</v>
      </c>
      <c r="X8" s="702"/>
      <c r="Y8" s="3651" t="s">
        <v>1683</v>
      </c>
      <c r="Z8" s="3652"/>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6"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96"/>
      <c r="Q10" s="1342" t="str">
        <f t="shared" si="6"/>
        <v>土地使用年限（年）</v>
      </c>
      <c r="R10" s="700" t="s">
        <v>14</v>
      </c>
      <c r="S10" s="701">
        <f t="shared" si="0"/>
        <v>107</v>
      </c>
      <c r="T10" s="700" t="s">
        <v>14</v>
      </c>
      <c r="U10" s="701">
        <f t="shared" si="1"/>
        <v>107</v>
      </c>
      <c r="V10" s="700" t="s">
        <v>14</v>
      </c>
      <c r="W10" s="701">
        <f t="shared" si="2"/>
        <v>107</v>
      </c>
      <c r="X10" s="702"/>
      <c r="Y10" s="3621"/>
      <c r="Z10" s="52" t="str">
        <f t="shared" si="7"/>
        <v>土地使用年限（年）</v>
      </c>
      <c r="AA10" s="703">
        <f t="shared" si="3"/>
        <v>0.93457943925233644</v>
      </c>
      <c r="AB10" s="703">
        <f t="shared" si="4"/>
        <v>0.93457943925233644</v>
      </c>
      <c r="AC10" s="703">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2"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15">
      <c r="A15" s="391" t="s">
        <v>1690</v>
      </c>
      <c r="B15" s="577"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9" t="s">
        <v>1691</v>
      </c>
      <c r="Q15" s="1351" t="str">
        <f t="shared" si="6"/>
        <v>产业集聚程度</v>
      </c>
      <c r="R15" s="704" t="s">
        <v>14</v>
      </c>
      <c r="S15" s="705">
        <f t="shared" si="0"/>
        <v>100</v>
      </c>
      <c r="T15" s="704" t="s">
        <v>14</v>
      </c>
      <c r="U15" s="705">
        <f t="shared" si="1"/>
        <v>100</v>
      </c>
      <c r="V15" s="704" t="s">
        <v>14</v>
      </c>
      <c r="W15" s="705">
        <f t="shared" si="2"/>
        <v>100</v>
      </c>
      <c r="X15" s="1354"/>
      <c r="Y15" s="368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0"/>
      <c r="Q16" s="1351"/>
      <c r="R16" s="704"/>
      <c r="S16" s="705"/>
      <c r="T16" s="704"/>
      <c r="U16" s="705"/>
      <c r="V16" s="704"/>
      <c r="W16" s="705"/>
      <c r="X16" s="1354"/>
      <c r="Y16" s="3690"/>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0"/>
      <c r="Q18" s="1351"/>
      <c r="R18" s="704"/>
      <c r="S18" s="705"/>
      <c r="T18" s="704"/>
      <c r="U18" s="705"/>
      <c r="V18" s="704"/>
      <c r="W18" s="705"/>
      <c r="X18" s="1354"/>
      <c r="Y18" s="369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0"/>
      <c r="Q19" s="1351" t="str">
        <f t="shared" ref="Q19:Q33" si="8">B19</f>
        <v>区域土地利用方向</v>
      </c>
      <c r="R19" s="704" t="s">
        <v>14</v>
      </c>
      <c r="S19" s="705">
        <f>F19</f>
        <v>100</v>
      </c>
      <c r="T19" s="704" t="s">
        <v>14</v>
      </c>
      <c r="U19" s="705">
        <f>H19</f>
        <v>100</v>
      </c>
      <c r="V19" s="704" t="s">
        <v>14</v>
      </c>
      <c r="W19" s="705">
        <f>J19</f>
        <v>100</v>
      </c>
      <c r="X19" s="1354"/>
      <c r="Y19" s="369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90"/>
      <c r="Q20" s="1351"/>
      <c r="R20" s="704"/>
      <c r="S20" s="705"/>
      <c r="T20" s="704"/>
      <c r="U20" s="705"/>
      <c r="V20" s="704"/>
      <c r="W20" s="705"/>
      <c r="X20" s="1354"/>
      <c r="Y20" s="3690"/>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0"/>
      <c r="Q21" s="1351" t="str">
        <f t="shared" si="8"/>
        <v>环境状况</v>
      </c>
      <c r="R21" s="704" t="s">
        <v>14</v>
      </c>
      <c r="S21" s="705">
        <f>F21</f>
        <v>100</v>
      </c>
      <c r="T21" s="704" t="s">
        <v>14</v>
      </c>
      <c r="U21" s="705">
        <f>H21</f>
        <v>100</v>
      </c>
      <c r="V21" s="704" t="s">
        <v>14</v>
      </c>
      <c r="W21" s="705">
        <f>J21</f>
        <v>100</v>
      </c>
      <c r="X21" s="1354"/>
      <c r="Y21" s="369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0"/>
      <c r="Q22" s="1351"/>
      <c r="R22" s="704"/>
      <c r="S22" s="705"/>
      <c r="T22" s="704"/>
      <c r="U22" s="705"/>
      <c r="V22" s="704"/>
      <c r="W22" s="705"/>
      <c r="X22" s="1354"/>
      <c r="Y22" s="3690"/>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0"/>
      <c r="Q23" s="1342" t="str">
        <f t="shared" si="8"/>
        <v>公共配套设施</v>
      </c>
      <c r="R23" s="700" t="s">
        <v>14</v>
      </c>
      <c r="S23" s="701">
        <f>F23</f>
        <v>100</v>
      </c>
      <c r="T23" s="700" t="s">
        <v>14</v>
      </c>
      <c r="U23" s="701">
        <f>H23</f>
        <v>100</v>
      </c>
      <c r="V23" s="700" t="s">
        <v>14</v>
      </c>
      <c r="W23" s="701">
        <f>J23</f>
        <v>100</v>
      </c>
      <c r="X23" s="702"/>
      <c r="Y23" s="369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0"/>
      <c r="Q24" s="1342"/>
      <c r="R24" s="700"/>
      <c r="S24" s="701"/>
      <c r="T24" s="700"/>
      <c r="U24" s="701"/>
      <c r="V24" s="700"/>
      <c r="W24" s="701"/>
      <c r="X24" s="702"/>
      <c r="Y24" s="3690"/>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0"/>
      <c r="Q25" s="1342" t="str">
        <f t="shared" ref="Q25" si="9">B25</f>
        <v>基础设施水平</v>
      </c>
      <c r="R25" s="700" t="s">
        <v>14</v>
      </c>
      <c r="S25" s="701">
        <f>F25</f>
        <v>100</v>
      </c>
      <c r="T25" s="700" t="s">
        <v>14</v>
      </c>
      <c r="U25" s="701">
        <f>H25</f>
        <v>100</v>
      </c>
      <c r="V25" s="700" t="s">
        <v>14</v>
      </c>
      <c r="W25" s="701">
        <f>J25</f>
        <v>100</v>
      </c>
      <c r="X25" s="702"/>
      <c r="Y25" s="369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0"/>
      <c r="Q26" s="1342"/>
      <c r="R26" s="700"/>
      <c r="S26" s="701"/>
      <c r="T26" s="700"/>
      <c r="U26" s="701"/>
      <c r="V26" s="700"/>
      <c r="W26" s="701"/>
      <c r="X26" s="702"/>
      <c r="Y26" s="3690"/>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0"/>
      <c r="Q28" s="1351" t="str">
        <f t="shared" si="8"/>
        <v>毗邻道路的类型与等级</v>
      </c>
      <c r="R28" s="704" t="s">
        <v>14</v>
      </c>
      <c r="S28" s="705">
        <f t="shared" si="10"/>
        <v>100</v>
      </c>
      <c r="T28" s="704" t="s">
        <v>14</v>
      </c>
      <c r="U28" s="705">
        <f t="shared" si="11"/>
        <v>100</v>
      </c>
      <c r="V28" s="704" t="s">
        <v>14</v>
      </c>
      <c r="W28" s="705">
        <f t="shared" si="12"/>
        <v>100</v>
      </c>
      <c r="X28" s="1354"/>
      <c r="Y28" s="369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0"/>
      <c r="Q29" s="1351"/>
      <c r="R29" s="704"/>
      <c r="S29" s="705"/>
      <c r="T29" s="704"/>
      <c r="U29" s="705"/>
      <c r="V29" s="704"/>
      <c r="W29" s="705"/>
      <c r="X29" s="1354"/>
      <c r="Y29" s="3690"/>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0"/>
      <c r="Q30" s="1351" t="str">
        <f t="shared" si="8"/>
        <v>土地级别</v>
      </c>
      <c r="R30" s="704" t="s">
        <v>14</v>
      </c>
      <c r="S30" s="705">
        <f t="shared" si="10"/>
        <v>100</v>
      </c>
      <c r="T30" s="704" t="s">
        <v>14</v>
      </c>
      <c r="U30" s="705">
        <f t="shared" si="11"/>
        <v>100</v>
      </c>
      <c r="V30" s="704" t="s">
        <v>14</v>
      </c>
      <c r="W30" s="705">
        <f t="shared" si="12"/>
        <v>100</v>
      </c>
      <c r="X30" s="1354"/>
      <c r="Y30" s="369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0"/>
      <c r="Q31" s="1351">
        <f t="shared" si="8"/>
        <v>111</v>
      </c>
      <c r="R31" s="704" t="s">
        <v>14</v>
      </c>
      <c r="S31" s="705">
        <f t="shared" si="10"/>
        <v>100</v>
      </c>
      <c r="T31" s="704" t="s">
        <v>14</v>
      </c>
      <c r="U31" s="705">
        <f t="shared" si="11"/>
        <v>100</v>
      </c>
      <c r="V31" s="704" t="s">
        <v>14</v>
      </c>
      <c r="W31" s="705">
        <f t="shared" si="12"/>
        <v>100</v>
      </c>
      <c r="X31" s="1354"/>
      <c r="Y31" s="369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8" t="s">
        <v>1696</v>
      </c>
      <c r="Q32" s="1351">
        <f t="shared" si="8"/>
        <v>111</v>
      </c>
      <c r="R32" s="704" t="s">
        <v>14</v>
      </c>
      <c r="S32" s="705">
        <f t="shared" si="10"/>
        <v>100</v>
      </c>
      <c r="T32" s="704" t="s">
        <v>14</v>
      </c>
      <c r="U32" s="705">
        <f t="shared" si="11"/>
        <v>100</v>
      </c>
      <c r="V32" s="704" t="s">
        <v>14</v>
      </c>
      <c r="W32" s="705">
        <f t="shared" si="12"/>
        <v>100</v>
      </c>
      <c r="X32" s="1354"/>
      <c r="Y32" s="369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4"/>
      <c r="Q33" s="1351">
        <f t="shared" si="8"/>
        <v>111</v>
      </c>
      <c r="R33" s="707" t="s">
        <v>14</v>
      </c>
      <c r="S33" s="708">
        <f t="shared" si="10"/>
        <v>100</v>
      </c>
      <c r="T33" s="707" t="s">
        <v>14</v>
      </c>
      <c r="U33" s="708">
        <f t="shared" si="11"/>
        <v>100</v>
      </c>
      <c r="V33" s="707" t="s">
        <v>14</v>
      </c>
      <c r="W33" s="708">
        <f t="shared" si="12"/>
        <v>100</v>
      </c>
      <c r="X33" s="709"/>
      <c r="Y33" s="3694"/>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4"/>
      <c r="Q34" s="1351" t="str">
        <f>B34</f>
        <v>宗地面积</v>
      </c>
      <c r="R34" s="704" t="s">
        <v>14</v>
      </c>
      <c r="S34" s="705" t="e">
        <f t="shared" si="10"/>
        <v>#N/A</v>
      </c>
      <c r="T34" s="704" t="s">
        <v>14</v>
      </c>
      <c r="U34" s="705" t="e">
        <f t="shared" si="11"/>
        <v>#N/A</v>
      </c>
      <c r="V34" s="704" t="s">
        <v>14</v>
      </c>
      <c r="W34" s="705" t="e">
        <f t="shared" si="12"/>
        <v>#N/A</v>
      </c>
      <c r="X34" s="1354"/>
      <c r="Y34" s="369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4"/>
      <c r="Q35" s="1351" t="str">
        <f t="shared" ref="Q35:Q40" si="14">B35</f>
        <v>宗地形状</v>
      </c>
      <c r="R35" s="704" t="s">
        <v>14</v>
      </c>
      <c r="S35" s="705">
        <f t="shared" si="10"/>
        <v>100</v>
      </c>
      <c r="T35" s="704" t="s">
        <v>14</v>
      </c>
      <c r="U35" s="705">
        <f t="shared" si="11"/>
        <v>100</v>
      </c>
      <c r="V35" s="704" t="s">
        <v>14</v>
      </c>
      <c r="W35" s="705">
        <f t="shared" si="12"/>
        <v>100</v>
      </c>
      <c r="X35" s="1354"/>
      <c r="Y35" s="369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4"/>
      <c r="Q36" s="1351" t="str">
        <f t="shared" si="14"/>
        <v>宗地开发程度</v>
      </c>
      <c r="R36" s="700" t="s">
        <v>14</v>
      </c>
      <c r="S36" s="701">
        <f t="shared" si="10"/>
        <v>100</v>
      </c>
      <c r="T36" s="700" t="s">
        <v>14</v>
      </c>
      <c r="U36" s="701">
        <f t="shared" si="11"/>
        <v>100</v>
      </c>
      <c r="V36" s="700" t="s">
        <v>14</v>
      </c>
      <c r="W36" s="701">
        <f t="shared" si="12"/>
        <v>100</v>
      </c>
      <c r="X36" s="702"/>
      <c r="Y36" s="369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4" t="s">
        <v>1696</v>
      </c>
      <c r="Q37" s="1351" t="str">
        <f t="shared" si="14"/>
        <v>工程地质条件</v>
      </c>
      <c r="R37" s="704" t="s">
        <v>14</v>
      </c>
      <c r="S37" s="705">
        <f t="shared" si="10"/>
        <v>100</v>
      </c>
      <c r="T37" s="704" t="s">
        <v>14</v>
      </c>
      <c r="U37" s="705">
        <f t="shared" si="11"/>
        <v>100</v>
      </c>
      <c r="V37" s="704" t="s">
        <v>14</v>
      </c>
      <c r="W37" s="705">
        <f t="shared" si="12"/>
        <v>100</v>
      </c>
      <c r="X37" s="1354"/>
      <c r="Y37" s="3694"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4"/>
      <c r="Q38" s="1351">
        <f t="shared" si="14"/>
        <v>111</v>
      </c>
      <c r="R38" s="704" t="s">
        <v>14</v>
      </c>
      <c r="S38" s="705">
        <f t="shared" si="10"/>
        <v>100</v>
      </c>
      <c r="T38" s="704" t="s">
        <v>14</v>
      </c>
      <c r="U38" s="705">
        <f t="shared" si="11"/>
        <v>100</v>
      </c>
      <c r="V38" s="704" t="s">
        <v>14</v>
      </c>
      <c r="W38" s="705">
        <f t="shared" si="12"/>
        <v>100</v>
      </c>
      <c r="X38" s="1354"/>
      <c r="Y38" s="3694"/>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4"/>
      <c r="Q39" s="1351">
        <f t="shared" si="14"/>
        <v>111</v>
      </c>
      <c r="R39" s="704" t="s">
        <v>14</v>
      </c>
      <c r="S39" s="705">
        <f t="shared" si="10"/>
        <v>100</v>
      </c>
      <c r="T39" s="704" t="s">
        <v>14</v>
      </c>
      <c r="U39" s="705">
        <f t="shared" si="11"/>
        <v>100</v>
      </c>
      <c r="V39" s="704" t="s">
        <v>14</v>
      </c>
      <c r="W39" s="705">
        <f t="shared" si="12"/>
        <v>100</v>
      </c>
      <c r="X39" s="1354"/>
      <c r="Y39" s="3694"/>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4"/>
      <c r="Q40" s="1351">
        <f t="shared" si="14"/>
        <v>111</v>
      </c>
      <c r="R40" s="707" t="s">
        <v>14</v>
      </c>
      <c r="S40" s="708">
        <f t="shared" si="10"/>
        <v>100</v>
      </c>
      <c r="T40" s="707" t="s">
        <v>14</v>
      </c>
      <c r="U40" s="708">
        <f t="shared" si="11"/>
        <v>100</v>
      </c>
      <c r="V40" s="707" t="s">
        <v>14</v>
      </c>
      <c r="W40" s="708">
        <f t="shared" si="12"/>
        <v>100</v>
      </c>
      <c r="X40" s="709"/>
      <c r="Y40" s="3694"/>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96" t="str">
        <f>A41</f>
        <v>成交单价</v>
      </c>
      <c r="Q41" s="3696"/>
      <c r="R41" s="3684">
        <f>E41</f>
        <v>0</v>
      </c>
      <c r="S41" s="3684"/>
      <c r="T41" s="3684">
        <f>G41</f>
        <v>0</v>
      </c>
      <c r="U41" s="3684"/>
      <c r="V41" s="3684">
        <f>I41</f>
        <v>0</v>
      </c>
      <c r="W41" s="3684"/>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96" t="str">
        <f>A42</f>
        <v>比较价值（元/平方米）</v>
      </c>
      <c r="Q42" s="3696"/>
      <c r="R42" s="3760" t="e">
        <f>ROUND(PRODUCT(R41,AA7:AA40),0)</f>
        <v>#DIV/0!</v>
      </c>
      <c r="S42" s="3760"/>
      <c r="T42" s="3760" t="e">
        <f>ROUND(PRODUCT(T41,AB7:AB40),0)</f>
        <v>#DIV/0!</v>
      </c>
      <c r="U42" s="3760"/>
      <c r="V42" s="3760" t="e">
        <f>ROUND(PRODUCT(V41,AC7:AC40),0)</f>
        <v>#DIV/0!</v>
      </c>
      <c r="W42" s="376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55" t="str">
        <f>A43</f>
        <v>估价对象XX用房的比较价值（楼面单价，元/平方米）</v>
      </c>
      <c r="Q43" s="3756"/>
      <c r="R43" s="3761" t="e">
        <f>ROUND(IF(D42="简单平均",AVERAGE(R42:W42),R42*F42+T42*H42+V42*J42),0)</f>
        <v>#DIV/0!</v>
      </c>
      <c r="S43" s="3761"/>
      <c r="T43" s="3761"/>
      <c r="U43" s="3761"/>
      <c r="V43" s="3761"/>
      <c r="W43" s="376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1" t="s">
        <v>1887</v>
      </c>
      <c r="H50" s="376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145.47</v>
      </c>
      <c r="F51" s="639" t="e">
        <f t="shared" ref="F51:F60" si="15">ROUND(B51*E51/10000,0)</f>
        <v>#DIV/0!</v>
      </c>
      <c r="G51" s="3667"/>
      <c r="H51" s="369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6" sqref="T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0" t="s">
        <v>2084</v>
      </c>
      <c r="D1" s="3771"/>
      <c r="E1" s="3771"/>
      <c r="F1" s="3771"/>
      <c r="G1" s="3771"/>
      <c r="H1" s="3771"/>
      <c r="I1" s="3771"/>
      <c r="J1" s="3771"/>
      <c r="K1" s="3771"/>
      <c r="L1" s="3771"/>
      <c r="M1" s="3771"/>
      <c r="N1" s="3771"/>
      <c r="O1" s="3771"/>
      <c r="P1" s="3771"/>
      <c r="Q1" s="3771"/>
      <c r="R1" s="3771"/>
      <c r="S1" s="3772"/>
      <c r="T1" s="982" t="s">
        <v>2085</v>
      </c>
    </row>
    <row r="2" spans="1:45" s="655" customFormat="1" ht="38.25">
      <c r="A2" s="983"/>
      <c r="B2" s="651" t="s">
        <v>2086</v>
      </c>
      <c r="C2" s="652" t="str">
        <f t="shared" ref="C2:L2" si="0">C3&amp;"(含)"&amp;"-"&amp;D3</f>
        <v>0(含)-500</v>
      </c>
      <c r="D2" s="653" t="str">
        <f t="shared" si="0"/>
        <v>500(含)-1000</v>
      </c>
      <c r="E2" s="653" t="str">
        <f t="shared" si="0"/>
        <v>1000(含)-3000</v>
      </c>
      <c r="F2" s="653" t="str">
        <f t="shared" si="0"/>
        <v>3000(含)-5000</v>
      </c>
      <c r="G2" s="653" t="str">
        <f t="shared" si="0"/>
        <v>5000(含)-10000</v>
      </c>
      <c r="H2" s="653" t="str">
        <f t="shared" si="0"/>
        <v>10000(含)-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'[2]比较法-办公'!C104</f>
        <v>0</v>
      </c>
      <c r="D3" s="657">
        <f>'[2]比较法-办公'!D104</f>
        <v>500</v>
      </c>
      <c r="E3" s="657">
        <f>'[2]比较法-办公'!E104</f>
        <v>1000</v>
      </c>
      <c r="F3" s="657">
        <f>'[2]比较法-办公'!F104</f>
        <v>3000</v>
      </c>
      <c r="G3" s="657">
        <f>'[2]比较法-办公'!G104</f>
        <v>5000</v>
      </c>
      <c r="H3" s="657">
        <f>'[2]比较法-办公'!H104</f>
        <v>10000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'[2]比较法-办公'!C105</f>
        <v>100</v>
      </c>
      <c r="D4" s="988">
        <f>'[2]比较法-办公'!D105</f>
        <v>99</v>
      </c>
      <c r="E4" s="988">
        <f>'[2]比较法-办公'!E105</f>
        <v>98</v>
      </c>
      <c r="F4" s="988">
        <f>'[2]比较法-办公'!F105</f>
        <v>97</v>
      </c>
      <c r="G4" s="988">
        <f>'[2]比较法-办公'!G105</f>
        <v>96</v>
      </c>
      <c r="H4" s="988">
        <f>'[2]比较法-办公'!H105</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888.66</v>
      </c>
      <c r="C22" s="3767" t="s">
        <v>27</v>
      </c>
      <c r="D22" s="3768"/>
      <c r="E22" s="3768"/>
      <c r="F22" s="3768"/>
      <c r="G22" s="3768"/>
      <c r="H22" s="3768"/>
      <c r="I22" s="3768"/>
      <c r="J22" s="3768"/>
      <c r="K22" s="3768"/>
      <c r="L22" s="3768"/>
      <c r="M22" s="3768"/>
      <c r="N22" s="3768"/>
      <c r="O22" s="3768"/>
      <c r="P22" s="3768"/>
      <c r="Q22" s="3769"/>
      <c r="R22" s="662">
        <f ca="1">ROUND(S22*10000/B22,0)</f>
        <v>23215</v>
      </c>
      <c r="S22" s="21">
        <f ca="1">SUM(S24:S10000)</f>
        <v>2063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Sheet1!A2</f>
        <v>503</v>
      </c>
      <c r="B24" s="664">
        <f>Sheet1!C2</f>
        <v>145.47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23213</v>
      </c>
      <c r="S24" s="665">
        <f t="shared" ref="S24:S54" ca="1" si="11">ROUND(R24*B24/10000,0)</f>
        <v>338</v>
      </c>
      <c r="T24" s="729">
        <f ca="1">R24*B24</f>
        <v>3376795.11</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Sheet1!A3</f>
        <v>504</v>
      </c>
      <c r="B25" s="664">
        <f>Sheet1!C3</f>
        <v>164.45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23213</v>
      </c>
      <c r="S25" s="316">
        <f t="shared" ca="1" si="11"/>
        <v>382</v>
      </c>
      <c r="T25" s="729">
        <f t="shared" ref="T25:T29" ca="1" si="12">R25*B25</f>
        <v>3817377.8499999996</v>
      </c>
    </row>
    <row r="26" spans="1:45">
      <c r="A26" s="664">
        <f>Sheet1!A4</f>
        <v>505</v>
      </c>
      <c r="B26" s="664">
        <f>Sheet1!C4</f>
        <v>82.39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23213</v>
      </c>
      <c r="S26" s="316">
        <f t="shared" ca="1" si="11"/>
        <v>191</v>
      </c>
      <c r="T26" s="729">
        <f t="shared" ca="1" si="12"/>
        <v>1912519.07</v>
      </c>
    </row>
    <row r="27" spans="1:45">
      <c r="A27" s="664">
        <f>Sheet1!A5</f>
        <v>506</v>
      </c>
      <c r="B27" s="664">
        <f>Sheet1!C5</f>
        <v>204.26</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23213</v>
      </c>
      <c r="S27" s="316">
        <f t="shared" ca="1" si="11"/>
        <v>474</v>
      </c>
      <c r="T27" s="729">
        <f t="shared" ca="1" si="12"/>
        <v>4741487.38</v>
      </c>
    </row>
    <row r="28" spans="1:45">
      <c r="A28" s="664">
        <f>Sheet1!A6</f>
        <v>509</v>
      </c>
      <c r="B28" s="664">
        <f>Sheet1!C6</f>
        <v>164.45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23213</v>
      </c>
      <c r="S28" s="316">
        <f t="shared" ca="1" si="11"/>
        <v>382</v>
      </c>
      <c r="T28" s="729">
        <f t="shared" ca="1" si="12"/>
        <v>3817377.8499999996</v>
      </c>
    </row>
    <row r="29" spans="1:45">
      <c r="A29" s="664">
        <f>Sheet1!A7</f>
        <v>510</v>
      </c>
      <c r="B29" s="664">
        <f>Sheet1!C7</f>
        <v>127.64</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23213</v>
      </c>
      <c r="S29" s="316">
        <f t="shared" ca="1" si="11"/>
        <v>296</v>
      </c>
      <c r="T29" s="729">
        <f t="shared" ca="1" si="12"/>
        <v>2962907.32</v>
      </c>
    </row>
    <row r="30" spans="1:45">
      <c r="A30" s="664"/>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126</v>
      </c>
      <c r="C2" s="2144" t="s">
        <v>2074</v>
      </c>
      <c r="D2" s="2144" t="s">
        <v>2075</v>
      </c>
      <c r="E2" s="2611">
        <f ca="1">SUMIF(E6:E13,"&lt;&gt;#ref!",E6:E13)</f>
        <v>145.47</v>
      </c>
      <c r="F2" s="2792"/>
      <c r="G2" s="2792"/>
      <c r="H2" s="2792"/>
      <c r="I2" s="2792"/>
      <c r="J2" s="2792"/>
      <c r="K2" s="2792"/>
      <c r="L2" s="2792"/>
      <c r="M2" s="2792"/>
      <c r="N2" s="2792"/>
      <c r="O2" s="2792"/>
      <c r="P2" s="2792"/>
    </row>
    <row r="3" spans="1:16" ht="15.75">
      <c r="A3" s="2144" t="s">
        <v>2076</v>
      </c>
      <c r="B3" s="2601">
        <f ca="1">ROUND(B2*10000/E2,0)</f>
        <v>8662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126</v>
      </c>
      <c r="C6" s="2144" t="s">
        <v>2074</v>
      </c>
      <c r="D6" s="2792"/>
      <c r="E6" s="2611">
        <f ca="1">SUMIF(INDIRECT("'"&amp;A6&amp;"'"&amp;"!C:C"),"建筑面积",INDIRECT("'"&amp;A6&amp;"'"&amp;"!D:D"))</f>
        <v>145.47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0" t="s">
        <v>2601</v>
      </c>
      <c r="B20" s="3773" t="s">
        <v>2622</v>
      </c>
      <c r="C20" s="3102" t="s">
        <v>2433</v>
      </c>
      <c r="D20" s="3103"/>
      <c r="E20" s="3104">
        <v>1</v>
      </c>
      <c r="F20" s="3105" t="s">
        <v>2434</v>
      </c>
      <c r="G20" s="3105"/>
    </row>
    <row r="21" spans="1:13" ht="19.5" customHeight="1">
      <c r="A21" s="3781"/>
      <c r="B21" s="3774"/>
      <c r="C21" s="3106" t="s">
        <v>2435</v>
      </c>
      <c r="D21" s="3107"/>
      <c r="E21" s="3108">
        <v>1</v>
      </c>
      <c r="F21" s="3105" t="s">
        <v>2436</v>
      </c>
      <c r="G21" s="3105"/>
    </row>
    <row r="22" spans="1:13" ht="19.5" customHeight="1">
      <c r="A22" s="3781"/>
      <c r="B22" s="3774"/>
      <c r="C22" s="3106" t="s">
        <v>2437</v>
      </c>
      <c r="D22" s="3107"/>
      <c r="E22" s="3108">
        <v>0.9</v>
      </c>
      <c r="F22" s="3105" t="s">
        <v>2438</v>
      </c>
      <c r="G22" s="3105"/>
    </row>
    <row r="23" spans="1:13" ht="19.5" customHeight="1">
      <c r="A23" s="3781"/>
      <c r="B23" s="3774"/>
      <c r="C23" s="3106" t="s">
        <v>2439</v>
      </c>
      <c r="D23" s="3107"/>
      <c r="E23" s="3108">
        <v>0.9</v>
      </c>
      <c r="F23" s="3105" t="s">
        <v>2440</v>
      </c>
      <c r="G23" s="3105"/>
    </row>
    <row r="24" spans="1:13" ht="19.5" customHeight="1">
      <c r="A24" s="3781"/>
      <c r="B24" s="3774"/>
      <c r="C24" s="3106" t="s">
        <v>2441</v>
      </c>
      <c r="D24" s="3107"/>
      <c r="E24" s="3108">
        <v>0.8</v>
      </c>
      <c r="F24" s="3105" t="s">
        <v>2442</v>
      </c>
      <c r="G24" s="3105"/>
    </row>
    <row r="25" spans="1:13" ht="19.5" customHeight="1" thickBot="1">
      <c r="A25" s="3782"/>
      <c r="B25" s="3775"/>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76" t="s">
        <v>2625</v>
      </c>
      <c r="B27" s="3773" t="s">
        <v>2606</v>
      </c>
      <c r="C27" s="3102" t="s">
        <v>2446</v>
      </c>
      <c r="D27" s="3103"/>
      <c r="E27" s="3104">
        <v>1</v>
      </c>
      <c r="F27" s="3105" t="s">
        <v>2447</v>
      </c>
      <c r="G27" s="3105"/>
    </row>
    <row r="28" spans="1:13" ht="19.5" customHeight="1">
      <c r="A28" s="3777"/>
      <c r="B28" s="3774"/>
      <c r="C28" s="3106" t="s">
        <v>2448</v>
      </c>
      <c r="D28" s="3107"/>
      <c r="E28" s="3108">
        <v>1</v>
      </c>
      <c r="F28" s="3105" t="s">
        <v>2449</v>
      </c>
      <c r="G28" s="3105"/>
    </row>
    <row r="29" spans="1:13" ht="19.5" customHeight="1">
      <c r="A29" s="3777"/>
      <c r="B29" s="3774"/>
      <c r="C29" s="3106" t="s">
        <v>2450</v>
      </c>
      <c r="D29" s="3107"/>
      <c r="E29" s="3108">
        <v>0.8</v>
      </c>
      <c r="F29" s="3105" t="s">
        <v>2451</v>
      </c>
      <c r="G29" s="3105"/>
    </row>
    <row r="30" spans="1:13" ht="19.5" customHeight="1">
      <c r="A30" s="3777"/>
      <c r="B30" s="3774"/>
      <c r="C30" s="3106" t="s">
        <v>2452</v>
      </c>
      <c r="D30" s="3107"/>
      <c r="E30" s="3108">
        <v>0.8</v>
      </c>
      <c r="F30" s="3105" t="s">
        <v>2453</v>
      </c>
      <c r="G30" s="3105"/>
    </row>
    <row r="31" spans="1:13" ht="19.5" customHeight="1">
      <c r="A31" s="3777"/>
      <c r="B31" s="3774"/>
      <c r="C31" s="3106" t="s">
        <v>2454</v>
      </c>
      <c r="D31" s="3107"/>
      <c r="E31" s="3108">
        <v>0.8</v>
      </c>
      <c r="F31" s="3105" t="s">
        <v>2455</v>
      </c>
      <c r="G31" s="3105"/>
    </row>
    <row r="32" spans="1:13" ht="19.5" customHeight="1">
      <c r="A32" s="3777"/>
      <c r="B32" s="3774"/>
      <c r="C32" s="3106" t="s">
        <v>2456</v>
      </c>
      <c r="D32" s="3107"/>
      <c r="E32" s="3108">
        <v>0.7</v>
      </c>
      <c r="F32" s="3105" t="s">
        <v>2457</v>
      </c>
      <c r="G32" s="3105"/>
    </row>
    <row r="33" spans="1:7" ht="19.5" customHeight="1">
      <c r="A33" s="3777"/>
      <c r="B33" s="3774"/>
      <c r="C33" s="3106" t="s">
        <v>2458</v>
      </c>
      <c r="D33" s="3107"/>
      <c r="E33" s="3108">
        <v>0.8</v>
      </c>
      <c r="F33" s="3105" t="s">
        <v>2459</v>
      </c>
      <c r="G33" s="3105"/>
    </row>
    <row r="34" spans="1:7" ht="19.5" customHeight="1">
      <c r="A34" s="3777"/>
      <c r="B34" s="3774"/>
      <c r="C34" s="3106" t="s">
        <v>2460</v>
      </c>
      <c r="D34" s="3107"/>
      <c r="E34" s="3108">
        <v>0.6</v>
      </c>
      <c r="F34" s="3105" t="s">
        <v>2461</v>
      </c>
      <c r="G34" s="3105"/>
    </row>
    <row r="35" spans="1:7" ht="19.5" customHeight="1">
      <c r="A35" s="3777"/>
      <c r="B35" s="3774"/>
      <c r="C35" s="3106" t="s">
        <v>2462</v>
      </c>
      <c r="D35" s="3107"/>
      <c r="E35" s="3108">
        <v>0.2</v>
      </c>
      <c r="F35" s="3105" t="s">
        <v>2463</v>
      </c>
      <c r="G35" s="3105"/>
    </row>
    <row r="36" spans="1:7" ht="19.5" customHeight="1">
      <c r="A36" s="3777"/>
      <c r="B36" s="3774"/>
      <c r="C36" s="3106" t="s">
        <v>2464</v>
      </c>
      <c r="D36" s="3107"/>
      <c r="E36" s="3108">
        <v>0.2</v>
      </c>
      <c r="F36" s="3105" t="s">
        <v>2465</v>
      </c>
      <c r="G36" s="3105"/>
    </row>
    <row r="37" spans="1:7" ht="19.5" customHeight="1">
      <c r="A37" s="3777"/>
      <c r="B37" s="3779" t="s">
        <v>2626</v>
      </c>
      <c r="C37" s="3106" t="s">
        <v>2466</v>
      </c>
      <c r="D37" s="3107"/>
      <c r="E37" s="3108">
        <v>0.6</v>
      </c>
      <c r="F37" s="3105" t="s">
        <v>2467</v>
      </c>
      <c r="G37" s="3105"/>
    </row>
    <row r="38" spans="1:7" ht="19.5" customHeight="1">
      <c r="A38" s="3777"/>
      <c r="B38" s="3774"/>
      <c r="C38" s="3106" t="s">
        <v>2468</v>
      </c>
      <c r="D38" s="3107"/>
      <c r="E38" s="3108">
        <v>0.6</v>
      </c>
      <c r="F38" s="3105" t="s">
        <v>2469</v>
      </c>
      <c r="G38" s="3105"/>
    </row>
    <row r="39" spans="1:7" ht="19.5" customHeight="1" thickBot="1">
      <c r="A39" s="3778"/>
      <c r="B39" s="3775"/>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0" t="s">
        <v>2604</v>
      </c>
      <c r="B41" s="3773" t="s">
        <v>2628</v>
      </c>
      <c r="C41" s="3102" t="s">
        <v>2473</v>
      </c>
      <c r="D41" s="3103"/>
      <c r="E41" s="3104">
        <v>1</v>
      </c>
      <c r="F41" s="3105" t="s">
        <v>2474</v>
      </c>
      <c r="G41" s="3105"/>
    </row>
    <row r="42" spans="1:7" ht="19.5" customHeight="1">
      <c r="A42" s="3781"/>
      <c r="B42" s="3774"/>
      <c r="C42" s="3106" t="s">
        <v>2475</v>
      </c>
      <c r="D42" s="3107"/>
      <c r="E42" s="3108">
        <v>1</v>
      </c>
      <c r="F42" s="3105" t="s">
        <v>2476</v>
      </c>
      <c r="G42" s="3105"/>
    </row>
    <row r="43" spans="1:7" ht="19.5" customHeight="1">
      <c r="A43" s="3781"/>
      <c r="B43" s="3783"/>
      <c r="C43" s="3106" t="s">
        <v>2477</v>
      </c>
      <c r="D43" s="3107"/>
      <c r="E43" s="3108">
        <v>1.5</v>
      </c>
      <c r="F43" s="3105" t="s">
        <v>2478</v>
      </c>
      <c r="G43" s="3105"/>
    </row>
    <row r="44" spans="1:7" ht="19.5" customHeight="1">
      <c r="A44" s="3781"/>
      <c r="B44" s="3117" t="s">
        <v>2629</v>
      </c>
      <c r="C44" s="3106" t="s">
        <v>2630</v>
      </c>
      <c r="D44" s="3107"/>
      <c r="E44" s="3108">
        <v>2</v>
      </c>
      <c r="F44" s="3105" t="s">
        <v>2479</v>
      </c>
      <c r="G44" s="3105"/>
    </row>
    <row r="45" spans="1:7" ht="19.5" customHeight="1">
      <c r="A45" s="3781"/>
      <c r="B45" s="3779" t="s">
        <v>2631</v>
      </c>
      <c r="C45" s="3106" t="s">
        <v>2480</v>
      </c>
      <c r="D45" s="3107"/>
      <c r="E45" s="3108">
        <v>1</v>
      </c>
      <c r="F45" s="3105" t="s">
        <v>2481</v>
      </c>
      <c r="G45" s="3105"/>
    </row>
    <row r="46" spans="1:7" ht="19.5" customHeight="1">
      <c r="A46" s="3781"/>
      <c r="B46" s="3774"/>
      <c r="C46" s="3106" t="s">
        <v>2482</v>
      </c>
      <c r="D46" s="3107"/>
      <c r="E46" s="3108">
        <v>1</v>
      </c>
      <c r="F46" s="3105" t="s">
        <v>2483</v>
      </c>
      <c r="G46" s="3105"/>
    </row>
    <row r="47" spans="1:7" ht="19.5" customHeight="1">
      <c r="A47" s="3781"/>
      <c r="B47" s="3774"/>
      <c r="C47" s="3106" t="s">
        <v>2484</v>
      </c>
      <c r="D47" s="3107"/>
      <c r="E47" s="3108">
        <v>1</v>
      </c>
      <c r="F47" s="3105" t="s">
        <v>2485</v>
      </c>
      <c r="G47" s="3105"/>
    </row>
    <row r="48" spans="1:7" ht="19.5" customHeight="1">
      <c r="A48" s="3781"/>
      <c r="B48" s="3774"/>
      <c r="C48" s="3106" t="s">
        <v>2486</v>
      </c>
      <c r="D48" s="3107"/>
      <c r="E48" s="3108">
        <v>1</v>
      </c>
      <c r="F48" s="3105" t="s">
        <v>2487</v>
      </c>
      <c r="G48" s="3105"/>
    </row>
    <row r="49" spans="1:7" ht="19.5" customHeight="1">
      <c r="A49" s="3781"/>
      <c r="B49" s="3774"/>
      <c r="C49" s="3106" t="s">
        <v>2488</v>
      </c>
      <c r="D49" s="3107"/>
      <c r="E49" s="3108">
        <v>1</v>
      </c>
      <c r="F49" s="3105" t="s">
        <v>2489</v>
      </c>
      <c r="G49" s="3105"/>
    </row>
    <row r="50" spans="1:7" ht="19.5" customHeight="1">
      <c r="A50" s="3781"/>
      <c r="B50" s="3774"/>
      <c r="C50" s="3106" t="s">
        <v>2490</v>
      </c>
      <c r="D50" s="3107"/>
      <c r="E50" s="3108">
        <v>1</v>
      </c>
      <c r="F50" s="3105" t="s">
        <v>2491</v>
      </c>
      <c r="G50" s="3105"/>
    </row>
    <row r="51" spans="1:7" ht="19.5" customHeight="1" thickBot="1">
      <c r="A51" s="3782"/>
      <c r="B51" s="3775"/>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79" t="s">
        <v>2645</v>
      </c>
      <c r="C73" s="3091" t="s">
        <v>2646</v>
      </c>
      <c r="D73" s="3091" t="s">
        <v>2647</v>
      </c>
      <c r="E73" s="3117">
        <v>0.2</v>
      </c>
      <c r="F73" s="3117">
        <v>25</v>
      </c>
    </row>
    <row r="74" spans="1:7" ht="24">
      <c r="A74" s="3117">
        <v>2</v>
      </c>
      <c r="B74" s="3774"/>
      <c r="C74" s="3091" t="s">
        <v>2648</v>
      </c>
      <c r="D74" s="3091" t="s">
        <v>2649</v>
      </c>
      <c r="E74" s="3117">
        <v>0.2</v>
      </c>
      <c r="F74" s="3117">
        <v>25</v>
      </c>
    </row>
    <row r="75" spans="1:7" ht="24">
      <c r="A75" s="3117">
        <v>3</v>
      </c>
      <c r="B75" s="3774"/>
      <c r="C75" s="3091" t="s">
        <v>2650</v>
      </c>
      <c r="D75" s="3091" t="s">
        <v>2651</v>
      </c>
      <c r="E75" s="3117">
        <v>0.2</v>
      </c>
      <c r="F75" s="3117">
        <v>25</v>
      </c>
    </row>
    <row r="76" spans="1:7" ht="13.5">
      <c r="A76" s="3117">
        <v>4</v>
      </c>
      <c r="B76" s="3774"/>
      <c r="C76" s="3091" t="s">
        <v>2652</v>
      </c>
      <c r="D76" s="3091" t="s">
        <v>2653</v>
      </c>
      <c r="E76" s="3117">
        <v>0.15</v>
      </c>
      <c r="F76" s="3117">
        <v>20</v>
      </c>
    </row>
    <row r="77" spans="1:7" ht="24">
      <c r="A77" s="3117">
        <v>5</v>
      </c>
      <c r="B77" s="3774"/>
      <c r="C77" s="3091" t="s">
        <v>2654</v>
      </c>
      <c r="D77" s="3091" t="s">
        <v>2655</v>
      </c>
      <c r="E77" s="3117">
        <v>0.15</v>
      </c>
      <c r="F77" s="3117">
        <v>20</v>
      </c>
    </row>
    <row r="78" spans="1:7" ht="24">
      <c r="A78" s="3117">
        <v>6</v>
      </c>
      <c r="B78" s="3774"/>
      <c r="C78" s="3091" t="s">
        <v>2656</v>
      </c>
      <c r="D78" s="3091" t="s">
        <v>2657</v>
      </c>
      <c r="E78" s="3117">
        <v>0.15</v>
      </c>
      <c r="F78" s="3117">
        <v>20</v>
      </c>
    </row>
    <row r="79" spans="1:7" ht="24">
      <c r="A79" s="3117">
        <v>7</v>
      </c>
      <c r="B79" s="3774"/>
      <c r="C79" s="3091" t="s">
        <v>2658</v>
      </c>
      <c r="D79" s="3091" t="s">
        <v>2659</v>
      </c>
      <c r="E79" s="3117">
        <v>0.15</v>
      </c>
      <c r="F79" s="3117">
        <v>20</v>
      </c>
    </row>
    <row r="80" spans="1:7" ht="24">
      <c r="A80" s="3117">
        <v>8</v>
      </c>
      <c r="B80" s="3774"/>
      <c r="C80" s="3091" t="s">
        <v>2660</v>
      </c>
      <c r="D80" s="3091" t="s">
        <v>2661</v>
      </c>
      <c r="E80" s="3117">
        <v>0.1</v>
      </c>
      <c r="F80" s="3117">
        <v>15</v>
      </c>
    </row>
    <row r="81" spans="1:6" ht="24">
      <c r="A81" s="3117">
        <v>9</v>
      </c>
      <c r="B81" s="3774"/>
      <c r="C81" s="3091" t="s">
        <v>2662</v>
      </c>
      <c r="D81" s="3091" t="s">
        <v>2663</v>
      </c>
      <c r="E81" s="3117">
        <v>0.1</v>
      </c>
      <c r="F81" s="3117">
        <v>15</v>
      </c>
    </row>
    <row r="82" spans="1:6" ht="24">
      <c r="A82" s="3117">
        <v>10</v>
      </c>
      <c r="B82" s="3774"/>
      <c r="C82" s="3091" t="s">
        <v>2664</v>
      </c>
      <c r="D82" s="3091" t="s">
        <v>2665</v>
      </c>
      <c r="E82" s="3117">
        <v>0.1</v>
      </c>
      <c r="F82" s="3117">
        <v>15</v>
      </c>
    </row>
    <row r="83" spans="1:6" ht="24">
      <c r="A83" s="3117">
        <v>11</v>
      </c>
      <c r="B83" s="3774"/>
      <c r="C83" s="3091" t="s">
        <v>2666</v>
      </c>
      <c r="D83" s="3091" t="s">
        <v>2667</v>
      </c>
      <c r="E83" s="3117">
        <v>0.1</v>
      </c>
      <c r="F83" s="3117">
        <v>15</v>
      </c>
    </row>
    <row r="84" spans="1:6" ht="24">
      <c r="A84" s="3117">
        <v>12</v>
      </c>
      <c r="B84" s="3774"/>
      <c r="C84" s="3091" t="s">
        <v>2668</v>
      </c>
      <c r="D84" s="3091" t="s">
        <v>2669</v>
      </c>
      <c r="E84" s="3117">
        <v>0.1</v>
      </c>
      <c r="F84" s="3117">
        <v>15</v>
      </c>
    </row>
    <row r="85" spans="1:6" ht="13.5">
      <c r="A85" s="3117">
        <v>13</v>
      </c>
      <c r="B85" s="3774"/>
      <c r="C85" s="3091" t="s">
        <v>2670</v>
      </c>
      <c r="D85" s="3091" t="s">
        <v>2671</v>
      </c>
      <c r="E85" s="3117">
        <v>0.1</v>
      </c>
      <c r="F85" s="3117">
        <v>15</v>
      </c>
    </row>
    <row r="86" spans="1:6" ht="13.5">
      <c r="A86" s="3117">
        <v>14</v>
      </c>
      <c r="B86" s="3774"/>
      <c r="C86" s="3091" t="s">
        <v>2672</v>
      </c>
      <c r="D86" s="3091" t="s">
        <v>2673</v>
      </c>
      <c r="E86" s="3117">
        <v>0.1</v>
      </c>
      <c r="F86" s="3117">
        <v>15</v>
      </c>
    </row>
    <row r="87" spans="1:6" ht="13.5">
      <c r="A87" s="3117">
        <v>15</v>
      </c>
      <c r="B87" s="3774"/>
      <c r="C87" s="3091" t="s">
        <v>2674</v>
      </c>
      <c r="D87" s="3091" t="s">
        <v>2675</v>
      </c>
      <c r="E87" s="3117">
        <v>0.1</v>
      </c>
      <c r="F87" s="3117">
        <v>15</v>
      </c>
    </row>
    <row r="88" spans="1:6" ht="24">
      <c r="A88" s="3117">
        <v>16</v>
      </c>
      <c r="B88" s="3774"/>
      <c r="C88" s="3091" t="s">
        <v>2676</v>
      </c>
      <c r="D88" s="3091" t="s">
        <v>2677</v>
      </c>
      <c r="E88" s="3117">
        <v>0.1</v>
      </c>
      <c r="F88" s="3117">
        <v>15</v>
      </c>
    </row>
    <row r="89" spans="1:6" ht="24">
      <c r="A89" s="3117">
        <v>17</v>
      </c>
      <c r="B89" s="3783"/>
      <c r="C89" s="3091" t="s">
        <v>2678</v>
      </c>
      <c r="D89" s="3091" t="s">
        <v>2679</v>
      </c>
      <c r="E89" s="3117">
        <v>0.1</v>
      </c>
      <c r="F89" s="3117">
        <v>15</v>
      </c>
    </row>
    <row r="90" spans="1:6" ht="13.5">
      <c r="A90" s="3117">
        <v>18</v>
      </c>
      <c r="B90" s="3779" t="s">
        <v>2680</v>
      </c>
      <c r="C90" s="3091" t="s">
        <v>2681</v>
      </c>
      <c r="D90" s="3091" t="s">
        <v>2682</v>
      </c>
      <c r="E90" s="3117">
        <v>0.2</v>
      </c>
      <c r="F90" s="3117">
        <v>25</v>
      </c>
    </row>
    <row r="91" spans="1:6" ht="24">
      <c r="A91" s="3117">
        <v>19</v>
      </c>
      <c r="B91" s="3774"/>
      <c r="C91" s="3091" t="s">
        <v>2683</v>
      </c>
      <c r="D91" s="3091" t="s">
        <v>2684</v>
      </c>
      <c r="E91" s="3117">
        <v>0.2</v>
      </c>
      <c r="F91" s="3117">
        <v>25</v>
      </c>
    </row>
    <row r="92" spans="1:6" ht="13.5">
      <c r="A92" s="3117">
        <v>20</v>
      </c>
      <c r="B92" s="3774"/>
      <c r="C92" s="3091" t="s">
        <v>2685</v>
      </c>
      <c r="D92" s="3091" t="s">
        <v>2686</v>
      </c>
      <c r="E92" s="3117">
        <v>0.15</v>
      </c>
      <c r="F92" s="3117">
        <v>20</v>
      </c>
    </row>
    <row r="93" spans="1:6" ht="13.5">
      <c r="A93" s="3117">
        <v>21</v>
      </c>
      <c r="B93" s="3774"/>
      <c r="C93" s="3091" t="s">
        <v>2687</v>
      </c>
      <c r="D93" s="3091" t="s">
        <v>2688</v>
      </c>
      <c r="E93" s="3117">
        <v>0.15</v>
      </c>
      <c r="F93" s="3117">
        <v>20</v>
      </c>
    </row>
    <row r="94" spans="1:6" ht="13.5">
      <c r="A94" s="3117">
        <v>22</v>
      </c>
      <c r="B94" s="3774"/>
      <c r="C94" s="3091" t="s">
        <v>2689</v>
      </c>
      <c r="D94" s="3091" t="s">
        <v>2690</v>
      </c>
      <c r="E94" s="3117">
        <v>0.15</v>
      </c>
      <c r="F94" s="3117">
        <v>20</v>
      </c>
    </row>
    <row r="95" spans="1:6" ht="36">
      <c r="A95" s="3117">
        <v>23</v>
      </c>
      <c r="B95" s="3774"/>
      <c r="C95" s="3091" t="s">
        <v>2691</v>
      </c>
      <c r="D95" s="3091" t="s">
        <v>2692</v>
      </c>
      <c r="E95" s="3117">
        <v>0.15</v>
      </c>
      <c r="F95" s="3117">
        <v>20</v>
      </c>
    </row>
    <row r="96" spans="1:6" ht="13.5">
      <c r="A96" s="3117">
        <v>24</v>
      </c>
      <c r="B96" s="3774"/>
      <c r="C96" s="3091" t="s">
        <v>2693</v>
      </c>
      <c r="D96" s="3091" t="s">
        <v>2694</v>
      </c>
      <c r="E96" s="3117">
        <v>0.1</v>
      </c>
      <c r="F96" s="3117">
        <v>15</v>
      </c>
    </row>
    <row r="97" spans="1:6" ht="13.5">
      <c r="A97" s="3117">
        <v>25</v>
      </c>
      <c r="B97" s="3774"/>
      <c r="C97" s="3091" t="s">
        <v>2695</v>
      </c>
      <c r="D97" s="3091" t="s">
        <v>2696</v>
      </c>
      <c r="E97" s="3117">
        <v>0.1</v>
      </c>
      <c r="F97" s="3117">
        <v>15</v>
      </c>
    </row>
    <row r="98" spans="1:6" ht="24">
      <c r="A98" s="3117">
        <v>26</v>
      </c>
      <c r="B98" s="3774"/>
      <c r="C98" s="3091" t="s">
        <v>2697</v>
      </c>
      <c r="D98" s="3091" t="s">
        <v>2698</v>
      </c>
      <c r="E98" s="3117">
        <v>0.1</v>
      </c>
      <c r="F98" s="3117">
        <v>15</v>
      </c>
    </row>
    <row r="99" spans="1:6" ht="24">
      <c r="A99" s="3117">
        <v>27</v>
      </c>
      <c r="B99" s="3774"/>
      <c r="C99" s="3091" t="s">
        <v>2699</v>
      </c>
      <c r="D99" s="3091" t="s">
        <v>2700</v>
      </c>
      <c r="E99" s="3117">
        <v>0.1</v>
      </c>
      <c r="F99" s="3117">
        <v>15</v>
      </c>
    </row>
    <row r="100" spans="1:6" ht="13.5">
      <c r="A100" s="3117">
        <v>28</v>
      </c>
      <c r="B100" s="3774"/>
      <c r="C100" s="3091" t="s">
        <v>2701</v>
      </c>
      <c r="D100" s="3091" t="s">
        <v>2702</v>
      </c>
      <c r="E100" s="3117">
        <v>0.1</v>
      </c>
      <c r="F100" s="3117">
        <v>15</v>
      </c>
    </row>
    <row r="101" spans="1:6" ht="13.5">
      <c r="A101" s="3117">
        <v>29</v>
      </c>
      <c r="B101" s="3774"/>
      <c r="C101" s="3091" t="s">
        <v>2703</v>
      </c>
      <c r="D101" s="3091" t="s">
        <v>2704</v>
      </c>
      <c r="E101" s="3117">
        <v>0.1</v>
      </c>
      <c r="F101" s="3117">
        <v>15</v>
      </c>
    </row>
    <row r="102" spans="1:6" ht="13.5">
      <c r="A102" s="3117">
        <v>30</v>
      </c>
      <c r="B102" s="3774"/>
      <c r="C102" s="3091" t="s">
        <v>2705</v>
      </c>
      <c r="D102" s="3091" t="s">
        <v>2706</v>
      </c>
      <c r="E102" s="3117">
        <v>0.1</v>
      </c>
      <c r="F102" s="3117">
        <v>15</v>
      </c>
    </row>
    <row r="103" spans="1:6" ht="24">
      <c r="A103" s="3117">
        <v>31</v>
      </c>
      <c r="B103" s="3774"/>
      <c r="C103" s="3091" t="s">
        <v>2707</v>
      </c>
      <c r="D103" s="3091" t="s">
        <v>2708</v>
      </c>
      <c r="E103" s="3117">
        <v>0.1</v>
      </c>
      <c r="F103" s="3117">
        <v>15</v>
      </c>
    </row>
    <row r="104" spans="1:6" ht="24">
      <c r="A104" s="3117">
        <v>32</v>
      </c>
      <c r="B104" s="3774"/>
      <c r="C104" s="3091" t="s">
        <v>2709</v>
      </c>
      <c r="D104" s="3091" t="s">
        <v>2710</v>
      </c>
      <c r="E104" s="3117">
        <v>0.1</v>
      </c>
      <c r="F104" s="3117">
        <v>15</v>
      </c>
    </row>
    <row r="105" spans="1:6" ht="24">
      <c r="A105" s="3117">
        <v>33</v>
      </c>
      <c r="B105" s="3774"/>
      <c r="C105" s="3091" t="s">
        <v>2711</v>
      </c>
      <c r="D105" s="3091" t="s">
        <v>2712</v>
      </c>
      <c r="E105" s="3117">
        <v>0.1</v>
      </c>
      <c r="F105" s="3117">
        <v>15</v>
      </c>
    </row>
    <row r="106" spans="1:6" ht="24">
      <c r="A106" s="3117">
        <v>34</v>
      </c>
      <c r="B106" s="3783"/>
      <c r="C106" s="3091" t="s">
        <v>2713</v>
      </c>
      <c r="D106" s="3091" t="s">
        <v>2714</v>
      </c>
      <c r="E106" s="3117">
        <v>0.1</v>
      </c>
      <c r="F106" s="3117">
        <v>15</v>
      </c>
    </row>
    <row r="107" spans="1:6" ht="24">
      <c r="A107" s="3117">
        <v>35</v>
      </c>
      <c r="B107" s="3779" t="s">
        <v>2715</v>
      </c>
      <c r="C107" s="3117" t="s">
        <v>2716</v>
      </c>
      <c r="D107" s="3091" t="s">
        <v>2717</v>
      </c>
      <c r="E107" s="3117">
        <v>0.15</v>
      </c>
      <c r="F107" s="3117">
        <v>20</v>
      </c>
    </row>
    <row r="108" spans="1:6" ht="13.5">
      <c r="A108" s="3117">
        <v>36</v>
      </c>
      <c r="B108" s="3774"/>
      <c r="C108" s="3117" t="s">
        <v>2718</v>
      </c>
      <c r="D108" s="3091" t="s">
        <v>2719</v>
      </c>
      <c r="E108" s="3117">
        <v>0.15</v>
      </c>
      <c r="F108" s="3117">
        <v>20</v>
      </c>
    </row>
    <row r="109" spans="1:6" ht="13.5">
      <c r="A109" s="3117">
        <v>37</v>
      </c>
      <c r="B109" s="3774"/>
      <c r="C109" s="3117" t="s">
        <v>2720</v>
      </c>
      <c r="D109" s="3091" t="s">
        <v>2721</v>
      </c>
      <c r="E109" s="3117">
        <v>0.15</v>
      </c>
      <c r="F109" s="3117">
        <v>20</v>
      </c>
    </row>
    <row r="110" spans="1:6" ht="13.5">
      <c r="A110" s="3117">
        <v>38</v>
      </c>
      <c r="B110" s="3774"/>
      <c r="C110" s="3117" t="s">
        <v>2722</v>
      </c>
      <c r="D110" s="3091" t="s">
        <v>2723</v>
      </c>
      <c r="E110" s="3117">
        <v>0.1</v>
      </c>
      <c r="F110" s="3117">
        <v>15</v>
      </c>
    </row>
    <row r="111" spans="1:6" ht="24">
      <c r="A111" s="3117">
        <v>39</v>
      </c>
      <c r="B111" s="3774"/>
      <c r="C111" s="3117" t="s">
        <v>2724</v>
      </c>
      <c r="D111" s="3091" t="s">
        <v>2725</v>
      </c>
      <c r="E111" s="3117">
        <v>0.1</v>
      </c>
      <c r="F111" s="3117">
        <v>15</v>
      </c>
    </row>
    <row r="112" spans="1:6" ht="24">
      <c r="A112" s="3117">
        <v>40</v>
      </c>
      <c r="B112" s="3783"/>
      <c r="C112" s="3117" t="s">
        <v>2726</v>
      </c>
      <c r="D112" s="3091" t="s">
        <v>2727</v>
      </c>
      <c r="E112" s="3117">
        <v>0.1</v>
      </c>
      <c r="F112" s="3117">
        <v>15</v>
      </c>
    </row>
    <row r="113" spans="1:6" ht="13.5">
      <c r="A113" s="3117">
        <v>41</v>
      </c>
      <c r="B113" s="3784" t="s">
        <v>2728</v>
      </c>
      <c r="C113" s="3117" t="s">
        <v>2729</v>
      </c>
      <c r="D113" s="3091" t="s">
        <v>2730</v>
      </c>
      <c r="E113" s="3117">
        <v>0.1</v>
      </c>
      <c r="F113" s="3117">
        <v>15</v>
      </c>
    </row>
    <row r="114" spans="1:6" ht="13.5">
      <c r="A114" s="3117">
        <v>42</v>
      </c>
      <c r="B114" s="3784"/>
      <c r="C114" s="3117" t="s">
        <v>2731</v>
      </c>
      <c r="D114" s="3091" t="s">
        <v>2732</v>
      </c>
      <c r="E114" s="3117">
        <v>0.1</v>
      </c>
      <c r="F114" s="3117">
        <v>15</v>
      </c>
    </row>
    <row r="115" spans="1:6" ht="24">
      <c r="A115" s="3117">
        <v>43</v>
      </c>
      <c r="B115" s="3784"/>
      <c r="C115" s="3117" t="s">
        <v>2733</v>
      </c>
      <c r="D115" s="3091" t="s">
        <v>2734</v>
      </c>
      <c r="E115" s="3117">
        <v>0.1</v>
      </c>
      <c r="F115" s="3117">
        <v>15</v>
      </c>
    </row>
    <row r="116" spans="1:6" ht="13.5">
      <c r="A116" s="3117">
        <v>44</v>
      </c>
      <c r="B116" s="3779" t="s">
        <v>2735</v>
      </c>
      <c r="C116" s="3117" t="s">
        <v>2736</v>
      </c>
      <c r="D116" s="3091" t="s">
        <v>2737</v>
      </c>
      <c r="E116" s="3117">
        <v>0.1</v>
      </c>
      <c r="F116" s="3117">
        <v>15</v>
      </c>
    </row>
    <row r="117" spans="1:6" ht="24">
      <c r="A117" s="3117">
        <v>45</v>
      </c>
      <c r="B117" s="3783"/>
      <c r="C117" s="3091" t="s">
        <v>2738</v>
      </c>
      <c r="D117" s="3091" t="s">
        <v>2739</v>
      </c>
      <c r="E117" s="3117">
        <v>0.1</v>
      </c>
      <c r="F117" s="3117">
        <v>15</v>
      </c>
    </row>
    <row r="118" spans="1:6" ht="24">
      <c r="A118" s="3117">
        <v>46</v>
      </c>
      <c r="B118" s="3779" t="s">
        <v>2740</v>
      </c>
      <c r="C118" s="3117" t="s">
        <v>2741</v>
      </c>
      <c r="D118" s="3091" t="s">
        <v>2742</v>
      </c>
      <c r="E118" s="3117">
        <v>0.1</v>
      </c>
      <c r="F118" s="3117">
        <v>15</v>
      </c>
    </row>
    <row r="119" spans="1:6" ht="24">
      <c r="A119" s="3117">
        <v>47</v>
      </c>
      <c r="B119" s="3783"/>
      <c r="C119" s="3117" t="s">
        <v>2743</v>
      </c>
      <c r="D119" s="3091" t="s">
        <v>2744</v>
      </c>
      <c r="E119" s="3117">
        <v>0.1</v>
      </c>
      <c r="F119" s="3117">
        <v>15</v>
      </c>
    </row>
    <row r="120" spans="1:6" ht="13.5">
      <c r="A120" s="3117">
        <v>48</v>
      </c>
      <c r="B120" s="3779" t="s">
        <v>2745</v>
      </c>
      <c r="C120" s="3117" t="s">
        <v>2746</v>
      </c>
      <c r="D120" s="3091" t="s">
        <v>2747</v>
      </c>
      <c r="E120" s="3117">
        <v>0.1</v>
      </c>
      <c r="F120" s="3117">
        <v>15</v>
      </c>
    </row>
    <row r="121" spans="1:6" ht="13.5">
      <c r="A121" s="3117">
        <v>49</v>
      </c>
      <c r="B121" s="3783"/>
      <c r="C121" s="3117" t="s">
        <v>2748</v>
      </c>
      <c r="D121" s="3091" t="s">
        <v>2749</v>
      </c>
      <c r="E121" s="3117">
        <v>0.1</v>
      </c>
      <c r="F121" s="3117">
        <v>15</v>
      </c>
    </row>
    <row r="122" spans="1:6" ht="24">
      <c r="A122" s="3117">
        <v>50</v>
      </c>
      <c r="B122" s="3784" t="s">
        <v>2750</v>
      </c>
      <c r="C122" s="3117" t="s">
        <v>2751</v>
      </c>
      <c r="D122" s="3091" t="s">
        <v>2752</v>
      </c>
      <c r="E122" s="3117">
        <v>0.1</v>
      </c>
      <c r="F122" s="3117">
        <v>15</v>
      </c>
    </row>
    <row r="123" spans="1:6" ht="24">
      <c r="A123" s="3117">
        <v>51</v>
      </c>
      <c r="B123" s="3784"/>
      <c r="C123" s="3117" t="s">
        <v>2753</v>
      </c>
      <c r="D123" s="3091" t="s">
        <v>2754</v>
      </c>
      <c r="E123" s="3117">
        <v>0.1</v>
      </c>
      <c r="F123" s="3117">
        <v>15</v>
      </c>
    </row>
    <row r="124" spans="1:6" ht="24">
      <c r="A124" s="3117">
        <v>52</v>
      </c>
      <c r="B124" s="3784" t="s">
        <v>2755</v>
      </c>
      <c r="C124" s="3117" t="s">
        <v>2756</v>
      </c>
      <c r="D124" s="3091" t="s">
        <v>2757</v>
      </c>
      <c r="E124" s="3117">
        <v>0.1</v>
      </c>
      <c r="F124" s="3117">
        <v>15</v>
      </c>
    </row>
    <row r="125" spans="1:6" ht="24">
      <c r="A125" s="3117">
        <v>53</v>
      </c>
      <c r="B125" s="3784"/>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84" t="s">
        <v>2763</v>
      </c>
      <c r="C127" s="3117" t="s">
        <v>2764</v>
      </c>
      <c r="D127" s="3091" t="s">
        <v>2765</v>
      </c>
      <c r="E127" s="3117">
        <v>0.1</v>
      </c>
      <c r="F127" s="3117">
        <v>15</v>
      </c>
    </row>
    <row r="128" spans="1:6" ht="13.5">
      <c r="A128" s="3117">
        <v>56</v>
      </c>
      <c r="B128" s="3784"/>
      <c r="C128" s="3117" t="s">
        <v>2766</v>
      </c>
      <c r="D128" s="3091" t="s">
        <v>2767</v>
      </c>
      <c r="E128" s="3117">
        <v>0.1</v>
      </c>
      <c r="F128" s="3117">
        <v>15</v>
      </c>
    </row>
    <row r="129" spans="1:6" ht="24">
      <c r="A129" s="3117">
        <v>57</v>
      </c>
      <c r="B129" s="3784"/>
      <c r="C129" s="3117" t="s">
        <v>2768</v>
      </c>
      <c r="D129" s="3091" t="s">
        <v>2769</v>
      </c>
      <c r="E129" s="3117">
        <v>0.1</v>
      </c>
      <c r="F129" s="3117">
        <v>15</v>
      </c>
    </row>
    <row r="130" spans="1:6" ht="24">
      <c r="A130" s="3117">
        <v>58</v>
      </c>
      <c r="B130" s="3784" t="s">
        <v>2770</v>
      </c>
      <c r="C130" s="3117" t="s">
        <v>2771</v>
      </c>
      <c r="D130" s="3091" t="s">
        <v>2772</v>
      </c>
      <c r="E130" s="3117">
        <v>0.1</v>
      </c>
      <c r="F130" s="3117">
        <v>15</v>
      </c>
    </row>
    <row r="131" spans="1:6" ht="13.5">
      <c r="A131" s="3117">
        <v>59</v>
      </c>
      <c r="B131" s="3784"/>
      <c r="C131" s="3117" t="s">
        <v>2773</v>
      </c>
      <c r="D131" s="3091" t="s">
        <v>2774</v>
      </c>
      <c r="E131" s="3117">
        <v>0.1</v>
      </c>
      <c r="F131" s="3117">
        <v>15</v>
      </c>
    </row>
    <row r="132" spans="1:6" ht="13.5">
      <c r="A132" s="3117">
        <v>60</v>
      </c>
      <c r="B132" s="3779" t="s">
        <v>2775</v>
      </c>
      <c r="C132" s="3117" t="s">
        <v>2776</v>
      </c>
      <c r="D132" s="3091" t="s">
        <v>2777</v>
      </c>
      <c r="E132" s="3117">
        <v>0.1</v>
      </c>
      <c r="F132" s="3117">
        <v>15</v>
      </c>
    </row>
    <row r="133" spans="1:6" ht="13.5">
      <c r="A133" s="3117">
        <v>61</v>
      </c>
      <c r="B133" s="3783"/>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84" t="s">
        <v>2783</v>
      </c>
      <c r="C135" s="3117" t="s">
        <v>2784</v>
      </c>
      <c r="D135" s="3091" t="s">
        <v>2785</v>
      </c>
      <c r="E135" s="3117">
        <v>0.1</v>
      </c>
      <c r="F135" s="3117">
        <v>15</v>
      </c>
    </row>
    <row r="136" spans="1:6" ht="13.5">
      <c r="A136" s="3117">
        <v>64</v>
      </c>
      <c r="B136" s="3784"/>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0.96309999999999996</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0.91610000000000003</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2"/>
      <c r="B4" s="3466" t="s">
        <v>917</v>
      </c>
      <c r="C4" s="3466"/>
      <c r="D4" s="3466"/>
      <c r="E4" s="1492"/>
    </row>
    <row r="5" spans="1:5" ht="16.5" thickTop="1">
      <c r="A5" s="1490"/>
      <c r="B5" s="3464" t="s">
        <v>909</v>
      </c>
      <c r="C5" s="1493" t="s">
        <v>910</v>
      </c>
      <c r="D5" s="849" t="e">
        <f ca="1">结果表!H101</f>
        <v>#REF!</v>
      </c>
      <c r="E5" s="1490"/>
    </row>
    <row r="6" spans="1:5" ht="15.75">
      <c r="A6" s="1490"/>
      <c r="B6" s="3464"/>
      <c r="C6" s="1493" t="s">
        <v>911</v>
      </c>
      <c r="D6" s="849" t="e">
        <f ca="1">NUMBERSTRING(INT(D5*10000),2)&amp;"元整"</f>
        <v>#REF!</v>
      </c>
      <c r="E6" s="1490"/>
    </row>
    <row r="7" spans="1:5" ht="15.75">
      <c r="A7" s="1490"/>
      <c r="B7" s="3469"/>
      <c r="C7" s="1494" t="s">
        <v>912</v>
      </c>
      <c r="D7" s="850" t="e">
        <f ca="1">结果表!H102</f>
        <v>#REF!</v>
      </c>
      <c r="E7" s="1490"/>
    </row>
    <row r="8" spans="1:5" ht="15.75">
      <c r="A8" s="1490"/>
      <c r="B8" s="3470" t="str">
        <f>结果表!E103</f>
        <v>2.估价师知悉的法定优先受偿款</v>
      </c>
      <c r="C8" s="1495" t="s">
        <v>913</v>
      </c>
      <c r="D8" s="850">
        <f>结果表!H103</f>
        <v>0</v>
      </c>
      <c r="E8" s="1490"/>
    </row>
    <row r="9" spans="1:5" ht="15.75">
      <c r="A9" s="1490"/>
      <c r="B9" s="347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3" t="str">
        <f>结果表!E107</f>
        <v>3.房地产抵押价值</v>
      </c>
      <c r="C13" s="1498" t="s">
        <v>910</v>
      </c>
      <c r="D13" s="852" t="e">
        <f ca="1">结果表!H107</f>
        <v>#REF!</v>
      </c>
      <c r="E13" s="1490"/>
    </row>
    <row r="14" spans="1:5" ht="15.75">
      <c r="A14" s="1490"/>
      <c r="B14" s="3464"/>
      <c r="C14" s="1493" t="s">
        <v>911</v>
      </c>
      <c r="D14" s="849" t="e">
        <f ca="1">NUMBERSTRING(INT(D13*10000),2)&amp;"元整"</f>
        <v>#REF!</v>
      </c>
      <c r="E14" s="1490"/>
    </row>
    <row r="15" spans="1:5" ht="15">
      <c r="A15" s="1490"/>
      <c r="B15" s="3469"/>
      <c r="C15" s="1494" t="s">
        <v>921</v>
      </c>
      <c r="D15" s="858" t="e">
        <f ca="1">结果表!H108</f>
        <v>#REF!</v>
      </c>
      <c r="E15" s="1490"/>
    </row>
    <row r="16" spans="1:5" ht="15">
      <c r="A16" s="1490"/>
      <c r="B16" s="3470" t="str">
        <f>结果表!E109</f>
        <v>——</v>
      </c>
      <c r="C16" s="1498" t="s">
        <v>922</v>
      </c>
      <c r="D16" s="1499" t="str">
        <f>结果表!H109</f>
        <v>——</v>
      </c>
      <c r="E16" s="1490"/>
    </row>
    <row r="17" spans="1:5" ht="15.75">
      <c r="A17" s="1490"/>
      <c r="B17" s="3471"/>
      <c r="C17" s="1493" t="s">
        <v>923</v>
      </c>
      <c r="D17" s="849" t="e">
        <f>NUMBERSTRING(INT(D16*10000),2)&amp;"元整"</f>
        <v>#VALUE!</v>
      </c>
      <c r="E17" s="1490"/>
    </row>
    <row r="18" spans="1:5" ht="15">
      <c r="A18" s="1490"/>
      <c r="B18" s="3472"/>
      <c r="C18" s="1494" t="s">
        <v>912</v>
      </c>
      <c r="D18" s="858" t="str">
        <f>结果表!H110</f>
        <v>——</v>
      </c>
      <c r="E18" s="1490"/>
    </row>
    <row r="19" spans="1:5" ht="15.75">
      <c r="A19" s="1490"/>
      <c r="B19" s="3463" t="str">
        <f>结果表!E111</f>
        <v>——</v>
      </c>
      <c r="C19" s="1498" t="s">
        <v>910</v>
      </c>
      <c r="D19" s="850" t="str">
        <f>结果表!H111</f>
        <v>——</v>
      </c>
      <c r="E19" s="1490"/>
    </row>
    <row r="20" spans="1:5" ht="15.75">
      <c r="A20" s="1490"/>
      <c r="B20" s="3464"/>
      <c r="C20" s="1493" t="s">
        <v>923</v>
      </c>
      <c r="D20" s="849" t="e">
        <f>NUMBERSTRING(INT(D19*10000),2)&amp;"元整"</f>
        <v>#VALUE!</v>
      </c>
      <c r="E20" s="1490"/>
    </row>
    <row r="21" spans="1:5" ht="15.75" thickBot="1">
      <c r="A21" s="1490"/>
      <c r="B21" s="346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27852</v>
      </c>
      <c r="C2" s="2" t="s">
        <v>106</v>
      </c>
      <c r="D2" s="199"/>
      <c r="E2" s="199"/>
      <c r="F2" s="199"/>
      <c r="G2" s="199"/>
    </row>
    <row r="3" spans="1:7" s="200" customFormat="1" ht="18" customHeight="1" thickBot="1">
      <c r="A3" s="203" t="s">
        <v>58</v>
      </c>
      <c r="B3" s="204">
        <f ca="1">ROUND(B2*10000/'数据-汇总表'!E3,0)</f>
        <v>1914622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145.47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145.47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145.47</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45" t="s">
        <v>94</v>
      </c>
    </row>
    <row r="43" spans="1:7" ht="13.5" customHeight="1">
      <c r="A43" s="779" t="s">
        <v>347</v>
      </c>
      <c r="B43" s="215" t="s">
        <v>426</v>
      </c>
      <c r="C43" s="238">
        <f ca="1">ROUND(IF('数据-取费表'!B22&lt;=1,C39*F22*'数据-取费表'!B21/2,C39*(POWER((1+F22),'数据-取费表'!B21/2)-1)),0)</f>
        <v>0</v>
      </c>
      <c r="D43" s="238"/>
      <c r="E43" s="238"/>
      <c r="F43" s="239"/>
      <c r="G43" s="3646"/>
    </row>
    <row r="44" spans="1:7" ht="13.5" customHeight="1">
      <c r="A44" s="779" t="s">
        <v>348</v>
      </c>
      <c r="B44" s="215" t="s">
        <v>428</v>
      </c>
      <c r="C44" s="238">
        <f ca="1">ROUND(IF('数据-取费表'!B22&lt;=1,C40*F22*'数据-取费表'!B21/2,C40*(POWER((1+F22),'数据-取费表'!B21/2)-1)),4)</f>
        <v>6.9999999999999999E-4</v>
      </c>
      <c r="D44" s="238"/>
      <c r="E44" s="238"/>
      <c r="F44" s="239"/>
      <c r="G44" s="3647"/>
    </row>
    <row r="45" spans="1:7" s="214" customFormat="1" ht="13.5" customHeight="1">
      <c r="A45" s="776" t="s">
        <v>341</v>
      </c>
      <c r="B45" s="244" t="s">
        <v>85</v>
      </c>
      <c r="C45" s="245">
        <f>C46</f>
        <v>10</v>
      </c>
      <c r="D45" s="235">
        <f>C47</f>
        <v>3.0000000000000001E-3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83</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72</v>
      </c>
      <c r="D51" s="232"/>
      <c r="E51" s="232"/>
      <c r="F51" s="264"/>
      <c r="G51" s="234" t="s">
        <v>37</v>
      </c>
    </row>
    <row r="52" spans="1:7" s="208" customFormat="1" ht="16.5" thickBot="1">
      <c r="A52" s="265" t="s">
        <v>38</v>
      </c>
      <c r="B52" s="266"/>
      <c r="C52" s="267">
        <f ca="1">C31+C51</f>
        <v>27852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7" t="s">
        <v>2835</v>
      </c>
      <c r="B1" s="3787"/>
      <c r="C1" s="3787"/>
      <c r="D1" s="3787"/>
      <c r="E1" s="3787"/>
      <c r="F1" s="3787"/>
      <c r="G1" s="3788"/>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85"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86"/>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3177</v>
      </c>
      <c r="B1" s="3789"/>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0" t="s">
        <v>3228</v>
      </c>
      <c r="B1" s="3790"/>
      <c r="C1" s="3790"/>
      <c r="D1" s="3790"/>
      <c r="E1" s="3790"/>
      <c r="F1" s="3791"/>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45210</v>
      </c>
      <c r="B1" s="3209" t="s">
        <v>2834</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2" t="s">
        <v>2822</v>
      </c>
      <c r="S21" s="3793"/>
      <c r="T21" s="3793"/>
      <c r="U21" s="3793"/>
      <c r="V21" s="3793"/>
      <c r="W21" s="3793"/>
      <c r="X21" s="3164"/>
      <c r="Y21" s="3792" t="s">
        <v>2823</v>
      </c>
      <c r="Z21" s="3793"/>
      <c r="AA21" s="3793"/>
      <c r="AB21" s="3793"/>
      <c r="AC21" s="3793"/>
      <c r="AD21" s="3793"/>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1.0396000000000001</v>
      </c>
      <c r="T25" s="3182">
        <f>ROUND(IF([3]项目基本情况!$B$8="出让",SUMPRODUCT(PRODUCT(1+M25:M$36)),SUMPRODUCT(PRODUCT(1+M25:M$35))),4)</f>
        <v>1.0269999999999999</v>
      </c>
      <c r="U25" s="3182">
        <f>ROUND(IF([3]项目基本情况!$B$8="出让",SUMPRODUCT(PRODUCT(1+N25:N$36)),SUMPRODUCT(PRODUCT(1+N25:N$35))),4)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1.0396000000000001</v>
      </c>
      <c r="T26" s="3182">
        <f>ROUND(IF([3]项目基本情况!$B$8="出让",SUMPRODUCT(PRODUCT(1+M26:M$36)),SUMPRODUCT(PRODUCT(1+M26:M$35))),4)</f>
        <v>1.0269999999999999</v>
      </c>
      <c r="U26" s="3182">
        <f>ROUND(IF([3]项目基本情况!$B$8="出让",SUMPRODUCT(PRODUCT(1+N26:N$36)),SUMPRODUCT(PRODUCT(1+N26:N$35))),4)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ROUND(IF([3]项目基本情况!$B$8="出让",SUMPRODUCT(PRODUCT(1+L27:L$36)),SUMPRODUCT(PRODUCT(1+L27:L$35))),4)</f>
        <v>1.0396000000000001</v>
      </c>
      <c r="T27" s="3191">
        <f>ROUND(IF([3]项目基本情况!$B$8="出让",SUMPRODUCT(PRODUCT(1+M27:M$36)),SUMPRODUCT(PRODUCT(1+M27:M$35))),4)</f>
        <v>1.0269999999999999</v>
      </c>
      <c r="U27" s="3191">
        <f>ROUND(IF([3]项目基本情况!$B$8="出让",SUMPRODUCT(PRODUCT(1+N27:N$36)),SUMPRODUCT(PRODUCT(1+N27:N$35))),4)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ROUND(IF([3]项目基本情况!$B$8="出让",SUMPRODUCT(PRODUCT(1+L28:L$36)),SUMPRODUCT(PRODUCT(1+L28:L$35))),4)</f>
        <v>1.0344</v>
      </c>
      <c r="T28" s="3182">
        <f>ROUND(IF([3]项目基本情况!$B$8="出让",SUMPRODUCT(PRODUCT(1+M28:M$36)),SUMPRODUCT(PRODUCT(1+M28:M$35))),4)</f>
        <v>1.0224</v>
      </c>
      <c r="U28" s="3182">
        <f>ROUND(IF([3]项目基本情况!$B$8="出让",SUMPRODUCT(PRODUCT(1+N28:N$36)),SUMPRODUCT(PRODUCT(1+N28:N$35))),4)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topLeftCell="A52" workbookViewId="0">
      <selection activeCell="M77" sqref="M77"/>
    </sheetView>
  </sheetViews>
  <sheetFormatPr defaultRowHeight="13.5"/>
  <cols>
    <col min="2" max="2" width="33.625" bestFit="1" customWidth="1"/>
  </cols>
  <sheetData>
    <row r="1" spans="1:6">
      <c r="A1" t="s">
        <v>3391</v>
      </c>
      <c r="B1" t="s">
        <v>3392</v>
      </c>
      <c r="C1" t="s">
        <v>3393</v>
      </c>
      <c r="D1" t="s">
        <v>3394</v>
      </c>
      <c r="E1" t="s">
        <v>3395</v>
      </c>
      <c r="F1" t="s">
        <v>3396</v>
      </c>
    </row>
    <row r="2" spans="1:6">
      <c r="A2">
        <v>503</v>
      </c>
      <c r="B2" t="s">
        <v>3397</v>
      </c>
      <c r="C2">
        <v>145.47</v>
      </c>
      <c r="D2">
        <v>59636</v>
      </c>
      <c r="E2">
        <v>12</v>
      </c>
      <c r="F2">
        <v>5</v>
      </c>
    </row>
    <row r="3" spans="1:6">
      <c r="A3">
        <v>504</v>
      </c>
      <c r="B3" t="s">
        <v>3398</v>
      </c>
      <c r="C3">
        <v>164.45</v>
      </c>
      <c r="D3">
        <v>59636</v>
      </c>
      <c r="E3">
        <v>12</v>
      </c>
      <c r="F3">
        <v>5</v>
      </c>
    </row>
    <row r="4" spans="1:6">
      <c r="A4">
        <v>505</v>
      </c>
      <c r="B4" t="s">
        <v>3399</v>
      </c>
      <c r="C4">
        <v>82.39</v>
      </c>
      <c r="D4">
        <v>59636</v>
      </c>
      <c r="E4">
        <v>12</v>
      </c>
      <c r="F4">
        <v>5</v>
      </c>
    </row>
    <row r="5" spans="1:6">
      <c r="A5">
        <v>506</v>
      </c>
      <c r="B5" t="s">
        <v>3400</v>
      </c>
      <c r="C5">
        <v>204.26</v>
      </c>
      <c r="D5">
        <v>59636</v>
      </c>
      <c r="E5">
        <v>12</v>
      </c>
      <c r="F5">
        <v>5</v>
      </c>
    </row>
    <row r="6" spans="1:6">
      <c r="A6">
        <v>509</v>
      </c>
      <c r="B6" t="s">
        <v>3401</v>
      </c>
      <c r="C6">
        <v>164.45</v>
      </c>
      <c r="D6">
        <v>59636</v>
      </c>
      <c r="E6">
        <v>12</v>
      </c>
      <c r="F6">
        <v>5</v>
      </c>
    </row>
    <row r="7" spans="1:6">
      <c r="A7">
        <v>510</v>
      </c>
      <c r="B7" t="s">
        <v>3402</v>
      </c>
      <c r="C7">
        <v>127.64</v>
      </c>
      <c r="D7">
        <v>59636</v>
      </c>
      <c r="E7">
        <v>12</v>
      </c>
      <c r="F7">
        <v>5</v>
      </c>
    </row>
    <row r="8" spans="1:6">
      <c r="C8">
        <v>888.66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6" sqref="P56"/>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3" t="s">
        <v>925</v>
      </c>
      <c r="E3" s="853" t="s">
        <v>931</v>
      </c>
      <c r="F3" s="853" t="s">
        <v>925</v>
      </c>
      <c r="G3" s="853" t="s">
        <v>926</v>
      </c>
      <c r="H3" s="853" t="s">
        <v>925</v>
      </c>
      <c r="I3" s="853" t="s">
        <v>926</v>
      </c>
    </row>
    <row r="4" spans="1:9" ht="15">
      <c r="A4" s="1504" t="str">
        <f>项目基本情况!S2</f>
        <v>北京市房地产</v>
      </c>
      <c r="B4" s="853">
        <f>项目基本情况!C17</f>
        <v>145.47</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t="e">
        <f ca="1">结果表!D122</f>
        <v>#REF!</v>
      </c>
      <c r="E8" s="3476"/>
      <c r="F8" s="3476"/>
      <c r="G8" s="3476"/>
      <c r="H8" s="3476"/>
      <c r="I8" s="3476"/>
    </row>
    <row r="9" spans="1:9" ht="15">
      <c r="A9" s="3475" t="s">
        <v>927</v>
      </c>
      <c r="B9" s="3475"/>
      <c r="C9" s="3475"/>
      <c r="D9" s="3475" t="e">
        <f ca="1">结果表!D123</f>
        <v>#REF!</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2" t="s">
        <v>949</v>
      </c>
      <c r="B1" s="3482"/>
      <c r="C1" s="3482"/>
      <c r="D1" s="3482"/>
    </row>
    <row r="2" spans="1:4" ht="18">
      <c r="A2" s="3483" t="s">
        <v>933</v>
      </c>
      <c r="B2" s="3483"/>
      <c r="C2" s="3483"/>
      <c r="D2" s="348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3" t="s">
        <v>939</v>
      </c>
      <c r="B6" s="3483"/>
      <c r="C6" s="3483"/>
      <c r="D6" s="348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9"/>
      <c r="C21" s="3489"/>
      <c r="D21" s="3489"/>
    </row>
    <row r="22" spans="1:4" ht="18.75" customHeight="1">
      <c r="A22" s="3490" t="s">
        <v>945</v>
      </c>
      <c r="B22" s="3490"/>
      <c r="C22" s="3490"/>
      <c r="D22" s="349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29" sqref="E29"/>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6" t="s">
        <v>956</v>
      </c>
      <c r="B15" s="3491" t="s">
        <v>109</v>
      </c>
      <c r="C15" s="3492"/>
    </row>
    <row r="16" spans="1:7" ht="13.5">
      <c r="A16" s="3497"/>
      <c r="B16" s="3491" t="s">
        <v>42</v>
      </c>
      <c r="C16" s="3492"/>
    </row>
    <row r="17" spans="1:3" ht="13.5">
      <c r="A17" s="3497"/>
      <c r="B17" s="3494" t="s">
        <v>957</v>
      </c>
      <c r="C17" s="1531" t="s">
        <v>956</v>
      </c>
    </row>
    <row r="18" spans="1:3" ht="13.5">
      <c r="A18" s="3497"/>
      <c r="B18" s="3494"/>
      <c r="C18" s="1531" t="s">
        <v>958</v>
      </c>
    </row>
    <row r="19" spans="1:3" ht="13.5">
      <c r="A19" s="3497"/>
      <c r="B19" s="3494"/>
      <c r="C19" s="1531" t="s">
        <v>959</v>
      </c>
    </row>
    <row r="20" spans="1:3" ht="13.5">
      <c r="A20" s="3498"/>
      <c r="B20" s="3493" t="s">
        <v>960</v>
      </c>
      <c r="C20" s="3492"/>
    </row>
    <row r="21" spans="1:3" ht="13.5">
      <c r="A21" s="1532" t="s">
        <v>961</v>
      </c>
      <c r="B21" s="1533"/>
      <c r="C21" s="1534"/>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1" t="s">
        <v>967</v>
      </c>
    </row>
    <row r="26" spans="1:3" ht="13.5">
      <c r="A26" s="3495"/>
      <c r="B26" s="3494"/>
      <c r="C26" s="1531" t="s">
        <v>968</v>
      </c>
    </row>
    <row r="27" spans="1:3" ht="13.5">
      <c r="A27" s="3495"/>
      <c r="B27" s="3494"/>
      <c r="C27" s="1531" t="s">
        <v>969</v>
      </c>
    </row>
    <row r="28" spans="1:3" ht="13.5">
      <c r="A28" s="3495"/>
      <c r="B28" s="3494"/>
      <c r="C28" s="1531" t="s">
        <v>970</v>
      </c>
    </row>
    <row r="29" spans="1:3" ht="13.5">
      <c r="A29" s="3495"/>
      <c r="B29" s="3494"/>
      <c r="C29" s="1531" t="s">
        <v>971</v>
      </c>
    </row>
    <row r="30" spans="1:3" ht="13.5">
      <c r="A30" s="3495"/>
      <c r="B30" s="3494"/>
      <c r="C30" s="1531" t="s">
        <v>972</v>
      </c>
    </row>
    <row r="31" spans="1:3" ht="13.5">
      <c r="A31" s="3495"/>
      <c r="B31" s="3494"/>
      <c r="C31" s="1531" t="s">
        <v>973</v>
      </c>
    </row>
    <row r="32" spans="1:3" ht="13.5">
      <c r="A32" s="3495"/>
      <c r="B32" s="3494"/>
      <c r="C32" s="1531" t="s">
        <v>974</v>
      </c>
    </row>
    <row r="33" spans="1:3" ht="13.5">
      <c r="A33" s="3495"/>
      <c r="B33" s="349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45215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9" t="s">
        <v>2159</v>
      </c>
      <c r="B17" s="3499"/>
      <c r="C17" s="3499"/>
      <c r="D17" s="3499"/>
      <c r="E17" s="3499"/>
      <c r="F17" s="3499"/>
      <c r="G17" s="3499"/>
      <c r="H17" s="3499"/>
    </row>
    <row r="18" spans="1:8" ht="24" customHeight="1">
      <c r="A18" s="3500" t="s">
        <v>2160</v>
      </c>
      <c r="B18" s="3500"/>
      <c r="C18" s="3500"/>
      <c r="D18" s="2342"/>
      <c r="E18" s="3501" t="s">
        <v>2161</v>
      </c>
      <c r="F18" s="3500"/>
      <c r="G18" s="3500"/>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租金比较法</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2023-10-16T01:48:46Z</dcterms:modified>
</cp:coreProperties>
</file>