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995复估\"/>
    </mc:Choice>
  </mc:AlternateContent>
  <bookViews>
    <workbookView xWindow="480" yWindow="210" windowWidth="12120" windowHeight="7620"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面积" sheetId="77" r:id="rId14"/>
    <sheet name="数据-取费表" sheetId="1" r:id="rId15"/>
    <sheet name="估价对象房地状况" sheetId="20" r:id="rId16"/>
    <sheet name="系统读取表" sheetId="74" r:id="rId17"/>
    <sheet name="结果表(商业)" sheetId="9" r:id="rId18"/>
    <sheet name="比较法-商业" sheetId="33" state="hidden" r:id="rId19"/>
    <sheet name="典型户型修正" sheetId="31" state="hidden" r:id="rId20"/>
    <sheet name="成本法（商业）" sheetId="68" r:id="rId21"/>
    <sheet name="假设开发法" sheetId="12" state="hidden" r:id="rId22"/>
    <sheet name="基准地价修正（商业）" sheetId="43" r:id="rId23"/>
    <sheet name="收益法" sheetId="15" r:id="rId24"/>
    <sheet name="结果表(地下仓储)" sheetId="79" r:id="rId25"/>
    <sheet name="成本法（仓储）" sheetId="80" r:id="rId26"/>
    <sheet name="基准地价修正（仓储）" sheetId="78" r:id="rId27"/>
    <sheet name="收益法（仓储）" sheetId="67" r:id="rId28"/>
    <sheet name="定义" sheetId="10" state="hidden" r:id="rId29"/>
    <sheet name="结果表(车位) " sheetId="82" r:id="rId30"/>
    <sheet name="成本法 (车库)" sheetId="69" r:id="rId31"/>
    <sheet name="收益法（车库）" sheetId="83" r:id="rId32"/>
    <sheet name="成本法（车位）" sheetId="81" state="hidden" r:id="rId33"/>
    <sheet name="收益法（汇总）" sheetId="70" state="hidden" r:id="rId34"/>
    <sheet name="酒店收入计算" sheetId="66" state="hidden" r:id="rId35"/>
    <sheet name="比较法-住宅" sheetId="21"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18" hidden="1">'比较法-商业'!$A$1:$L$49</definedName>
    <definedName name="_xlnm._FilterDatabase" localSheetId="35" hidden="1">'比较法-住宅'!$A$1:$L$49</definedName>
    <definedName name="_xlnm._FilterDatabase" localSheetId="10"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9" hidden="1">项目基本情况!$A$42:$N$42</definedName>
    <definedName name="_xlnm.Print_Area" localSheetId="25">'成本法（仓储）'!$A$1:$G$52</definedName>
    <definedName name="_xlnm.Print_Area" localSheetId="32">'成本法（车位）'!$A$1:$G$52</definedName>
    <definedName name="_xlnm.Print_Area" localSheetId="20">'成本法（商业）'!$A$1:$G$52</definedName>
    <definedName name="_xlnm.Print_Area" localSheetId="15">估价对象房地状况!$A$1:$G$24</definedName>
    <definedName name="_xlnm.Print_Area" localSheetId="8">估价师及机构信息!$A$1:$F$29</definedName>
    <definedName name="_xlnm.Print_Area" localSheetId="13">面积!$A$1:$J$75</definedName>
    <definedName name="_xlnm.Print_Area" localSheetId="23">收益法!$A$1:$F$43</definedName>
    <definedName name="_xlnm.Print_Area" localSheetId="27">'收益法（仓储）'!$A$1:$AK$69</definedName>
    <definedName name="_xlnm.Print_Area" localSheetId="31">'收益法（车库）'!$A$1:$AK$69</definedName>
    <definedName name="_xlnm.Print_Area" localSheetId="12">'数据-汇总表'!$A$1:$I$32</definedName>
    <definedName name="_xlnm.Print_Area" localSheetId="10">'数据-基础表'!$A$1:$Q$15</definedName>
    <definedName name="_xlnm.Print_Area" localSheetId="9">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'基准地价修正（仓储）'!$Q$19:$AD$19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alcOnSave="0"/>
</workbook>
</file>

<file path=xl/calcChain.xml><?xml version="1.0" encoding="utf-8"?>
<calcChain xmlns="http://schemas.openxmlformats.org/spreadsheetml/2006/main">
  <c r="N6" i="1" l="1"/>
  <c r="H99" i="77"/>
  <c r="N8" i="1"/>
  <c r="Y8" i="1" s="1"/>
  <c r="N7" i="1"/>
  <c r="Y7" i="1" s="1"/>
  <c r="Y6" i="1"/>
  <c r="S30" i="1"/>
  <c r="S29" i="1"/>
  <c r="S28" i="1"/>
  <c r="S27" i="1"/>
  <c r="C82" i="77" l="1"/>
  <c r="I13" i="4" l="1"/>
  <c r="B16" i="74"/>
  <c r="C16" i="74"/>
  <c r="C15" i="74"/>
  <c r="B15" i="74"/>
  <c r="Q72" i="83"/>
  <c r="F62" i="83"/>
  <c r="F61" i="83"/>
  <c r="Q59" i="83"/>
  <c r="K59" i="83"/>
  <c r="P74" i="83" s="1"/>
  <c r="F59" i="83"/>
  <c r="Q58" i="83"/>
  <c r="Q51" i="83"/>
  <c r="J51" i="83"/>
  <c r="J50" i="83"/>
  <c r="M47" i="83"/>
  <c r="D46" i="83"/>
  <c r="F34" i="83"/>
  <c r="F33" i="83"/>
  <c r="F32" i="83"/>
  <c r="F60" i="83" s="1"/>
  <c r="F31" i="83"/>
  <c r="F28" i="83"/>
  <c r="C28" i="83" s="1"/>
  <c r="F23" i="83"/>
  <c r="F21" i="83"/>
  <c r="M20" i="83"/>
  <c r="F20" i="83"/>
  <c r="M19" i="83"/>
  <c r="M18" i="83"/>
  <c r="F18" i="83"/>
  <c r="M17" i="83"/>
  <c r="F17" i="83"/>
  <c r="F15" i="83"/>
  <c r="G1" i="83"/>
  <c r="A126" i="82"/>
  <c r="A124" i="82"/>
  <c r="A122" i="82"/>
  <c r="A120" i="82"/>
  <c r="A118" i="82"/>
  <c r="E111" i="82"/>
  <c r="H111" i="82" s="1"/>
  <c r="D126" i="82" s="1"/>
  <c r="D127" i="82" s="1"/>
  <c r="H109" i="82"/>
  <c r="D124" i="82" s="1"/>
  <c r="D125" i="82" s="1"/>
  <c r="E109" i="82"/>
  <c r="E107" i="82"/>
  <c r="H106" i="82"/>
  <c r="H105" i="82"/>
  <c r="H104" i="82"/>
  <c r="H103" i="82"/>
  <c r="D120" i="82" s="1"/>
  <c r="D101" i="82"/>
  <c r="C101" i="82"/>
  <c r="D93" i="82"/>
  <c r="C91" i="82"/>
  <c r="E90" i="82"/>
  <c r="D89" i="82"/>
  <c r="C89" i="82" s="1"/>
  <c r="C87" i="82" s="1"/>
  <c r="D78" i="82"/>
  <c r="H77" i="82"/>
  <c r="D77" i="82"/>
  <c r="C77" i="82"/>
  <c r="C76" i="82"/>
  <c r="C74" i="82"/>
  <c r="D68" i="82"/>
  <c r="F59" i="82"/>
  <c r="E59" i="82"/>
  <c r="D59" i="82"/>
  <c r="N56" i="82"/>
  <c r="M56" i="82"/>
  <c r="K56" i="82"/>
  <c r="J56" i="82"/>
  <c r="J57" i="82" s="1"/>
  <c r="J59" i="82" s="1"/>
  <c r="J61" i="82" s="1"/>
  <c r="F56" i="82"/>
  <c r="O55" i="82"/>
  <c r="N55" i="82"/>
  <c r="M55" i="82"/>
  <c r="K55" i="82"/>
  <c r="J55" i="82"/>
  <c r="I55" i="82"/>
  <c r="F55" i="82" s="1"/>
  <c r="O53" i="82" s="1"/>
  <c r="O54" i="82"/>
  <c r="N54" i="82"/>
  <c r="F54" i="82"/>
  <c r="N53" i="82"/>
  <c r="F53" i="82"/>
  <c r="F52" i="82"/>
  <c r="M49" i="82"/>
  <c r="L63" i="82" s="1"/>
  <c r="M63" i="82" s="1"/>
  <c r="M69" i="82" s="1"/>
  <c r="N69" i="82" s="1"/>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G41" i="81"/>
  <c r="F38" i="81"/>
  <c r="E37" i="81"/>
  <c r="F36" i="81"/>
  <c r="F35" i="81"/>
  <c r="F34" i="81"/>
  <c r="F30" i="81"/>
  <c r="C48" i="81" s="1"/>
  <c r="C30" i="81"/>
  <c r="G22" i="81"/>
  <c r="F21" i="81"/>
  <c r="C21" i="81" s="1"/>
  <c r="F20" i="81"/>
  <c r="C19" i="81"/>
  <c r="E10" i="81"/>
  <c r="E9" i="81"/>
  <c r="F7" i="81"/>
  <c r="G1" i="81"/>
  <c r="G41" i="80"/>
  <c r="F38" i="80"/>
  <c r="E37" i="80"/>
  <c r="F36" i="80"/>
  <c r="F35" i="80"/>
  <c r="F34" i="80"/>
  <c r="F30" i="80"/>
  <c r="C48" i="80" s="1"/>
  <c r="C30" i="80"/>
  <c r="G22" i="80"/>
  <c r="F21" i="80"/>
  <c r="C21" i="80" s="1"/>
  <c r="F20" i="80"/>
  <c r="C19" i="80"/>
  <c r="E10" i="80"/>
  <c r="E9" i="80"/>
  <c r="F7" i="80"/>
  <c r="G1" i="80"/>
  <c r="A126" i="79"/>
  <c r="A124" i="79"/>
  <c r="A122" i="79"/>
  <c r="A120" i="79"/>
  <c r="A118" i="79"/>
  <c r="E111" i="79"/>
  <c r="H111" i="79" s="1"/>
  <c r="D126" i="79" s="1"/>
  <c r="D127" i="79" s="1"/>
  <c r="H109" i="79"/>
  <c r="D124" i="79" s="1"/>
  <c r="D125" i="79" s="1"/>
  <c r="E109" i="79"/>
  <c r="E107" i="79"/>
  <c r="H106" i="79"/>
  <c r="H105" i="79"/>
  <c r="H104" i="79"/>
  <c r="H103" i="79"/>
  <c r="D120" i="79" s="1"/>
  <c r="D101" i="79"/>
  <c r="C101" i="79"/>
  <c r="D93" i="79"/>
  <c r="C91" i="79"/>
  <c r="E90" i="79"/>
  <c r="D89" i="79"/>
  <c r="C89" i="79" s="1"/>
  <c r="C87" i="79" s="1"/>
  <c r="D78" i="79"/>
  <c r="H77" i="79"/>
  <c r="D77" i="79"/>
  <c r="C77" i="79"/>
  <c r="C76" i="79"/>
  <c r="C74"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M49"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D29" i="78"/>
  <c r="D39" i="43"/>
  <c r="D38" i="43"/>
  <c r="F113" i="78"/>
  <c r="K108" i="78"/>
  <c r="G108" i="78"/>
  <c r="C108" i="78"/>
  <c r="K100" i="78"/>
  <c r="G100" i="78"/>
  <c r="D100" i="78"/>
  <c r="N99" i="78"/>
  <c r="M99" i="78"/>
  <c r="M108" i="78" s="1"/>
  <c r="L99" i="78"/>
  <c r="K99" i="78"/>
  <c r="J99" i="78"/>
  <c r="I99" i="78"/>
  <c r="I108" i="78" s="1"/>
  <c r="H99" i="78"/>
  <c r="G99" i="78"/>
  <c r="F99" i="78"/>
  <c r="E99" i="78"/>
  <c r="E108" i="78" s="1"/>
  <c r="D99" i="78"/>
  <c r="D108" i="78" s="1"/>
  <c r="C99" i="78"/>
  <c r="C100" i="78" s="1"/>
  <c r="N88" i="78"/>
  <c r="M88" i="78"/>
  <c r="K88" i="78"/>
  <c r="J88" i="78" s="1"/>
  <c r="D88" i="78"/>
  <c r="B88" i="78"/>
  <c r="M87" i="78"/>
  <c r="N87" i="78" s="1"/>
  <c r="K87" i="78"/>
  <c r="J87" i="78"/>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E81" i="78" s="1"/>
  <c r="B79" i="78" s="1"/>
  <c r="B82" i="78"/>
  <c r="N81" i="78"/>
  <c r="M81" i="78"/>
  <c r="K81" i="78"/>
  <c r="J81" i="78" s="1"/>
  <c r="D81" i="78"/>
  <c r="B81" i="78"/>
  <c r="N78" i="78"/>
  <c r="M78" i="78"/>
  <c r="K78" i="78"/>
  <c r="J78" i="78" s="1"/>
  <c r="D78" i="78"/>
  <c r="N77" i="78"/>
  <c r="M77" i="78"/>
  <c r="K77" i="78"/>
  <c r="J77" i="78" s="1"/>
  <c r="D77" i="78"/>
  <c r="B77" i="78"/>
  <c r="M76" i="78"/>
  <c r="N76" i="78" s="1"/>
  <c r="K76" i="78"/>
  <c r="J76" i="78"/>
  <c r="D76" i="78"/>
  <c r="M75" i="78"/>
  <c r="N75" i="78" s="1"/>
  <c r="K75" i="78"/>
  <c r="J75" i="78"/>
  <c r="D75" i="78"/>
  <c r="B75" i="78"/>
  <c r="N74" i="78"/>
  <c r="M74" i="78"/>
  <c r="K74" i="78"/>
  <c r="J74" i="78" s="1"/>
  <c r="D74" i="78"/>
  <c r="B74" i="78"/>
  <c r="M73" i="78"/>
  <c r="N73" i="78" s="1"/>
  <c r="K73" i="78"/>
  <c r="J73" i="78"/>
  <c r="D73" i="78"/>
  <c r="B73" i="78"/>
  <c r="N72" i="78"/>
  <c r="M72" i="78"/>
  <c r="K72" i="78"/>
  <c r="J72" i="78" s="1"/>
  <c r="D72" i="78"/>
  <c r="B72" i="78"/>
  <c r="M71" i="78"/>
  <c r="N71" i="78" s="1"/>
  <c r="K71" i="78"/>
  <c r="J71" i="78"/>
  <c r="D71" i="78"/>
  <c r="E70" i="78" s="1"/>
  <c r="B68" i="78" s="1"/>
  <c r="B71" i="78"/>
  <c r="N70" i="78"/>
  <c r="M70" i="78"/>
  <c r="K70" i="78"/>
  <c r="J70" i="78" s="1"/>
  <c r="F70" i="78"/>
  <c r="H76" i="78" s="1"/>
  <c r="D70" i="78"/>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E59" i="78" s="1"/>
  <c r="B57" i="78" s="1"/>
  <c r="B60" i="78"/>
  <c r="N59" i="78"/>
  <c r="M59" i="78"/>
  <c r="K59" i="78"/>
  <c r="J59" i="78" s="1"/>
  <c r="F59" i="78"/>
  <c r="H66" i="78" s="1"/>
  <c r="D59" i="78"/>
  <c r="B59" i="78"/>
  <c r="D56" i="78"/>
  <c r="B56" i="78"/>
  <c r="B55" i="78"/>
  <c r="B54" i="78"/>
  <c r="D52" i="78"/>
  <c r="B52" i="78"/>
  <c r="B50" i="78"/>
  <c r="B49" i="78"/>
  <c r="B48" i="78"/>
  <c r="H39" i="78"/>
  <c r="H38" i="78"/>
  <c r="H37" i="78"/>
  <c r="H36" i="78"/>
  <c r="H35" i="78"/>
  <c r="H34" i="78"/>
  <c r="H33" i="78"/>
  <c r="P24" i="78"/>
  <c r="P22" i="78"/>
  <c r="J20" i="78"/>
  <c r="M19" i="78"/>
  <c r="I19" i="78"/>
  <c r="G19" i="78"/>
  <c r="C18" i="78"/>
  <c r="S16" i="78"/>
  <c r="F15" i="78"/>
  <c r="E15" i="78"/>
  <c r="D15" i="78"/>
  <c r="C15" i="78"/>
  <c r="AA12" i="78"/>
  <c r="Y12" i="78"/>
  <c r="C12" i="78"/>
  <c r="Y10" i="78"/>
  <c r="C10" i="78"/>
  <c r="C11" i="78" s="1"/>
  <c r="AJ9" i="78"/>
  <c r="AJ12" i="78" s="1"/>
  <c r="AI9" i="78"/>
  <c r="AI12" i="78" s="1"/>
  <c r="AH9" i="78"/>
  <c r="AH12" i="78" s="1"/>
  <c r="AG9" i="78"/>
  <c r="AG12" i="78" s="1"/>
  <c r="AF9" i="78"/>
  <c r="AF12" i="78" s="1"/>
  <c r="AE9" i="78"/>
  <c r="AE12" i="78" s="1"/>
  <c r="AD9" i="78"/>
  <c r="AD12" i="78" s="1"/>
  <c r="AC9" i="78"/>
  <c r="AC12" i="78" s="1"/>
  <c r="AB9" i="78"/>
  <c r="AB12" i="78" s="1"/>
  <c r="AA9" i="78"/>
  <c r="AA10" i="78" s="1"/>
  <c r="Z9" i="78"/>
  <c r="Z12" i="78" s="1"/>
  <c r="C9" i="78"/>
  <c r="C7" i="78"/>
  <c r="A7" i="78"/>
  <c r="G3" i="78"/>
  <c r="I2" i="78"/>
  <c r="N12" i="78" s="1"/>
  <c r="G2" i="78"/>
  <c r="F38" i="78" s="1"/>
  <c r="M1" i="78"/>
  <c r="D1" i="78"/>
  <c r="D34" i="43"/>
  <c r="D33" i="43"/>
  <c r="U16" i="43"/>
  <c r="S16" i="43"/>
  <c r="U4" i="43"/>
  <c r="H98" i="77"/>
  <c r="H93" i="77"/>
  <c r="H97" i="77"/>
  <c r="H90" i="77"/>
  <c r="H89" i="77"/>
  <c r="G97" i="77"/>
  <c r="G93" i="77"/>
  <c r="G94" i="77"/>
  <c r="G95" i="77"/>
  <c r="G96" i="77"/>
  <c r="G92" i="77"/>
  <c r="G89" i="77"/>
  <c r="G90" i="77"/>
  <c r="J81" i="77"/>
  <c r="J80" i="77"/>
  <c r="J79" i="77"/>
  <c r="G21" i="6"/>
  <c r="G20" i="6"/>
  <c r="F20" i="6"/>
  <c r="I13" i="3"/>
  <c r="H82" i="77"/>
  <c r="G82" i="77"/>
  <c r="I82" i="77"/>
  <c r="H81" i="77"/>
  <c r="I81" i="77"/>
  <c r="I79" i="77"/>
  <c r="I80" i="77"/>
  <c r="H80" i="77"/>
  <c r="G80" i="77"/>
  <c r="H79" i="77"/>
  <c r="G79" i="77"/>
  <c r="Q15" i="3"/>
  <c r="O15" i="3"/>
  <c r="M15" i="3"/>
  <c r="M23" i="83"/>
  <c r="M27" i="83"/>
  <c r="M9" i="83"/>
  <c r="F36" i="83"/>
  <c r="M8" i="83"/>
  <c r="D10" i="81"/>
  <c r="D10" i="80"/>
  <c r="F26" i="83"/>
  <c r="F6" i="83"/>
  <c r="M29" i="83"/>
  <c r="M6" i="83"/>
  <c r="F27" i="81"/>
  <c r="F27" i="80"/>
  <c r="C76" i="83"/>
  <c r="M26" i="83"/>
  <c r="E2" i="81"/>
  <c r="E2" i="80"/>
  <c r="F37" i="83"/>
  <c r="F16" i="83"/>
  <c r="F38" i="83"/>
  <c r="J15" i="83"/>
  <c r="C36" i="81"/>
  <c r="C36" i="80"/>
  <c r="U6" i="1" l="1"/>
  <c r="H67" i="78"/>
  <c r="H59" i="78"/>
  <c r="H62" i="78"/>
  <c r="F22" i="78"/>
  <c r="F34" i="78"/>
  <c r="F36" i="78"/>
  <c r="H72" i="78"/>
  <c r="H77" i="78"/>
  <c r="G17" i="78"/>
  <c r="H61" i="78"/>
  <c r="H65" i="78"/>
  <c r="H70" i="78"/>
  <c r="H74" i="78"/>
  <c r="H78" i="78"/>
  <c r="F64" i="83"/>
  <c r="F66" i="83"/>
  <c r="Q71" i="83"/>
  <c r="F65" i="83"/>
  <c r="C27" i="83"/>
  <c r="D23" i="83"/>
  <c r="D22" i="83"/>
  <c r="D24" i="83"/>
  <c r="P61" i="83"/>
  <c r="C92" i="82"/>
  <c r="C94" i="82"/>
  <c r="K120" i="82"/>
  <c r="D121" i="82"/>
  <c r="L66" i="82"/>
  <c r="M66" i="82" s="1"/>
  <c r="L65" i="82"/>
  <c r="M65" i="82" s="1"/>
  <c r="L64" i="82"/>
  <c r="M64" i="82" s="1"/>
  <c r="L68" i="82"/>
  <c r="M68" i="82" s="1"/>
  <c r="L67" i="82"/>
  <c r="M67" i="82" s="1"/>
  <c r="H112" i="82"/>
  <c r="H110" i="82"/>
  <c r="C10" i="81"/>
  <c r="C29" i="81"/>
  <c r="D27" i="81" s="1"/>
  <c r="C40" i="81"/>
  <c r="C10" i="80"/>
  <c r="C29" i="80"/>
  <c r="D27" i="80" s="1"/>
  <c r="C40" i="80"/>
  <c r="L66" i="79"/>
  <c r="M66" i="79" s="1"/>
  <c r="L65" i="79"/>
  <c r="M65" i="79" s="1"/>
  <c r="L64" i="79"/>
  <c r="M64" i="79" s="1"/>
  <c r="L68" i="79"/>
  <c r="M68" i="79" s="1"/>
  <c r="L67" i="79"/>
  <c r="M67" i="79" s="1"/>
  <c r="C92" i="79"/>
  <c r="C94" i="79"/>
  <c r="K120" i="79"/>
  <c r="D121" i="79"/>
  <c r="L63" i="79"/>
  <c r="M63" i="79" s="1"/>
  <c r="M69" i="79" s="1"/>
  <c r="N69" i="79" s="1"/>
  <c r="H112" i="79"/>
  <c r="H110" i="79"/>
  <c r="Z7" i="78"/>
  <c r="AB11" i="78"/>
  <c r="AB13" i="78" s="1"/>
  <c r="AF11" i="78"/>
  <c r="AF13" i="78" s="1"/>
  <c r="AJ11" i="78"/>
  <c r="AJ13" i="78" s="1"/>
  <c r="G101" i="78"/>
  <c r="G106" i="78" s="1"/>
  <c r="B113" i="78"/>
  <c r="I118" i="78" s="1"/>
  <c r="J118" i="78" s="1"/>
  <c r="K118" i="78" s="1"/>
  <c r="L118" i="78" s="1"/>
  <c r="M118" i="78" s="1"/>
  <c r="Z11" i="78"/>
  <c r="Z13" i="78" s="1"/>
  <c r="AD11" i="78"/>
  <c r="AD13" i="78" s="1"/>
  <c r="AH11" i="78"/>
  <c r="AH13" i="78" s="1"/>
  <c r="E9" i="78"/>
  <c r="E8" i="78"/>
  <c r="E11" i="78"/>
  <c r="E10" i="78"/>
  <c r="N2" i="78"/>
  <c r="M3" i="78"/>
  <c r="N4" i="78"/>
  <c r="N5" i="78"/>
  <c r="N6" i="78"/>
  <c r="M7" i="78"/>
  <c r="M8" i="78"/>
  <c r="C6" i="78" s="1"/>
  <c r="M9" i="78"/>
  <c r="N10" i="78"/>
  <c r="Z10" i="78"/>
  <c r="AB10" i="78"/>
  <c r="AD10" i="78"/>
  <c r="AF10" i="78"/>
  <c r="AH10" i="78"/>
  <c r="AJ10" i="78"/>
  <c r="N11" i="78"/>
  <c r="M12" i="78"/>
  <c r="G103" i="78"/>
  <c r="G107" i="78"/>
  <c r="I116" i="78"/>
  <c r="J116" i="78" s="1"/>
  <c r="K116" i="78" s="1"/>
  <c r="L116" i="78" s="1"/>
  <c r="M116" i="78" s="1"/>
  <c r="D116" i="78"/>
  <c r="E116" i="78" s="1"/>
  <c r="F116" i="78" s="1"/>
  <c r="G116" i="78" s="1"/>
  <c r="H116" i="78" s="1"/>
  <c r="N1" i="78"/>
  <c r="H113" i="78"/>
  <c r="F33" i="78"/>
  <c r="J17" i="78"/>
  <c r="H17" i="78"/>
  <c r="E17" i="78"/>
  <c r="M2" i="78"/>
  <c r="N101" i="78"/>
  <c r="L101" i="78"/>
  <c r="J101" i="78"/>
  <c r="H101" i="78"/>
  <c r="F101" i="78"/>
  <c r="D101" i="78"/>
  <c r="M101" i="78"/>
  <c r="I101" i="78"/>
  <c r="E101" i="78"/>
  <c r="J22" i="78"/>
  <c r="G22" i="78"/>
  <c r="E22" i="78"/>
  <c r="N3" i="78"/>
  <c r="M4" i="78"/>
  <c r="M5" i="78"/>
  <c r="M6" i="78"/>
  <c r="N7" i="78"/>
  <c r="X7" i="78"/>
  <c r="N8" i="78"/>
  <c r="N9" i="78"/>
  <c r="M10" i="78"/>
  <c r="AC10" i="78"/>
  <c r="AE10" i="78"/>
  <c r="AG10" i="78"/>
  <c r="AI10" i="78"/>
  <c r="M11" i="78"/>
  <c r="Y11" i="78"/>
  <c r="Y13" i="78" s="1"/>
  <c r="AA11" i="78"/>
  <c r="AA13" i="78" s="1"/>
  <c r="AC11" i="78"/>
  <c r="AC13" i="78" s="1"/>
  <c r="AE11" i="78"/>
  <c r="AE13" i="78" s="1"/>
  <c r="AG11" i="78"/>
  <c r="AG13" i="78" s="1"/>
  <c r="AI11" i="78"/>
  <c r="AI13" i="78" s="1"/>
  <c r="C17" i="78"/>
  <c r="I17" i="78"/>
  <c r="P25" i="78"/>
  <c r="P21" i="78"/>
  <c r="M20" i="78"/>
  <c r="C19" i="78" s="1"/>
  <c r="O19" i="78"/>
  <c r="H22" i="78"/>
  <c r="P23" i="78"/>
  <c r="F35" i="78"/>
  <c r="F37" i="78"/>
  <c r="F39" i="78"/>
  <c r="D109" i="78"/>
  <c r="F108" i="78"/>
  <c r="F109" i="78" s="1"/>
  <c r="F100" i="78"/>
  <c r="H108" i="78"/>
  <c r="H100" i="78"/>
  <c r="J108" i="78"/>
  <c r="J109" i="78" s="1"/>
  <c r="J100" i="78"/>
  <c r="L108" i="78"/>
  <c r="L100" i="78"/>
  <c r="N108" i="78"/>
  <c r="N109" i="78" s="1"/>
  <c r="N100" i="78"/>
  <c r="C101" i="78"/>
  <c r="K101" i="78"/>
  <c r="G104" i="78"/>
  <c r="B116" i="78"/>
  <c r="C116" i="78" s="1"/>
  <c r="H60" i="78"/>
  <c r="H63" i="78"/>
  <c r="H64" i="78"/>
  <c r="H71" i="78"/>
  <c r="H73" i="78"/>
  <c r="H75" i="78"/>
  <c r="E100" i="78"/>
  <c r="I100" i="78"/>
  <c r="M100" i="78"/>
  <c r="G19" i="6"/>
  <c r="F19" i="6"/>
  <c r="K14" i="3"/>
  <c r="A3" i="3"/>
  <c r="G75" i="77"/>
  <c r="F75" i="77"/>
  <c r="I75" i="77"/>
  <c r="G74" i="77"/>
  <c r="G73" i="77"/>
  <c r="G72" i="77"/>
  <c r="G71" i="77"/>
  <c r="G69" i="77"/>
  <c r="G68" i="77"/>
  <c r="G67" i="77"/>
  <c r="G66" i="77"/>
  <c r="G65" i="77"/>
  <c r="G64" i="77"/>
  <c r="G63" i="77"/>
  <c r="G62" i="77"/>
  <c r="G61" i="77"/>
  <c r="G60" i="77"/>
  <c r="G59"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G26" i="77"/>
  <c r="G25" i="77"/>
  <c r="G24" i="77"/>
  <c r="G23" i="77"/>
  <c r="G22" i="77"/>
  <c r="G21" i="77"/>
  <c r="G20" i="77"/>
  <c r="G19" i="77"/>
  <c r="G18" i="77"/>
  <c r="G17" i="77"/>
  <c r="G16" i="77"/>
  <c r="G15" i="77"/>
  <c r="G14" i="77"/>
  <c r="G13" i="77"/>
  <c r="G12" i="77"/>
  <c r="G11" i="77"/>
  <c r="G10" i="77"/>
  <c r="G9" i="77"/>
  <c r="G8" i="77"/>
  <c r="G7" i="77"/>
  <c r="G6" i="77"/>
  <c r="G5" i="77"/>
  <c r="G4" i="77"/>
  <c r="G3" i="77"/>
  <c r="D3" i="4"/>
  <c r="F13" i="83"/>
  <c r="M24" i="83"/>
  <c r="M28" i="83"/>
  <c r="F7" i="83"/>
  <c r="F40" i="83"/>
  <c r="F42" i="83"/>
  <c r="F9" i="83"/>
  <c r="F43" i="83"/>
  <c r="D9" i="81"/>
  <c r="M22" i="83"/>
  <c r="F8" i="83"/>
  <c r="D9" i="80"/>
  <c r="F48" i="78" l="1"/>
  <c r="H51" i="78" s="1"/>
  <c r="G51" i="78" s="1"/>
  <c r="F81" i="78"/>
  <c r="F70" i="83"/>
  <c r="F51" i="83"/>
  <c r="C6" i="83"/>
  <c r="F71" i="83"/>
  <c r="F68" i="83"/>
  <c r="F50" i="83"/>
  <c r="M7" i="83"/>
  <c r="J6" i="83" s="1"/>
  <c r="D19" i="81"/>
  <c r="D37" i="81" s="1"/>
  <c r="C37" i="81" s="1"/>
  <c r="C9" i="81"/>
  <c r="C8" i="81" s="1"/>
  <c r="C47" i="81"/>
  <c r="D45" i="81" s="1"/>
  <c r="D19" i="80"/>
  <c r="D37" i="80" s="1"/>
  <c r="C37" i="80" s="1"/>
  <c r="C9" i="80"/>
  <c r="C8" i="80" s="1"/>
  <c r="C47" i="80"/>
  <c r="D45" i="80" s="1"/>
  <c r="C16" i="78"/>
  <c r="C5" i="78" s="1"/>
  <c r="B115" i="78"/>
  <c r="C115" i="78" s="1"/>
  <c r="D118" i="78"/>
  <c r="E118" i="78" s="1"/>
  <c r="F118" i="78" s="1"/>
  <c r="G118" i="78"/>
  <c r="H118" i="78" s="1"/>
  <c r="G102" i="78"/>
  <c r="L109" i="78"/>
  <c r="H109" i="78"/>
  <c r="G109" i="78"/>
  <c r="G105" i="78"/>
  <c r="B118" i="78"/>
  <c r="C118" i="78" s="1"/>
  <c r="B117" i="78"/>
  <c r="C117" i="78" s="1"/>
  <c r="D115" i="78"/>
  <c r="E115" i="78" s="1"/>
  <c r="F115" i="78" s="1"/>
  <c r="G115" i="78" s="1"/>
  <c r="H115" i="78" s="1"/>
  <c r="D117" i="78"/>
  <c r="E117" i="78" s="1"/>
  <c r="F117" i="78" s="1"/>
  <c r="G117" i="78" s="1"/>
  <c r="H117" i="78" s="1"/>
  <c r="I115" i="78"/>
  <c r="J115" i="78" s="1"/>
  <c r="K115" i="78" s="1"/>
  <c r="L115" i="78" s="1"/>
  <c r="M115" i="78" s="1"/>
  <c r="I117" i="78"/>
  <c r="J117" i="78" s="1"/>
  <c r="K117" i="78" s="1"/>
  <c r="L117" i="78" s="1"/>
  <c r="M117" i="78" s="1"/>
  <c r="K107" i="78"/>
  <c r="K105" i="78"/>
  <c r="K103" i="78"/>
  <c r="K106" i="78"/>
  <c r="K104" i="78"/>
  <c r="K102" i="78"/>
  <c r="C107" i="78"/>
  <c r="C105" i="78"/>
  <c r="C103" i="78"/>
  <c r="C106" i="78"/>
  <c r="C104" i="78"/>
  <c r="C102" i="78"/>
  <c r="H52" i="78"/>
  <c r="G52" i="78" s="1"/>
  <c r="H55" i="78"/>
  <c r="G55" i="78" s="1"/>
  <c r="H50" i="78"/>
  <c r="G50" i="78" s="1"/>
  <c r="H56" i="78"/>
  <c r="G56" i="78" s="1"/>
  <c r="H49" i="78"/>
  <c r="G49" i="78" s="1"/>
  <c r="D22" i="78"/>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M109" i="78"/>
  <c r="E109" i="78"/>
  <c r="K109"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I109" i="78"/>
  <c r="C109" i="78"/>
  <c r="J75" i="77"/>
  <c r="L3" i="71"/>
  <c r="K3" i="71"/>
  <c r="AG3" i="71" s="1"/>
  <c r="J3" i="71"/>
  <c r="I3" i="71"/>
  <c r="AH5" i="71"/>
  <c r="AG5" i="71"/>
  <c r="AE5" i="71"/>
  <c r="AF5" i="71"/>
  <c r="AD5" i="71"/>
  <c r="Q5" i="71"/>
  <c r="Q6" i="71"/>
  <c r="P5" i="71"/>
  <c r="P6" i="71"/>
  <c r="O5" i="71"/>
  <c r="O6" i="71"/>
  <c r="N5" i="71"/>
  <c r="N6" i="71"/>
  <c r="N7" i="71"/>
  <c r="AH6" i="71"/>
  <c r="AG6" i="71"/>
  <c r="AE6" i="71"/>
  <c r="AF6" i="71" s="1"/>
  <c r="AD6" i="71"/>
  <c r="Q7" i="71"/>
  <c r="P7" i="71"/>
  <c r="O7" i="71"/>
  <c r="F7" i="71"/>
  <c r="F6" i="71" s="1"/>
  <c r="F5" i="71" s="1"/>
  <c r="M19" i="43"/>
  <c r="D9" i="71"/>
  <c r="AH7" i="71"/>
  <c r="AG7" i="71"/>
  <c r="AE7" i="71"/>
  <c r="AF7" i="71" s="1"/>
  <c r="AD7" i="71"/>
  <c r="AD8" i="71"/>
  <c r="AG8" i="71"/>
  <c r="AH8" i="71"/>
  <c r="AE8" i="71"/>
  <c r="AF8" i="71" s="1"/>
  <c r="N8" i="71"/>
  <c r="Q8" i="71"/>
  <c r="P8" i="71"/>
  <c r="O8" i="71"/>
  <c r="Q9" i="71"/>
  <c r="F8" i="71"/>
  <c r="P9" i="71"/>
  <c r="O9" i="71"/>
  <c r="N9" i="71"/>
  <c r="A2" i="53"/>
  <c r="B19" i="72" s="1"/>
  <c r="K59" i="67"/>
  <c r="K59" i="15"/>
  <c r="P74" i="15" s="1"/>
  <c r="P61" i="15"/>
  <c r="D116" i="39"/>
  <c r="E116" i="39"/>
  <c r="F116" i="39"/>
  <c r="G116" i="39"/>
  <c r="H116" i="39"/>
  <c r="I116" i="39"/>
  <c r="J116" i="39"/>
  <c r="K116" i="39"/>
  <c r="L116" i="39"/>
  <c r="M116" i="39"/>
  <c r="C116" i="39"/>
  <c r="A21" i="62"/>
  <c r="A20" i="62"/>
  <c r="B66" i="72" s="1"/>
  <c r="A22" i="51"/>
  <c r="A21" i="51"/>
  <c r="B16" i="72" s="1"/>
  <c r="A20" i="51"/>
  <c r="A15" i="62"/>
  <c r="B61" i="72" s="1"/>
  <c r="A14" i="62"/>
  <c r="A13" i="62"/>
  <c r="B59" i="72" s="1"/>
  <c r="A19" i="62"/>
  <c r="A12" i="62"/>
  <c r="B58" i="72" s="1"/>
  <c r="A120" i="9"/>
  <c r="H2" i="52"/>
  <c r="A1" i="52"/>
  <c r="A3" i="53"/>
  <c r="Q10" i="7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A10" i="52" s="1"/>
  <c r="B55" i="72" s="1"/>
  <c r="B44" i="72"/>
  <c r="B42" i="72"/>
  <c r="B69" i="72"/>
  <c r="B68" i="72"/>
  <c r="B63" i="72"/>
  <c r="B62" i="72"/>
  <c r="B65" i="72"/>
  <c r="B60" i="72"/>
  <c r="B67" i="72"/>
  <c r="B10" i="72"/>
  <c r="C53" i="10"/>
  <c r="B51" i="10"/>
  <c r="A18" i="51"/>
  <c r="B13" i="72" s="1"/>
  <c r="B49" i="48"/>
  <c r="B5" i="72" s="1"/>
  <c r="I19" i="43"/>
  <c r="D73" i="71"/>
  <c r="F72" i="71"/>
  <c r="F71" i="71" s="1"/>
  <c r="E72" i="71"/>
  <c r="E71" i="71"/>
  <c r="E70" i="71" s="1"/>
  <c r="C72" i="71"/>
  <c r="D72" i="71" s="1"/>
  <c r="B72" i="71"/>
  <c r="B71" i="71" s="1"/>
  <c r="F70" i="71"/>
  <c r="B70" i="71"/>
  <c r="D69" i="71"/>
  <c r="F68" i="71"/>
  <c r="F67" i="71" s="1"/>
  <c r="E68" i="71"/>
  <c r="E67" i="71"/>
  <c r="E66" i="71" s="1"/>
  <c r="C68" i="71"/>
  <c r="B68" i="71"/>
  <c r="B67" i="71" s="1"/>
  <c r="F66" i="71"/>
  <c r="B66"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C52" i="71"/>
  <c r="B52" i="71"/>
  <c r="S52" i="71"/>
  <c r="B51" i="71"/>
  <c r="N51" i="71" s="1"/>
  <c r="D49" i="71"/>
  <c r="Q48" i="71"/>
  <c r="P48" i="71"/>
  <c r="O48" i="71"/>
  <c r="N48" i="71"/>
  <c r="Q47" i="71"/>
  <c r="P47" i="71"/>
  <c r="O47" i="71"/>
  <c r="N47" i="71"/>
  <c r="Q46" i="71"/>
  <c r="P46" i="71"/>
  <c r="O46" i="71"/>
  <c r="N46" i="71"/>
  <c r="Q45" i="71"/>
  <c r="F46" i="71" s="1"/>
  <c r="F47" i="71" s="1"/>
  <c r="F48" i="71" s="1"/>
  <c r="V48" i="71" s="1"/>
  <c r="P45" i="71"/>
  <c r="E46" i="71"/>
  <c r="O45" i="71"/>
  <c r="C46" i="71"/>
  <c r="C47" i="71" s="1"/>
  <c r="C48" i="71" s="1"/>
  <c r="T48" i="71" s="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C38" i="71"/>
  <c r="C39" i="71" s="1"/>
  <c r="D39" i="71" s="1"/>
  <c r="Q37" i="71"/>
  <c r="F38" i="71"/>
  <c r="F39" i="71" s="1"/>
  <c r="F40" i="71" s="1"/>
  <c r="V40" i="71" s="1"/>
  <c r="P37" i="71"/>
  <c r="E38" i="71" s="1"/>
  <c r="E39" i="71" s="1"/>
  <c r="E40" i="71" s="1"/>
  <c r="U40" i="71" s="1"/>
  <c r="O37" i="71"/>
  <c r="N37" i="71"/>
  <c r="B38" i="71"/>
  <c r="B39" i="71" s="1"/>
  <c r="B40" i="71"/>
  <c r="S40" i="71" s="1"/>
  <c r="D37" i="71"/>
  <c r="Q36" i="71"/>
  <c r="P36" i="71"/>
  <c r="O36" i="71"/>
  <c r="N36" i="71"/>
  <c r="Q35" i="71"/>
  <c r="P35" i="71"/>
  <c r="O35" i="71"/>
  <c r="N35" i="71"/>
  <c r="Q34" i="71"/>
  <c r="P34" i="71"/>
  <c r="O34" i="71"/>
  <c r="N34" i="71"/>
  <c r="Q33" i="71"/>
  <c r="F34" i="71"/>
  <c r="F35" i="71" s="1"/>
  <c r="P33" i="71"/>
  <c r="E34" i="71"/>
  <c r="E35" i="71" s="1"/>
  <c r="E36" i="71"/>
  <c r="U36" i="71" s="1"/>
  <c r="O33" i="71"/>
  <c r="C34" i="71" s="1"/>
  <c r="C35" i="71" s="1"/>
  <c r="D35"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C31" i="71" s="1"/>
  <c r="D31" i="71" s="1"/>
  <c r="N29" i="71"/>
  <c r="B30" i="71" s="1"/>
  <c r="B31" i="7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c r="U28" i="71" s="1"/>
  <c r="O25" i="71"/>
  <c r="C26" i="71" s="1"/>
  <c r="D26" i="71" s="1"/>
  <c r="N25" i="71"/>
  <c r="B26" i="71" s="1"/>
  <c r="B27" i="71" s="1"/>
  <c r="B28" i="71" s="1"/>
  <c r="S28" i="71" s="1"/>
  <c r="D25" i="71"/>
  <c r="Q24" i="71"/>
  <c r="P24" i="71"/>
  <c r="O24" i="71"/>
  <c r="N24" i="71"/>
  <c r="AB23" i="71"/>
  <c r="Q23" i="71"/>
  <c r="P23" i="71"/>
  <c r="O23" i="71"/>
  <c r="Y23" i="71" s="1"/>
  <c r="Z23" i="71"/>
  <c r="N23" i="71"/>
  <c r="X23" i="71"/>
  <c r="Q22" i="71"/>
  <c r="AB22" i="71"/>
  <c r="P22" i="71"/>
  <c r="O22" i="71"/>
  <c r="Y22" i="71" s="1"/>
  <c r="Z22" i="71" s="1"/>
  <c r="N22" i="71"/>
  <c r="Q21" i="71"/>
  <c r="F22" i="71" s="1"/>
  <c r="F23" i="71" s="1"/>
  <c r="F24" i="71" s="1"/>
  <c r="V24" i="71" s="1"/>
  <c r="P21" i="71"/>
  <c r="O21" i="71"/>
  <c r="C22" i="71" s="1"/>
  <c r="D22" i="71" s="1"/>
  <c r="N21" i="71"/>
  <c r="D21" i="71"/>
  <c r="Q20" i="71"/>
  <c r="AB20" i="71"/>
  <c r="P20" i="71"/>
  <c r="O20" i="71"/>
  <c r="N20" i="71"/>
  <c r="Q19" i="71"/>
  <c r="AB19" i="71" s="1"/>
  <c r="P19" i="71"/>
  <c r="O19" i="71"/>
  <c r="N19" i="71"/>
  <c r="Q18" i="71"/>
  <c r="AB18" i="71"/>
  <c r="P18" i="71"/>
  <c r="O18" i="71"/>
  <c r="Y18" i="71" s="1"/>
  <c r="Z18" i="71" s="1"/>
  <c r="N18" i="71"/>
  <c r="Q17" i="71"/>
  <c r="F18" i="71" s="1"/>
  <c r="F19" i="71" s="1"/>
  <c r="F20" i="71" s="1"/>
  <c r="V20" i="71" s="1"/>
  <c r="P17" i="71"/>
  <c r="O17" i="71"/>
  <c r="N17" i="71"/>
  <c r="D17" i="71"/>
  <c r="Q16" i="71"/>
  <c r="P16" i="71"/>
  <c r="O16" i="71"/>
  <c r="N16" i="71"/>
  <c r="Q15" i="71"/>
  <c r="AB15" i="71" s="1"/>
  <c r="P15" i="71"/>
  <c r="O15" i="71"/>
  <c r="N15" i="71"/>
  <c r="X13" i="71" s="1"/>
  <c r="Q14" i="71"/>
  <c r="AB14" i="71"/>
  <c r="P14" i="71"/>
  <c r="O14" i="71"/>
  <c r="Y14" i="71" s="1"/>
  <c r="Z14" i="71" s="1"/>
  <c r="N14" i="71"/>
  <c r="Q13" i="71"/>
  <c r="P13" i="71"/>
  <c r="O13" i="71"/>
  <c r="N13" i="71"/>
  <c r="D13" i="71"/>
  <c r="O12" i="71"/>
  <c r="N12" i="71"/>
  <c r="B14" i="71"/>
  <c r="B15" i="71"/>
  <c r="E14" i="71"/>
  <c r="E15" i="71" s="1"/>
  <c r="E16" i="71"/>
  <c r="U16" i="71" s="1"/>
  <c r="B18" i="71"/>
  <c r="B19" i="71"/>
  <c r="B22" i="71"/>
  <c r="B23" i="71" s="1"/>
  <c r="B24" i="71"/>
  <c r="S24" i="71" s="1"/>
  <c r="X21" i="71"/>
  <c r="E22" i="71"/>
  <c r="E23" i="71"/>
  <c r="N52" i="71"/>
  <c r="E18" i="71"/>
  <c r="E19" i="71"/>
  <c r="E20" i="71" s="1"/>
  <c r="U20" i="71"/>
  <c r="C14" i="71"/>
  <c r="X15" i="71"/>
  <c r="C18" i="71"/>
  <c r="AB17" i="71"/>
  <c r="AA19" i="71"/>
  <c r="X20" i="71"/>
  <c r="AA20" i="71"/>
  <c r="AB21" i="71"/>
  <c r="X22" i="71"/>
  <c r="AA22" i="71"/>
  <c r="F36" i="71"/>
  <c r="V36" i="71" s="1"/>
  <c r="C12" i="71"/>
  <c r="T12" i="71" s="1"/>
  <c r="X11" i="71"/>
  <c r="D14" i="71"/>
  <c r="C27" i="71"/>
  <c r="D27" i="71" s="1"/>
  <c r="D30" i="71"/>
  <c r="D34" i="71"/>
  <c r="P12" i="71"/>
  <c r="E47" i="71"/>
  <c r="E48" i="71" s="1"/>
  <c r="U48" i="71" s="1"/>
  <c r="U52" i="71"/>
  <c r="Q12" i="71"/>
  <c r="D38" i="71"/>
  <c r="D42" i="71"/>
  <c r="D46" i="71"/>
  <c r="T52" i="71"/>
  <c r="Q52" i="71"/>
  <c r="C55" i="71"/>
  <c r="E55" i="71"/>
  <c r="E54" i="71" s="1"/>
  <c r="D56" i="71"/>
  <c r="E59" i="71"/>
  <c r="E58" i="71" s="1"/>
  <c r="C63" i="71"/>
  <c r="D64" i="71"/>
  <c r="C11" i="71"/>
  <c r="F12" i="71"/>
  <c r="F11" i="71" s="1"/>
  <c r="F10" i="71"/>
  <c r="AB11" i="71"/>
  <c r="E12" i="71"/>
  <c r="E11" i="71" s="1"/>
  <c r="E10" i="71"/>
  <c r="AA11" i="71"/>
  <c r="D47" i="71"/>
  <c r="D63" i="71"/>
  <c r="C62" i="71"/>
  <c r="D62" i="71"/>
  <c r="D55" i="71"/>
  <c r="C54" i="71"/>
  <c r="D54" i="71" s="1"/>
  <c r="C44" i="71"/>
  <c r="C40" i="71"/>
  <c r="T40" i="71" s="1"/>
  <c r="C36" i="71"/>
  <c r="T36" i="71" s="1"/>
  <c r="C10" i="71"/>
  <c r="D10" i="71" s="1"/>
  <c r="D11" i="71"/>
  <c r="V12" i="71"/>
  <c r="D36" i="71"/>
  <c r="D40" i="71"/>
  <c r="T44" i="71"/>
  <c r="D44" i="71"/>
  <c r="D4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C25" i="40"/>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6" i="43"/>
  <c r="D52"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F15" i="4"/>
  <c r="F8" i="1"/>
  <c r="F9" i="1"/>
  <c r="I20" i="78" s="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s="1"/>
  <c r="H40" i="39"/>
  <c r="AB40" i="39" s="1"/>
  <c r="H39" i="39"/>
  <c r="U39" i="39" s="1"/>
  <c r="S38" i="39"/>
  <c r="S34" i="39"/>
  <c r="H34" i="39"/>
  <c r="U34" i="39" s="1"/>
  <c r="E109" i="39"/>
  <c r="H31" i="39"/>
  <c r="AB31" i="39" s="1"/>
  <c r="F31" i="39"/>
  <c r="AA31" i="39" s="1"/>
  <c r="E101" i="39"/>
  <c r="H19" i="39"/>
  <c r="AB19" i="39"/>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c r="B16" i="53"/>
  <c r="B33" i="72"/>
  <c r="C7" i="34"/>
  <c r="W35" i="40"/>
  <c r="A118" i="9"/>
  <c r="J11" i="39"/>
  <c r="W11" i="39" s="1"/>
  <c r="F11" i="39"/>
  <c r="AA11" i="39" s="1"/>
  <c r="A12" i="52"/>
  <c r="B56" i="72" s="1"/>
  <c r="S11" i="39"/>
  <c r="G4" i="4"/>
  <c r="I4" i="4"/>
  <c r="K5" i="4"/>
  <c r="B47" i="48" s="1"/>
  <c r="F59" i="43"/>
  <c r="H66"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09" i="3"/>
  <c r="AZ317" i="3"/>
  <c r="AZ325" i="3"/>
  <c r="AZ333" i="3"/>
  <c r="AZ341" i="3"/>
  <c r="AC5" i="3"/>
  <c r="AZ506" i="3"/>
  <c r="AZ496" i="3"/>
  <c r="G548" i="3"/>
  <c r="G538" i="3"/>
  <c r="G520" i="3"/>
  <c r="G502" i="3"/>
  <c r="BS5" i="3"/>
  <c r="BN5" i="3"/>
  <c r="AZ343" i="3"/>
  <c r="BK5" i="3"/>
  <c r="BG5" i="3"/>
  <c r="BC5" i="3"/>
  <c r="G17" i="3"/>
  <c r="BA17" i="3"/>
  <c r="AZ350" i="3"/>
  <c r="AZ352" i="3"/>
  <c r="AZ356" i="3"/>
  <c r="AZ364" i="3"/>
  <c r="AZ368" i="3"/>
  <c r="AZ384" i="3"/>
  <c r="AZ388" i="3"/>
  <c r="AZ392" i="3"/>
  <c r="AZ396" i="3"/>
  <c r="AZ394" i="3"/>
  <c r="AZ499" i="3"/>
  <c r="AZ509" i="3"/>
  <c r="G509" i="3"/>
  <c r="BL493" i="3"/>
  <c r="AZ493" i="3" s="1"/>
  <c r="AZ491" i="3"/>
  <c r="AZ376" i="3"/>
  <c r="AZ382" i="3"/>
  <c r="U36" i="40"/>
  <c r="N4" i="43"/>
  <c r="F81" i="43"/>
  <c r="H83" i="43" s="1"/>
  <c r="H113" i="43"/>
  <c r="F70" i="43"/>
  <c r="H73" i="43" s="1"/>
  <c r="M11" i="43"/>
  <c r="F39" i="43"/>
  <c r="F6" i="1"/>
  <c r="I20" i="43" s="1"/>
  <c r="U17" i="39"/>
  <c r="S14" i="35"/>
  <c r="U43" i="21"/>
  <c r="U35" i="21"/>
  <c r="AC35" i="21"/>
  <c r="U10" i="2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2" i="43"/>
  <c r="K9" i="1"/>
  <c r="M9" i="1" s="1"/>
  <c r="O9" i="1" s="1"/>
  <c r="P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C18" i="9"/>
  <c r="D18" i="9" s="1"/>
  <c r="M20" i="67"/>
  <c r="G13" i="3"/>
  <c r="BL17" i="3"/>
  <c r="AZ17" i="3"/>
  <c r="BL13" i="3"/>
  <c r="J56" i="9"/>
  <c r="J57" i="9"/>
  <c r="A24" i="51"/>
  <c r="B18" i="72" s="1"/>
  <c r="U29" i="34"/>
  <c r="E32" i="6"/>
  <c r="L19" i="6"/>
  <c r="K1" i="12"/>
  <c r="E19" i="69"/>
  <c r="E19" i="11"/>
  <c r="E1" i="73"/>
  <c r="G41" i="69"/>
  <c r="G22" i="69"/>
  <c r="G41" i="68"/>
  <c r="G22" i="68"/>
  <c r="G27" i="12"/>
  <c r="G26" i="12"/>
  <c r="G41" i="11"/>
  <c r="G22" i="11"/>
  <c r="G25" i="12"/>
  <c r="C100" i="43"/>
  <c r="C7" i="43"/>
  <c r="E81" i="43"/>
  <c r="B79" i="43"/>
  <c r="E70" i="43"/>
  <c r="B68" i="43" s="1"/>
  <c r="F100" i="43"/>
  <c r="D9" i="53"/>
  <c r="B25" i="72"/>
  <c r="B24" i="72"/>
  <c r="H81" i="43"/>
  <c r="G17" i="43"/>
  <c r="N6" i="43"/>
  <c r="M10" i="43"/>
  <c r="N11" i="43"/>
  <c r="N12" i="43"/>
  <c r="M5" i="43"/>
  <c r="M4" i="43"/>
  <c r="B19" i="53"/>
  <c r="B37" i="72" s="1"/>
  <c r="C7" i="35"/>
  <c r="C7" i="21"/>
  <c r="C58" i="21" s="1"/>
  <c r="G19" i="43"/>
  <c r="P21" i="43" s="1"/>
  <c r="C59" i="34"/>
  <c r="D59" i="34" s="1"/>
  <c r="E59" i="34" s="1"/>
  <c r="F59" i="34" s="1"/>
  <c r="G59" i="34" s="1"/>
  <c r="H59" i="34" s="1"/>
  <c r="I59" i="34" s="1"/>
  <c r="J59" i="34" s="1"/>
  <c r="K59" i="34" s="1"/>
  <c r="C48" i="35"/>
  <c r="D48" i="35" s="1"/>
  <c r="E48" i="35" s="1"/>
  <c r="F48" i="35" s="1"/>
  <c r="G48" i="35" s="1"/>
  <c r="H48" i="35" s="1"/>
  <c r="I48" i="35" s="1"/>
  <c r="J48" i="35" s="1"/>
  <c r="K48" i="35" s="1"/>
  <c r="L48" i="35" s="1"/>
  <c r="M48" i="35" s="1"/>
  <c r="N48" i="35" s="1"/>
  <c r="O48" i="35" s="1"/>
  <c r="C4" i="12"/>
  <c r="H77" i="43"/>
  <c r="L20" i="6"/>
  <c r="B6" i="1"/>
  <c r="E6" i="1" s="1"/>
  <c r="K11" i="1"/>
  <c r="M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7" i="40"/>
  <c r="C21" i="40"/>
  <c r="U30" i="40"/>
  <c r="B54" i="43"/>
  <c r="B49" i="43"/>
  <c r="B52" i="43"/>
  <c r="B60" i="43"/>
  <c r="B63" i="43"/>
  <c r="B67" i="43"/>
  <c r="D23" i="15"/>
  <c r="D22" i="15"/>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c r="R22" i="31"/>
  <c r="B21" i="31" s="1"/>
  <c r="O19" i="43"/>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AC11" i="37"/>
  <c r="W11" i="34"/>
  <c r="AC11" i="34"/>
  <c r="F34" i="11"/>
  <c r="F11" i="12"/>
  <c r="F34" i="68"/>
  <c r="AG6" i="1"/>
  <c r="H109" i="9"/>
  <c r="M49" i="9"/>
  <c r="L66" i="9"/>
  <c r="M66" i="9" s="1"/>
  <c r="L64" i="9"/>
  <c r="M64" i="9" s="1"/>
  <c r="L63" i="9"/>
  <c r="M63" i="9" s="1"/>
  <c r="M69" i="9" s="1"/>
  <c r="N69" i="9" s="1"/>
  <c r="L67" i="9"/>
  <c r="M67" i="9" s="1"/>
  <c r="H110" i="9"/>
  <c r="D18" i="53" s="1"/>
  <c r="B35" i="72" s="1"/>
  <c r="D124" i="9"/>
  <c r="D16" i="53"/>
  <c r="B34" i="72" s="1"/>
  <c r="D10" i="52"/>
  <c r="H14" i="74"/>
  <c r="D125" i="9"/>
  <c r="D11" i="52"/>
  <c r="B7" i="74"/>
  <c r="H112" i="9"/>
  <c r="D21" i="53" s="1"/>
  <c r="B39" i="72" s="1"/>
  <c r="H111" i="9"/>
  <c r="D126" i="9" s="1"/>
  <c r="D59" i="9"/>
  <c r="M55" i="9"/>
  <c r="AD3" i="71"/>
  <c r="P22" i="43"/>
  <c r="P24" i="43"/>
  <c r="B66" i="40" s="1"/>
  <c r="C34" i="81"/>
  <c r="C16" i="83"/>
  <c r="B10" i="76"/>
  <c r="M6" i="15"/>
  <c r="F37" i="15"/>
  <c r="F38" i="67"/>
  <c r="E11" i="76"/>
  <c r="AO10" i="1"/>
  <c r="M22" i="67"/>
  <c r="M27" i="67"/>
  <c r="B9" i="76"/>
  <c r="M24" i="67"/>
  <c r="L48" i="67"/>
  <c r="F26" i="15"/>
  <c r="M23" i="67"/>
  <c r="B7" i="76"/>
  <c r="F6" i="67"/>
  <c r="M9" i="67"/>
  <c r="F13" i="15"/>
  <c r="F20" i="31"/>
  <c r="E7" i="76"/>
  <c r="J15" i="15"/>
  <c r="M29" i="67"/>
  <c r="D2" i="34"/>
  <c r="C14" i="83"/>
  <c r="E12" i="76"/>
  <c r="C76" i="67"/>
  <c r="F6" i="15"/>
  <c r="L47" i="67"/>
  <c r="M29" i="15"/>
  <c r="F6" i="73"/>
  <c r="F43" i="67"/>
  <c r="D2" i="36"/>
  <c r="B12" i="76"/>
  <c r="AO12" i="1"/>
  <c r="M28" i="15"/>
  <c r="F8" i="15"/>
  <c r="F9" i="67"/>
  <c r="B11" i="76"/>
  <c r="F8" i="67"/>
  <c r="M6" i="67"/>
  <c r="F37" i="67"/>
  <c r="E2" i="68"/>
  <c r="F38" i="15"/>
  <c r="L48" i="15"/>
  <c r="F4" i="73"/>
  <c r="D2" i="21"/>
  <c r="L48" i="83"/>
  <c r="AO13" i="1"/>
  <c r="F13" i="67"/>
  <c r="F40" i="15"/>
  <c r="F7" i="73"/>
  <c r="F9" i="15"/>
  <c r="F42" i="67"/>
  <c r="AO9" i="1"/>
  <c r="F26" i="67"/>
  <c r="M28" i="67"/>
  <c r="AO11" i="1"/>
  <c r="F16" i="67"/>
  <c r="E2" i="69"/>
  <c r="M27" i="15"/>
  <c r="C17" i="83"/>
  <c r="L47" i="15"/>
  <c r="F40" i="67"/>
  <c r="M23" i="15"/>
  <c r="F36" i="67"/>
  <c r="F3" i="73"/>
  <c r="M22" i="15"/>
  <c r="F36" i="15"/>
  <c r="E9" i="76"/>
  <c r="F7" i="67"/>
  <c r="M8" i="67"/>
  <c r="M9" i="15"/>
  <c r="D2" i="33"/>
  <c r="E8" i="76"/>
  <c r="M26" i="15"/>
  <c r="E10" i="76"/>
  <c r="J15" i="67"/>
  <c r="E13" i="76"/>
  <c r="F42" i="15"/>
  <c r="F43" i="15"/>
  <c r="F7" i="15"/>
  <c r="M8" i="15"/>
  <c r="L47" i="83"/>
  <c r="F5" i="73"/>
  <c r="M26" i="67"/>
  <c r="B8" i="76"/>
  <c r="D2" i="37"/>
  <c r="F16" i="15"/>
  <c r="M24" i="15"/>
  <c r="C76" i="15"/>
  <c r="D2" i="35"/>
  <c r="B13" i="76"/>
  <c r="F31" i="67" l="1"/>
  <c r="F31" i="15"/>
  <c r="E19" i="68"/>
  <c r="E19" i="80"/>
  <c r="E19" i="81"/>
  <c r="C40" i="68"/>
  <c r="C40" i="69"/>
  <c r="C38" i="81"/>
  <c r="C35" i="81"/>
  <c r="H54" i="78"/>
  <c r="G54" i="78" s="1"/>
  <c r="H48" i="78"/>
  <c r="G48" i="78" s="1"/>
  <c r="M48" i="78" s="1"/>
  <c r="N48" i="78" s="1"/>
  <c r="H53" i="78"/>
  <c r="G53" i="78" s="1"/>
  <c r="D5" i="78"/>
  <c r="M59" i="83"/>
  <c r="N59" i="83"/>
  <c r="L59" i="83"/>
  <c r="G12" i="1"/>
  <c r="L58" i="83"/>
  <c r="L57" i="83"/>
  <c r="L60" i="83"/>
  <c r="I54" i="83"/>
  <c r="L56" i="83"/>
  <c r="J53" i="83"/>
  <c r="J57" i="83"/>
  <c r="J55" i="83" s="1"/>
  <c r="J58" i="83" s="1"/>
  <c r="Q50" i="83" s="1"/>
  <c r="H87" i="78"/>
  <c r="H85" i="78"/>
  <c r="H81" i="78"/>
  <c r="H83" i="78"/>
  <c r="H84" i="78"/>
  <c r="H88" i="78"/>
  <c r="H82" i="78"/>
  <c r="H86" i="78"/>
  <c r="M12" i="43"/>
  <c r="N5" i="43"/>
  <c r="M9" i="43"/>
  <c r="N3" i="43"/>
  <c r="M2" i="43"/>
  <c r="M7" i="43"/>
  <c r="H71" i="43"/>
  <c r="N8" i="43"/>
  <c r="F48" i="43" s="1"/>
  <c r="H50" i="43" s="1"/>
  <c r="G50" i="43" s="1"/>
  <c r="M1" i="43"/>
  <c r="M3" i="43"/>
  <c r="M6" i="43"/>
  <c r="N7" i="43"/>
  <c r="N2" i="43"/>
  <c r="H76" i="43"/>
  <c r="H78" i="43"/>
  <c r="C49" i="83"/>
  <c r="C18" i="83"/>
  <c r="C15" i="83"/>
  <c r="J53" i="67"/>
  <c r="S7" i="78"/>
  <c r="S3" i="78"/>
  <c r="S2" i="78"/>
  <c r="C23" i="78"/>
  <c r="C21" i="78" s="1"/>
  <c r="S4" i="78"/>
  <c r="S5" i="78"/>
  <c r="S6" i="78"/>
  <c r="D113" i="78"/>
  <c r="M49" i="78"/>
  <c r="N49" i="78" s="1"/>
  <c r="K49" i="78"/>
  <c r="M56" i="78"/>
  <c r="N56" i="78" s="1"/>
  <c r="K56" i="78"/>
  <c r="J56" i="78" s="1"/>
  <c r="M50" i="78"/>
  <c r="N50" i="78" s="1"/>
  <c r="K50" i="78"/>
  <c r="M55" i="78"/>
  <c r="N55" i="78" s="1"/>
  <c r="K55" i="78"/>
  <c r="J55" i="78" s="1"/>
  <c r="D55" i="78" s="1"/>
  <c r="K52" i="78"/>
  <c r="J52" i="78" s="1"/>
  <c r="M52" i="78"/>
  <c r="N52" i="78" s="1"/>
  <c r="M54" i="78"/>
  <c r="N54" i="78" s="1"/>
  <c r="K54" i="78"/>
  <c r="K48" i="78"/>
  <c r="M53" i="78"/>
  <c r="N53" i="78" s="1"/>
  <c r="K53" i="78"/>
  <c r="K51" i="78"/>
  <c r="M51" i="78"/>
  <c r="N51" i="78" s="1"/>
  <c r="H88" i="43"/>
  <c r="E10" i="43"/>
  <c r="E8" i="43"/>
  <c r="E9" i="43"/>
  <c r="E11" i="43"/>
  <c r="H72" i="43"/>
  <c r="H60" i="43"/>
  <c r="F37" i="43"/>
  <c r="C17" i="43"/>
  <c r="H70" i="43"/>
  <c r="H74" i="43"/>
  <c r="F35" i="43"/>
  <c r="H52" i="43"/>
  <c r="G52" i="43" s="1"/>
  <c r="H48" i="43"/>
  <c r="G48" i="43" s="1"/>
  <c r="H53" i="43"/>
  <c r="G53" i="43" s="1"/>
  <c r="H56" i="43"/>
  <c r="G56" i="43" s="1"/>
  <c r="H51" i="43"/>
  <c r="G51" i="43" s="1"/>
  <c r="J53" i="15"/>
  <c r="H67" i="43"/>
  <c r="H62" i="43"/>
  <c r="B65" i="43"/>
  <c r="C23" i="40"/>
  <c r="C15" i="40"/>
  <c r="B56" i="43"/>
  <c r="C19" i="39"/>
  <c r="C15" i="39"/>
  <c r="B55" i="43"/>
  <c r="F34" i="15"/>
  <c r="F62" i="15" s="1"/>
  <c r="F34" i="67"/>
  <c r="F62" i="67" s="1"/>
  <c r="C94" i="9"/>
  <c r="C92" i="9"/>
  <c r="B41" i="1"/>
  <c r="BB5" i="3"/>
  <c r="H5" i="3"/>
  <c r="BA14" i="3"/>
  <c r="BI5" i="3"/>
  <c r="BE5" i="3"/>
  <c r="BL14" i="3"/>
  <c r="E8" i="6"/>
  <c r="F27" i="6" s="1"/>
  <c r="G1" i="69"/>
  <c r="K7" i="1"/>
  <c r="M7" i="1" s="1"/>
  <c r="G1" i="68"/>
  <c r="F22" i="43"/>
  <c r="K101" i="43"/>
  <c r="K103" i="43" s="1"/>
  <c r="N101" i="43"/>
  <c r="N102" i="43" s="1"/>
  <c r="G101" i="43"/>
  <c r="G104" i="43" s="1"/>
  <c r="J101" i="43"/>
  <c r="J102" i="43" s="1"/>
  <c r="L101" i="43"/>
  <c r="L109" i="43" s="1"/>
  <c r="D101" i="43"/>
  <c r="D109" i="43" s="1"/>
  <c r="I101" i="43"/>
  <c r="I109" i="43" s="1"/>
  <c r="G22" i="43"/>
  <c r="AH11" i="43"/>
  <c r="AD11" i="43"/>
  <c r="Z11" i="43"/>
  <c r="AI11" i="43"/>
  <c r="AI13" i="43" s="1"/>
  <c r="AE11" i="43"/>
  <c r="AE13" i="43" s="1"/>
  <c r="AA11" i="43"/>
  <c r="AA13" i="43" s="1"/>
  <c r="J22" i="43"/>
  <c r="B113" i="43"/>
  <c r="B115" i="43" s="1"/>
  <c r="C115" i="43" s="1"/>
  <c r="F101" i="43"/>
  <c r="F104" i="43" s="1"/>
  <c r="E22" i="43"/>
  <c r="C101" i="43"/>
  <c r="C104" i="43" s="1"/>
  <c r="N104" i="46"/>
  <c r="H22" i="43"/>
  <c r="H101" i="43"/>
  <c r="H107" i="43" s="1"/>
  <c r="M101" i="43"/>
  <c r="M109" i="43" s="1"/>
  <c r="E101" i="43"/>
  <c r="E104" i="43" s="1"/>
  <c r="AJ11" i="43"/>
  <c r="AJ13" i="43" s="1"/>
  <c r="AF11" i="43"/>
  <c r="AB11" i="43"/>
  <c r="AB13" i="43" s="1"/>
  <c r="Z7" i="43"/>
  <c r="AG11" i="43"/>
  <c r="AC11" i="43"/>
  <c r="Y11" i="43"/>
  <c r="Y13" i="43" s="1"/>
  <c r="AR11" i="1"/>
  <c r="K102" i="43"/>
  <c r="G15" i="3"/>
  <c r="E5" i="6"/>
  <c r="D9" i="11" s="1"/>
  <c r="C9" i="11" s="1"/>
  <c r="J109" i="43"/>
  <c r="AR10" i="1"/>
  <c r="J107" i="43"/>
  <c r="T13" i="1"/>
  <c r="N107" i="43"/>
  <c r="L27" i="6"/>
  <c r="BA15" i="3"/>
  <c r="BA5" i="3" s="1"/>
  <c r="E27" i="6" s="1"/>
  <c r="BD5" i="3"/>
  <c r="BP5" i="3"/>
  <c r="G29" i="6" s="1"/>
  <c r="BO5" i="3"/>
  <c r="F28" i="6"/>
  <c r="BR5" i="3"/>
  <c r="BL15" i="3"/>
  <c r="AZ15" i="3" s="1"/>
  <c r="AQ12" i="1"/>
  <c r="E2" i="70"/>
  <c r="AZ13" i="3"/>
  <c r="D117" i="43"/>
  <c r="E117" i="43" s="1"/>
  <c r="F117" i="43" s="1"/>
  <c r="G117" i="43" s="1"/>
  <c r="H117" i="43" s="1"/>
  <c r="BJ5" i="3"/>
  <c r="BF5" i="3"/>
  <c r="E10" i="6" s="1"/>
  <c r="G28" i="6"/>
  <c r="E28" i="6" s="1"/>
  <c r="D102" i="43"/>
  <c r="T9" i="1"/>
  <c r="AQ9" i="1"/>
  <c r="T11" i="1"/>
  <c r="AQ13" i="1"/>
  <c r="G109" i="43"/>
  <c r="T10" i="1"/>
  <c r="G103" i="43"/>
  <c r="E51" i="40"/>
  <c r="T12" i="1"/>
  <c r="E14" i="6"/>
  <c r="O10" i="1"/>
  <c r="P10" i="1" s="1"/>
  <c r="F29" i="6"/>
  <c r="F102" i="43"/>
  <c r="H59" i="43"/>
  <c r="H61" i="43"/>
  <c r="H63" i="43"/>
  <c r="H64" i="43"/>
  <c r="H65" i="43"/>
  <c r="F38" i="43"/>
  <c r="C6" i="43"/>
  <c r="F34" i="43"/>
  <c r="F33" i="43"/>
  <c r="H84" i="43"/>
  <c r="H85" i="43"/>
  <c r="H17" i="43"/>
  <c r="H87" i="43"/>
  <c r="H86" i="43"/>
  <c r="J17" i="43"/>
  <c r="I17" i="43"/>
  <c r="E17" i="43"/>
  <c r="F36" i="43"/>
  <c r="T35" i="4"/>
  <c r="A19" i="51" s="1"/>
  <c r="B14" i="72" s="1"/>
  <c r="G6" i="1"/>
  <c r="G7" i="1"/>
  <c r="G13" i="1"/>
  <c r="G11" i="1"/>
  <c r="G9" i="1"/>
  <c r="G10" i="1"/>
  <c r="G8" i="1"/>
  <c r="B22" i="49"/>
  <c r="A2" i="9"/>
  <c r="A4" i="52"/>
  <c r="B41" i="72" s="1"/>
  <c r="D19" i="53"/>
  <c r="E9" i="49"/>
  <c r="C77" i="9"/>
  <c r="C74" i="9" s="1"/>
  <c r="D52" i="37"/>
  <c r="E52" i="37" s="1"/>
  <c r="F52" i="37" s="1"/>
  <c r="G52" i="37" s="1"/>
  <c r="H52" i="37" s="1"/>
  <c r="I52" i="37" s="1"/>
  <c r="J52" i="37" s="1"/>
  <c r="K52" i="37" s="1"/>
  <c r="L52" i="37" s="1"/>
  <c r="M52" i="37" s="1"/>
  <c r="N52" i="37" s="1"/>
  <c r="O52" i="37" s="1"/>
  <c r="F7" i="37"/>
  <c r="P25" i="43"/>
  <c r="P23" i="43"/>
  <c r="B71" i="39" s="1"/>
  <c r="C36" i="11"/>
  <c r="C13" i="12"/>
  <c r="J7" i="35"/>
  <c r="C24" i="12"/>
  <c r="M47" i="9"/>
  <c r="C7" i="40"/>
  <c r="C63" i="40" s="1"/>
  <c r="C7" i="33"/>
  <c r="C58" i="33" s="1"/>
  <c r="C7" i="39"/>
  <c r="C68" i="39" s="1"/>
  <c r="C7" i="36"/>
  <c r="C46" i="36" s="1"/>
  <c r="D46" i="36" s="1"/>
  <c r="J1" i="73"/>
  <c r="I14" i="74"/>
  <c r="B8" i="74" s="1"/>
  <c r="D127" i="9"/>
  <c r="D13" i="52" s="1"/>
  <c r="D12" i="52"/>
  <c r="L59" i="34"/>
  <c r="M59" i="34" s="1"/>
  <c r="N59" i="34" s="1"/>
  <c r="O59" i="34" s="1"/>
  <c r="J7" i="34"/>
  <c r="H7" i="34"/>
  <c r="D58" i="21"/>
  <c r="AZ503" i="3"/>
  <c r="D17" i="53"/>
  <c r="B36" i="72" s="1"/>
  <c r="L68" i="9"/>
  <c r="M68" i="9" s="1"/>
  <c r="L65" i="9"/>
  <c r="M65" i="9" s="1"/>
  <c r="F7" i="34"/>
  <c r="O11" i="1"/>
  <c r="P11" i="1" s="1"/>
  <c r="E46" i="36"/>
  <c r="C70" i="39"/>
  <c r="D68" i="39"/>
  <c r="O12" i="1"/>
  <c r="P12" i="1" s="1"/>
  <c r="AZ557" i="3"/>
  <c r="J7" i="37"/>
  <c r="F7" i="35"/>
  <c r="H7" i="35"/>
  <c r="H7" i="37"/>
  <c r="W17" i="21"/>
  <c r="U12" i="37"/>
  <c r="S12" i="34"/>
  <c r="AA12" i="34"/>
  <c r="AZ534" i="3"/>
  <c r="AZ542" i="3"/>
  <c r="AZ556" i="3"/>
  <c r="U46" i="33"/>
  <c r="S44" i="33"/>
  <c r="AA44" i="33"/>
  <c r="S14" i="33"/>
  <c r="AA14" i="33"/>
  <c r="AC9" i="34"/>
  <c r="W9" i="34"/>
  <c r="AC34" i="35"/>
  <c r="W34" i="35"/>
  <c r="AC31" i="40"/>
  <c r="W31" i="40"/>
  <c r="O8" i="1"/>
  <c r="W29" i="33"/>
  <c r="S45" i="33"/>
  <c r="AC30" i="34"/>
  <c r="W11" i="35"/>
  <c r="S11" i="36"/>
  <c r="AB11" i="36"/>
  <c r="H9" i="34"/>
  <c r="F34" i="35"/>
  <c r="H34" i="35"/>
  <c r="J36" i="35"/>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395" i="3"/>
  <c r="AZ208" i="3"/>
  <c r="AZ211" i="3"/>
  <c r="AZ219" i="3"/>
  <c r="AZ236" i="3"/>
  <c r="AZ252" i="3"/>
  <c r="AZ264" i="3"/>
  <c r="AZ282" i="3"/>
  <c r="AZ285" i="3"/>
  <c r="AZ290" i="3"/>
  <c r="AZ293" i="3"/>
  <c r="AZ207" i="3"/>
  <c r="AZ22" i="3"/>
  <c r="AZ25" i="3"/>
  <c r="AZ38" i="3"/>
  <c r="AZ48" i="3"/>
  <c r="AZ52" i="3"/>
  <c r="AZ64" i="3"/>
  <c r="AZ68" i="3"/>
  <c r="AZ108" i="3"/>
  <c r="F3" i="35"/>
  <c r="C19" i="71"/>
  <c r="D18" i="71"/>
  <c r="X17" i="71"/>
  <c r="X18" i="71"/>
  <c r="X19" i="71"/>
  <c r="AA23" i="71"/>
  <c r="AA21" i="71"/>
  <c r="O52" i="71"/>
  <c r="C51" i="71"/>
  <c r="V52" i="71"/>
  <c r="F51" i="71"/>
  <c r="T60" i="71"/>
  <c r="C59" i="71"/>
  <c r="D68" i="71"/>
  <c r="C67" i="71"/>
  <c r="Z12" i="43"/>
  <c r="Z13" i="43" s="1"/>
  <c r="Z10" i="43"/>
  <c r="AD12" i="43"/>
  <c r="AD10" i="43"/>
  <c r="AF12" i="43"/>
  <c r="AF10" i="43"/>
  <c r="AH12" i="43"/>
  <c r="AH13" i="43" s="1"/>
  <c r="AH10" i="43"/>
  <c r="P61" i="67"/>
  <c r="P74" i="67"/>
  <c r="AA8" i="71"/>
  <c r="AA7" i="71"/>
  <c r="E8" i="71"/>
  <c r="B8" i="71"/>
  <c r="X8" i="71"/>
  <c r="AA5" i="71"/>
  <c r="AA6" i="71"/>
  <c r="AA3" i="71"/>
  <c r="AB5" i="71"/>
  <c r="AB3" i="71"/>
  <c r="D23" i="67"/>
  <c r="S18" i="35"/>
  <c r="S29" i="39"/>
  <c r="C29" i="39"/>
  <c r="B66" i="43"/>
  <c r="C28" i="71"/>
  <c r="D12" i="71"/>
  <c r="U12" i="71" s="1"/>
  <c r="AA9" i="71"/>
  <c r="AB9" i="71"/>
  <c r="C71" i="71"/>
  <c r="E63" i="71"/>
  <c r="E62" i="71" s="1"/>
  <c r="D60" i="71"/>
  <c r="D52" i="71"/>
  <c r="B50" i="71"/>
  <c r="AB10" i="71"/>
  <c r="AB12" i="71"/>
  <c r="C23" i="71"/>
  <c r="X12" i="71"/>
  <c r="X9" i="71"/>
  <c r="Y21" i="71"/>
  <c r="Z21" i="71" s="1"/>
  <c r="AA18" i="71"/>
  <c r="Y17" i="71"/>
  <c r="Z17" i="71" s="1"/>
  <c r="X16" i="71"/>
  <c r="X14" i="71"/>
  <c r="C15" i="71"/>
  <c r="E24" i="71"/>
  <c r="U24" i="71" s="1"/>
  <c r="B20" i="71"/>
  <c r="S20" i="71" s="1"/>
  <c r="AA13" i="71"/>
  <c r="B16" i="71"/>
  <c r="S16" i="71" s="1"/>
  <c r="B12" i="71"/>
  <c r="X10" i="71"/>
  <c r="Y13" i="71"/>
  <c r="Z13" i="71" s="1"/>
  <c r="Y3" i="71"/>
  <c r="Z3" i="71" s="1"/>
  <c r="Y9" i="71"/>
  <c r="Z9" i="71" s="1"/>
  <c r="Y10" i="71"/>
  <c r="Z10" i="71" s="1"/>
  <c r="Y11" i="71"/>
  <c r="Z11" i="71" s="1"/>
  <c r="Y12" i="71"/>
  <c r="Z12" i="71" s="1"/>
  <c r="AB13" i="71"/>
  <c r="F14" i="71"/>
  <c r="F15" i="71" s="1"/>
  <c r="F16" i="71" s="1"/>
  <c r="V16" i="71" s="1"/>
  <c r="Y15" i="71"/>
  <c r="Z15" i="71" s="1"/>
  <c r="AA14" i="71"/>
  <c r="AA15" i="71"/>
  <c r="AA10" i="71"/>
  <c r="AA12" i="71"/>
  <c r="Y16" i="71"/>
  <c r="Z16" i="71" s="1"/>
  <c r="AB16" i="71"/>
  <c r="Y19" i="71"/>
  <c r="Z19" i="71" s="1"/>
  <c r="AA17" i="71"/>
  <c r="AA16" i="71"/>
  <c r="Y20" i="71"/>
  <c r="Z20" i="71" s="1"/>
  <c r="P52" i="71"/>
  <c r="E51" i="71"/>
  <c r="AJ10" i="43"/>
  <c r="AB8" i="71"/>
  <c r="X5" i="71"/>
  <c r="X3" i="71"/>
  <c r="AC12" i="43"/>
  <c r="AC10" i="43"/>
  <c r="AG12" i="43"/>
  <c r="AG13" i="43" s="1"/>
  <c r="AG10" i="43"/>
  <c r="Y7" i="71"/>
  <c r="Z7" i="71" s="1"/>
  <c r="C8" i="71"/>
  <c r="Y8" i="71"/>
  <c r="Z8" i="71" s="1"/>
  <c r="AB7" i="71"/>
  <c r="Y6" i="71"/>
  <c r="Z6" i="71" s="1"/>
  <c r="AB6" i="71"/>
  <c r="X6" i="71"/>
  <c r="X7" i="71"/>
  <c r="Y5" i="71"/>
  <c r="Z5" i="71" s="1"/>
  <c r="E14" i="49"/>
  <c r="E15" i="49"/>
  <c r="E11" i="49"/>
  <c r="E13" i="49"/>
  <c r="B15" i="49"/>
  <c r="B16" i="49"/>
  <c r="E16" i="49"/>
  <c r="B14" i="49"/>
  <c r="B11" i="49"/>
  <c r="E22" i="49"/>
  <c r="E4" i="49"/>
  <c r="B6" i="49"/>
  <c r="E21" i="49"/>
  <c r="B9" i="49"/>
  <c r="C4" i="4" s="1"/>
  <c r="B4" i="62" s="1"/>
  <c r="B71" i="72" s="1"/>
  <c r="B5" i="49"/>
  <c r="B7" i="49"/>
  <c r="B8" i="49"/>
  <c r="B4" i="49"/>
  <c r="E5" i="49"/>
  <c r="E10" i="49"/>
  <c r="E8" i="49"/>
  <c r="B13" i="49"/>
  <c r="E4" i="4" s="1"/>
  <c r="B5" i="62" s="1"/>
  <c r="B73" i="72" s="1"/>
  <c r="E6" i="49"/>
  <c r="E7" i="49"/>
  <c r="B10" i="49"/>
  <c r="C23" i="12"/>
  <c r="B20" i="31"/>
  <c r="F70" i="67"/>
  <c r="F71" i="15"/>
  <c r="F64" i="67"/>
  <c r="F65" i="67"/>
  <c r="L56" i="15"/>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B9" i="70"/>
  <c r="F59" i="15"/>
  <c r="M17" i="15"/>
  <c r="M17" i="67"/>
  <c r="F59" i="67"/>
  <c r="D7" i="73"/>
  <c r="C14" i="15"/>
  <c r="D4" i="73"/>
  <c r="C14" i="67"/>
  <c r="C17" i="15"/>
  <c r="C36" i="68"/>
  <c r="D6" i="73"/>
  <c r="C36" i="69"/>
  <c r="D5" i="73"/>
  <c r="C17" i="67"/>
  <c r="C16" i="67"/>
  <c r="C34" i="80"/>
  <c r="D3" i="73"/>
  <c r="C16" i="15"/>
  <c r="C33" i="81" l="1"/>
  <c r="C39" i="81" s="1"/>
  <c r="C38" i="80"/>
  <c r="C35" i="80"/>
  <c r="Q61" i="83"/>
  <c r="Q74" i="83"/>
  <c r="F1" i="83"/>
  <c r="Q52" i="83"/>
  <c r="Q66" i="83"/>
  <c r="Q57" i="83"/>
  <c r="Q60" i="83"/>
  <c r="Q73" i="83"/>
  <c r="H54" i="43"/>
  <c r="G54" i="43" s="1"/>
  <c r="H55" i="43"/>
  <c r="G55" i="43" s="1"/>
  <c r="K55" i="43" s="1"/>
  <c r="J55" i="43" s="1"/>
  <c r="D55" i="43" s="1"/>
  <c r="H49" i="43"/>
  <c r="G49" i="43" s="1"/>
  <c r="M51" i="43"/>
  <c r="N51" i="43" s="1"/>
  <c r="K51" i="43"/>
  <c r="M56" i="43"/>
  <c r="N56" i="43" s="1"/>
  <c r="K56" i="43"/>
  <c r="J56" i="43" s="1"/>
  <c r="M53" i="43"/>
  <c r="N53" i="43" s="1"/>
  <c r="K53" i="43"/>
  <c r="K48" i="43"/>
  <c r="M48" i="43"/>
  <c r="N48" i="43" s="1"/>
  <c r="K52" i="43"/>
  <c r="J52" i="43" s="1"/>
  <c r="M52" i="43"/>
  <c r="N52" i="43" s="1"/>
  <c r="K54" i="43"/>
  <c r="M54" i="43"/>
  <c r="N54" i="43" s="1"/>
  <c r="M55" i="43"/>
  <c r="N55" i="43" s="1"/>
  <c r="M49" i="43"/>
  <c r="N49" i="43" s="1"/>
  <c r="K49" i="43"/>
  <c r="K50" i="43"/>
  <c r="M50" i="43"/>
  <c r="N50" i="43" s="1"/>
  <c r="C19" i="83"/>
  <c r="C20" i="83" s="1"/>
  <c r="C26" i="83" s="1"/>
  <c r="F11" i="83"/>
  <c r="M11" i="83"/>
  <c r="J10" i="83" s="1"/>
  <c r="J5" i="83" s="1"/>
  <c r="C46" i="81"/>
  <c r="C45" i="81" s="1"/>
  <c r="F1" i="67"/>
  <c r="Q52" i="67"/>
  <c r="E20" i="78"/>
  <c r="D51" i="78"/>
  <c r="J51" i="78"/>
  <c r="J53" i="78"/>
  <c r="D53" i="78"/>
  <c r="J48" i="78"/>
  <c r="D48" i="78"/>
  <c r="J54" i="78"/>
  <c r="D54" i="78"/>
  <c r="J50" i="78"/>
  <c r="D50" i="78"/>
  <c r="J49" i="78"/>
  <c r="D49" i="78"/>
  <c r="F1" i="15"/>
  <c r="Q52" i="15"/>
  <c r="C16" i="43"/>
  <c r="D5" i="43" s="1"/>
  <c r="F30" i="68"/>
  <c r="F28" i="67"/>
  <c r="C28" i="67" s="1"/>
  <c r="F52" i="9"/>
  <c r="F32" i="67"/>
  <c r="F60" i="67" s="1"/>
  <c r="F32" i="15"/>
  <c r="F60" i="15" s="1"/>
  <c r="F28" i="15"/>
  <c r="C28" i="15" s="1"/>
  <c r="F54" i="9"/>
  <c r="F53" i="9"/>
  <c r="F30" i="11"/>
  <c r="F31" i="12"/>
  <c r="C31" i="12" s="1"/>
  <c r="M18" i="67"/>
  <c r="F30" i="69"/>
  <c r="M18" i="15"/>
  <c r="D68" i="9"/>
  <c r="G5" i="3"/>
  <c r="B3" i="3" s="1"/>
  <c r="E15" i="3" s="1"/>
  <c r="AZ14" i="3"/>
  <c r="E29" i="6"/>
  <c r="AC13" i="43"/>
  <c r="AF13" i="43"/>
  <c r="AD13" i="43"/>
  <c r="J105" i="43"/>
  <c r="I117" i="43"/>
  <c r="J117" i="43" s="1"/>
  <c r="K117" i="43" s="1"/>
  <c r="L117" i="43" s="1"/>
  <c r="M117" i="43" s="1"/>
  <c r="D115" i="43"/>
  <c r="E115" i="43" s="1"/>
  <c r="F115" i="43" s="1"/>
  <c r="G115" i="43" s="1"/>
  <c r="H115" i="43" s="1"/>
  <c r="D103" i="43"/>
  <c r="E102" i="43"/>
  <c r="F30" i="6"/>
  <c r="F31" i="6" s="1"/>
  <c r="H16" i="1"/>
  <c r="N106" i="43"/>
  <c r="D118" i="43"/>
  <c r="E118" i="43" s="1"/>
  <c r="F118" i="43" s="1"/>
  <c r="D105" i="43"/>
  <c r="G118" i="43"/>
  <c r="H118" i="43" s="1"/>
  <c r="H102" i="43"/>
  <c r="E56" i="39"/>
  <c r="N105" i="43"/>
  <c r="BL5" i="3"/>
  <c r="L104" i="43"/>
  <c r="F106" i="43"/>
  <c r="C106" i="43"/>
  <c r="C103" i="43"/>
  <c r="Q16" i="1"/>
  <c r="H105" i="43"/>
  <c r="E106" i="43"/>
  <c r="E105" i="43"/>
  <c r="H109" i="43"/>
  <c r="N103" i="43"/>
  <c r="J103" i="43"/>
  <c r="I118" i="43"/>
  <c r="J118" i="43" s="1"/>
  <c r="K118" i="43" s="1"/>
  <c r="L118" i="43" s="1"/>
  <c r="M118" i="43" s="1"/>
  <c r="B116" i="43"/>
  <c r="C116" i="43" s="1"/>
  <c r="N104" i="43"/>
  <c r="D106" i="43"/>
  <c r="I115" i="43"/>
  <c r="J115" i="43" s="1"/>
  <c r="K115" i="43" s="1"/>
  <c r="L115" i="43" s="1"/>
  <c r="M115" i="43" s="1"/>
  <c r="B117" i="43"/>
  <c r="C117" i="43" s="1"/>
  <c r="D107" i="43"/>
  <c r="B118" i="43"/>
  <c r="C118" i="43" s="1"/>
  <c r="D116" i="43"/>
  <c r="E116" i="43" s="1"/>
  <c r="F116" i="43" s="1"/>
  <c r="G116" i="43" s="1"/>
  <c r="H116" i="43" s="1"/>
  <c r="I116" i="43"/>
  <c r="J116" i="43" s="1"/>
  <c r="K116" i="43" s="1"/>
  <c r="L116" i="43" s="1"/>
  <c r="M116" i="43" s="1"/>
  <c r="D104" i="43"/>
  <c r="N109" i="43"/>
  <c r="D22" i="43"/>
  <c r="E107" i="43"/>
  <c r="H106" i="43"/>
  <c r="E109" i="43"/>
  <c r="H103" i="43"/>
  <c r="H104" i="43"/>
  <c r="E103" i="43"/>
  <c r="E13" i="6"/>
  <c r="E63" i="39" s="1"/>
  <c r="M107" i="43"/>
  <c r="L102" i="43"/>
  <c r="K107" i="43"/>
  <c r="K105" i="43"/>
  <c r="I107" i="43"/>
  <c r="F109" i="43"/>
  <c r="I106" i="43"/>
  <c r="L106" i="43"/>
  <c r="G107" i="43"/>
  <c r="K109" i="43"/>
  <c r="F103" i="43"/>
  <c r="L105" i="43"/>
  <c r="F105" i="43"/>
  <c r="M102" i="43"/>
  <c r="C105" i="43"/>
  <c r="K104" i="43"/>
  <c r="G106" i="43"/>
  <c r="C109" i="43"/>
  <c r="I104" i="43"/>
  <c r="I105" i="43"/>
  <c r="L107" i="43"/>
  <c r="C107" i="43"/>
  <c r="C102" i="43"/>
  <c r="S2" i="43" s="1"/>
  <c r="L103" i="43"/>
  <c r="F107" i="43"/>
  <c r="I102" i="43"/>
  <c r="K106" i="43"/>
  <c r="I103" i="43"/>
  <c r="E26" i="3"/>
  <c r="E463" i="3"/>
  <c r="E420" i="3"/>
  <c r="E401" i="3"/>
  <c r="E470" i="3"/>
  <c r="E483" i="3"/>
  <c r="E452" i="3"/>
  <c r="E419" i="3"/>
  <c r="E494" i="3"/>
  <c r="E577" i="3"/>
  <c r="AE6" i="3"/>
  <c r="E587" i="3"/>
  <c r="E344" i="3"/>
  <c r="E465" i="3"/>
  <c r="E424" i="3"/>
  <c r="E406" i="3"/>
  <c r="E481" i="3"/>
  <c r="E472" i="3"/>
  <c r="E437" i="3"/>
  <c r="E560" i="3"/>
  <c r="Q6" i="3"/>
  <c r="K6" i="3"/>
  <c r="E330" i="3"/>
  <c r="E141" i="3"/>
  <c r="E167" i="3"/>
  <c r="E212" i="3"/>
  <c r="E149" i="3"/>
  <c r="E221" i="3"/>
  <c r="E254" i="3"/>
  <c r="E130" i="3"/>
  <c r="E230" i="3"/>
  <c r="E294" i="3"/>
  <c r="E320" i="3"/>
  <c r="E407" i="3"/>
  <c r="V6" i="3"/>
  <c r="E551" i="3"/>
  <c r="E559" i="3"/>
  <c r="E358" i="3"/>
  <c r="E128" i="3"/>
  <c r="E205" i="3"/>
  <c r="E352" i="3"/>
  <c r="E510" i="3"/>
  <c r="E545" i="3"/>
  <c r="E329" i="3"/>
  <c r="N6" i="3"/>
  <c r="E282" i="3"/>
  <c r="E553" i="3"/>
  <c r="E36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G105" i="43"/>
  <c r="G102" i="43"/>
  <c r="M104" i="43"/>
  <c r="M105" i="43"/>
  <c r="M103" i="43"/>
  <c r="M106" i="43"/>
  <c r="J104" i="43"/>
  <c r="J106" i="43"/>
  <c r="D19" i="12"/>
  <c r="C19" i="12" s="1"/>
  <c r="E15" i="6"/>
  <c r="E65" i="39" s="1"/>
  <c r="AZ5" i="3"/>
  <c r="E3" i="6" s="1"/>
  <c r="S4" i="43"/>
  <c r="O7" i="1"/>
  <c r="P7" i="1" s="1"/>
  <c r="C23" i="43"/>
  <c r="C21" i="43" s="1"/>
  <c r="C15" i="15"/>
  <c r="C18" i="15"/>
  <c r="K20" i="6"/>
  <c r="K22" i="6"/>
  <c r="M22" i="6" s="1"/>
  <c r="I22" i="6" s="1"/>
  <c r="S22" i="6" s="1"/>
  <c r="K23" i="6"/>
  <c r="M23" i="6" s="1"/>
  <c r="I23" i="6" s="1"/>
  <c r="S23" i="6" s="1"/>
  <c r="K21" i="6"/>
  <c r="K19" i="6"/>
  <c r="K14" i="1"/>
  <c r="M14" i="1" s="1"/>
  <c r="K25" i="6"/>
  <c r="M25" i="6" s="1"/>
  <c r="I25" i="6" s="1"/>
  <c r="S25" i="6" s="1"/>
  <c r="K24" i="6"/>
  <c r="M24" i="6" s="1"/>
  <c r="I24" i="6" s="1"/>
  <c r="S24" i="6" s="1"/>
  <c r="K26" i="6"/>
  <c r="M26" i="6" s="1"/>
  <c r="I26" i="6" s="1"/>
  <c r="S26" i="6" s="1"/>
  <c r="E12" i="6"/>
  <c r="G30" i="6"/>
  <c r="G31" i="6" s="1"/>
  <c r="E11" i="6"/>
  <c r="E61" i="39" s="1"/>
  <c r="P8" i="1"/>
  <c r="E64" i="39"/>
  <c r="E59" i="40"/>
  <c r="C5" i="43"/>
  <c r="G16" i="1"/>
  <c r="H10" i="40" s="1"/>
  <c r="U10" i="40" s="1"/>
  <c r="B38" i="72"/>
  <c r="D20" i="53"/>
  <c r="B40" i="72" s="1"/>
  <c r="K4" i="4"/>
  <c r="B46" i="48" s="1"/>
  <c r="B4" i="72" s="1"/>
  <c r="E20" i="43"/>
  <c r="P17" i="43" s="1"/>
  <c r="K1" i="73"/>
  <c r="D58" i="33"/>
  <c r="E58" i="33" s="1"/>
  <c r="F58" i="33" s="1"/>
  <c r="G58" i="33" s="1"/>
  <c r="H58" i="33" s="1"/>
  <c r="I58" i="33" s="1"/>
  <c r="J58" i="33" s="1"/>
  <c r="K58" i="33" s="1"/>
  <c r="L58" i="33" s="1"/>
  <c r="M58" i="33" s="1"/>
  <c r="N58" i="33" s="1"/>
  <c r="O58" i="33" s="1"/>
  <c r="J7" i="33"/>
  <c r="H7" i="33"/>
  <c r="F7" i="33"/>
  <c r="S7" i="37"/>
  <c r="AA7" i="37"/>
  <c r="R42" i="37" s="1"/>
  <c r="D63" i="40"/>
  <c r="C65" i="40"/>
  <c r="AC7" i="35"/>
  <c r="V38" i="35" s="1"/>
  <c r="I38" i="35" s="1"/>
  <c r="I42" i="35" s="1"/>
  <c r="J42" i="35" s="1"/>
  <c r="W7" i="35"/>
  <c r="D15" i="71"/>
  <c r="C16" i="71"/>
  <c r="D23" i="71"/>
  <c r="C24" i="71"/>
  <c r="E7" i="71"/>
  <c r="E6" i="71" s="1"/>
  <c r="E5" i="71" s="1"/>
  <c r="V8" i="71"/>
  <c r="D67" i="71"/>
  <c r="C66" i="71"/>
  <c r="D66" i="71" s="1"/>
  <c r="C58" i="71"/>
  <c r="D58" i="71" s="1"/>
  <c r="D59" i="71"/>
  <c r="Q51" i="71"/>
  <c r="F50" i="71"/>
  <c r="O51" i="71"/>
  <c r="D51" i="71"/>
  <c r="C50" i="71"/>
  <c r="D19" i="71"/>
  <c r="C20" i="71"/>
  <c r="AB34" i="35"/>
  <c r="U34" i="35"/>
  <c r="U9" i="34"/>
  <c r="AB9" i="34"/>
  <c r="S7" i="35"/>
  <c r="AA7" i="35"/>
  <c r="R38" i="35" s="1"/>
  <c r="S7" i="34"/>
  <c r="AA7" i="34"/>
  <c r="R49" i="34" s="1"/>
  <c r="U7" i="34"/>
  <c r="AB7" i="34"/>
  <c r="T49" i="34" s="1"/>
  <c r="G49" i="34" s="1"/>
  <c r="C7" i="71"/>
  <c r="T8" i="71"/>
  <c r="D8" i="71"/>
  <c r="U8" i="71" s="1"/>
  <c r="E50" i="71"/>
  <c r="P51" i="71"/>
  <c r="S12" i="71"/>
  <c r="B11" i="71"/>
  <c r="B10" i="71" s="1"/>
  <c r="N49" i="71"/>
  <c r="N50" i="71"/>
  <c r="D71" i="71"/>
  <c r="C70" i="71"/>
  <c r="D70" i="71" s="1"/>
  <c r="T28" i="71"/>
  <c r="D28" i="71"/>
  <c r="B7" i="71"/>
  <c r="B6" i="71" s="1"/>
  <c r="B5" i="71" s="1"/>
  <c r="S8" i="71"/>
  <c r="AC36" i="35"/>
  <c r="W36" i="35"/>
  <c r="AA34" i="35"/>
  <c r="S34" i="35"/>
  <c r="U7" i="37"/>
  <c r="AB7" i="37"/>
  <c r="T42" i="37" s="1"/>
  <c r="G42" i="37" s="1"/>
  <c r="AB7" i="35"/>
  <c r="T38" i="35" s="1"/>
  <c r="G38" i="35" s="1"/>
  <c r="U7" i="35"/>
  <c r="AC7" i="37"/>
  <c r="V42" i="37" s="1"/>
  <c r="I42" i="37" s="1"/>
  <c r="W7" i="37"/>
  <c r="D70" i="39"/>
  <c r="E68" i="39"/>
  <c r="F46" i="36"/>
  <c r="E30" i="6"/>
  <c r="E31" i="6" s="1"/>
  <c r="K15" i="1"/>
  <c r="E58" i="21"/>
  <c r="AC7" i="34"/>
  <c r="V49" i="34" s="1"/>
  <c r="I49" i="34" s="1"/>
  <c r="W7" i="34"/>
  <c r="C49" i="67"/>
  <c r="C18" i="67"/>
  <c r="C15" i="67"/>
  <c r="Q73" i="15"/>
  <c r="Q60" i="15"/>
  <c r="C49" i="15"/>
  <c r="Q73" i="67"/>
  <c r="Q60" i="67"/>
  <c r="Q74" i="15"/>
  <c r="Q61" i="15"/>
  <c r="Q61" i="67"/>
  <c r="Q74" i="67"/>
  <c r="M11" i="15"/>
  <c r="J10" i="15" s="1"/>
  <c r="J5" i="15" s="1"/>
  <c r="M11" i="67"/>
  <c r="J10" i="67" s="1"/>
  <c r="F11" i="15"/>
  <c r="F11" i="67"/>
  <c r="J6" i="67"/>
  <c r="D9" i="69"/>
  <c r="AE6" i="1"/>
  <c r="AE7" i="1"/>
  <c r="G1" i="73"/>
  <c r="D9" i="68"/>
  <c r="AE8" i="1"/>
  <c r="F27" i="68"/>
  <c r="F41" i="67"/>
  <c r="C33" i="80" l="1"/>
  <c r="C39" i="80" s="1"/>
  <c r="C46" i="80" s="1"/>
  <c r="C45" i="80" s="1"/>
  <c r="D49" i="43"/>
  <c r="J49" i="43"/>
  <c r="D53" i="43"/>
  <c r="J53" i="43"/>
  <c r="D51" i="43"/>
  <c r="J51" i="43"/>
  <c r="J50" i="43"/>
  <c r="D50" i="43"/>
  <c r="J54" i="43"/>
  <c r="D54" i="43"/>
  <c r="J48" i="43"/>
  <c r="D48" i="43"/>
  <c r="J26" i="83"/>
  <c r="J24" i="83"/>
  <c r="J18" i="83"/>
  <c r="C53" i="83"/>
  <c r="C48" i="83" s="1"/>
  <c r="C10" i="83"/>
  <c r="C5" i="83" s="1"/>
  <c r="C9" i="69"/>
  <c r="F69" i="67"/>
  <c r="E48" i="78"/>
  <c r="B46" i="78" s="1"/>
  <c r="C24" i="78" s="1"/>
  <c r="P17" i="78"/>
  <c r="N17" i="78"/>
  <c r="O17" i="78"/>
  <c r="M17" i="78"/>
  <c r="C29" i="68"/>
  <c r="D27" i="68" s="1"/>
  <c r="C9" i="68"/>
  <c r="C48" i="11"/>
  <c r="C30" i="11"/>
  <c r="C30" i="68"/>
  <c r="C48" i="68"/>
  <c r="C30" i="69"/>
  <c r="C48" i="69"/>
  <c r="E125" i="3"/>
  <c r="E217" i="3"/>
  <c r="E268" i="3"/>
  <c r="AJ6" i="3"/>
  <c r="E567" i="3"/>
  <c r="E227" i="3"/>
  <c r="E311" i="3"/>
  <c r="E570" i="3"/>
  <c r="AB6" i="3"/>
  <c r="E335" i="3"/>
  <c r="E189" i="3"/>
  <c r="E91" i="3"/>
  <c r="E77" i="3"/>
  <c r="E199" i="3"/>
  <c r="E519" i="3"/>
  <c r="E573" i="3"/>
  <c r="E458" i="3"/>
  <c r="E527" i="3"/>
  <c r="E457" i="3"/>
  <c r="E562" i="3"/>
  <c r="E571"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526" i="3"/>
  <c r="E539" i="3"/>
  <c r="E165" i="3"/>
  <c r="M6" i="3"/>
  <c r="E215" i="3"/>
  <c r="E180" i="3"/>
  <c r="E313" i="3"/>
  <c r="E529" i="3"/>
  <c r="E438" i="3"/>
  <c r="W6" i="3"/>
  <c r="E450" i="3"/>
  <c r="E43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AC6" i="3" s="1"/>
  <c r="E80" i="3"/>
  <c r="E158" i="3"/>
  <c r="E265" i="3"/>
  <c r="E365" i="3"/>
  <c r="E524" i="3"/>
  <c r="E101"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322" i="3"/>
  <c r="E514" i="3"/>
  <c r="E134" i="3"/>
  <c r="E532" i="3"/>
  <c r="E288" i="3"/>
  <c r="E471" i="3"/>
  <c r="E104" i="3"/>
  <c r="E115" i="3"/>
  <c r="E139" i="3"/>
  <c r="E281" i="3"/>
  <c r="E332" i="3"/>
  <c r="E356" i="3"/>
  <c r="E42" i="3"/>
  <c r="E488" i="3"/>
  <c r="E18" i="3"/>
  <c r="E190" i="3"/>
  <c r="E235" i="3"/>
  <c r="E522" i="3"/>
  <c r="E49" i="3"/>
  <c r="E370" i="3"/>
  <c r="E113" i="3"/>
  <c r="E308" i="3"/>
  <c r="E22" i="3"/>
  <c r="E237" i="3"/>
  <c r="E304" i="3"/>
  <c r="E565" i="3"/>
  <c r="E213" i="3"/>
  <c r="E17" i="3"/>
  <c r="E302" i="3"/>
  <c r="O6" i="3"/>
  <c r="E574" i="3"/>
  <c r="E359" i="3"/>
  <c r="E285" i="3"/>
  <c r="E97" i="3"/>
  <c r="E314" i="3"/>
  <c r="E511" i="3"/>
  <c r="E16" i="3"/>
  <c r="AK6" i="3"/>
  <c r="E434" i="3"/>
  <c r="E306" i="3"/>
  <c r="E296" i="3"/>
  <c r="E262"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81" i="3"/>
  <c r="E157" i="3"/>
  <c r="E140" i="3"/>
  <c r="E85" i="3"/>
  <c r="E223" i="3"/>
  <c r="E238" i="3"/>
  <c r="E197" i="3"/>
  <c r="E116" i="3"/>
  <c r="E173" i="3"/>
  <c r="E105" i="3"/>
  <c r="E327" i="3"/>
  <c r="E379" i="3"/>
  <c r="E576" i="3"/>
  <c r="E557" i="3"/>
  <c r="E461" i="3"/>
  <c r="E387" i="3"/>
  <c r="E253" i="3"/>
  <c r="E474" i="3"/>
  <c r="E537" i="3"/>
  <c r="E475" i="3"/>
  <c r="E41" i="3"/>
  <c r="E198" i="3"/>
  <c r="E225" i="3"/>
  <c r="E243" i="3"/>
  <c r="E391" i="3"/>
  <c r="AL6" i="3"/>
  <c r="E94" i="3"/>
  <c r="E482" i="3"/>
  <c r="E78" i="3"/>
  <c r="E220" i="3"/>
  <c r="E383" i="3"/>
  <c r="E86" i="3"/>
  <c r="E232" i="3"/>
  <c r="E102" i="3"/>
  <c r="E287" i="3"/>
  <c r="E326" i="3"/>
  <c r="E83" i="3"/>
  <c r="E261" i="3"/>
  <c r="E528" i="3"/>
  <c r="E183" i="3"/>
  <c r="E361" i="3"/>
  <c r="E503" i="3"/>
  <c r="E388" i="3"/>
  <c r="E555" i="3"/>
  <c r="E410" i="3"/>
  <c r="E337" i="3"/>
  <c r="E143" i="3"/>
  <c r="E397" i="3"/>
  <c r="E568" i="3"/>
  <c r="I6" i="3"/>
  <c r="H6" i="3" s="1"/>
  <c r="E6" i="3" s="1"/>
  <c r="E536" i="3"/>
  <c r="E549" i="3"/>
  <c r="E453" i="3"/>
  <c r="E368" i="3"/>
  <c r="E244" i="3"/>
  <c r="E196" i="3"/>
  <c r="E191" i="3"/>
  <c r="E99" i="3"/>
  <c r="E188" i="3"/>
  <c r="E228" i="3"/>
  <c r="Z6" i="3"/>
  <c r="AG6" i="3"/>
  <c r="AO6" i="3"/>
  <c r="E448" i="3"/>
  <c r="E485" i="3"/>
  <c r="P6" i="3"/>
  <c r="E400" i="3"/>
  <c r="E443" i="3"/>
  <c r="E345" i="3"/>
  <c r="E558"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585" i="3"/>
  <c r="U6" i="3"/>
  <c r="E515" i="3"/>
  <c r="E411" i="3"/>
  <c r="E478" i="3"/>
  <c r="E548" i="3"/>
  <c r="E414" i="3"/>
  <c r="E432" i="3"/>
  <c r="E477" i="3"/>
  <c r="E367" i="3"/>
  <c r="E505"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58" i="40"/>
  <c r="N17" i="43"/>
  <c r="M21" i="6"/>
  <c r="I21" i="6" s="1"/>
  <c r="S21" i="6" s="1"/>
  <c r="S8" i="1"/>
  <c r="AY6" i="3"/>
  <c r="F27" i="11"/>
  <c r="F28" i="12"/>
  <c r="C29" i="12" s="1"/>
  <c r="D28" i="12" s="1"/>
  <c r="D113" i="43"/>
  <c r="M20" i="6"/>
  <c r="I20" i="6" s="1"/>
  <c r="S20" i="6" s="1"/>
  <c r="S7" i="1"/>
  <c r="S7" i="43"/>
  <c r="E60" i="40"/>
  <c r="S3" i="43"/>
  <c r="S5" i="43"/>
  <c r="S6" i="43"/>
  <c r="C47" i="68"/>
  <c r="D45" i="68" s="1"/>
  <c r="M19" i="6"/>
  <c r="S6" i="1"/>
  <c r="K27" i="6"/>
  <c r="F10" i="39"/>
  <c r="S10" i="39" s="1"/>
  <c r="C19" i="15"/>
  <c r="C20" i="15" s="1"/>
  <c r="C26" i="15" s="1"/>
  <c r="E16" i="6"/>
  <c r="E56" i="40"/>
  <c r="E57" i="40"/>
  <c r="E62" i="39"/>
  <c r="K16" i="1"/>
  <c r="AB10" i="40"/>
  <c r="F10" i="40"/>
  <c r="E66" i="39"/>
  <c r="H10" i="39"/>
  <c r="AB10" i="39" s="1"/>
  <c r="O14" i="1"/>
  <c r="O16" i="1" s="1"/>
  <c r="M16" i="1"/>
  <c r="N16" i="1" s="1"/>
  <c r="J10" i="39"/>
  <c r="J10" i="40"/>
  <c r="O17" i="43"/>
  <c r="M17" i="43"/>
  <c r="G20" i="43" s="1"/>
  <c r="C20" i="43" s="1"/>
  <c r="B40" i="1"/>
  <c r="E42" i="37"/>
  <c r="E46" i="37" s="1"/>
  <c r="F46" i="37" s="1"/>
  <c r="R43" i="37"/>
  <c r="S7" i="33"/>
  <c r="AA7" i="33"/>
  <c r="R48" i="33" s="1"/>
  <c r="W7" i="33"/>
  <c r="AC7" i="33"/>
  <c r="V48" i="33" s="1"/>
  <c r="I48" i="33" s="1"/>
  <c r="D65" i="40"/>
  <c r="E63" i="40"/>
  <c r="AB7" i="33"/>
  <c r="T48" i="33" s="1"/>
  <c r="G48" i="33" s="1"/>
  <c r="U7" i="33"/>
  <c r="I47" i="37"/>
  <c r="J47" i="37" s="1"/>
  <c r="I46" i="37"/>
  <c r="J46" i="37" s="1"/>
  <c r="G42" i="35"/>
  <c r="H42" i="35" s="1"/>
  <c r="G43" i="35"/>
  <c r="H43" i="35" s="1"/>
  <c r="P50" i="71"/>
  <c r="P49" i="71"/>
  <c r="R50" i="34"/>
  <c r="E49" i="34"/>
  <c r="Q50" i="71"/>
  <c r="Q49" i="71"/>
  <c r="T24" i="71"/>
  <c r="D24" i="71"/>
  <c r="T16" i="71"/>
  <c r="D16" i="71"/>
  <c r="D3" i="34"/>
  <c r="D3" i="33"/>
  <c r="D19" i="11"/>
  <c r="C19" i="11" s="1"/>
  <c r="D37" i="11"/>
  <c r="C37" i="11" s="1"/>
  <c r="D14" i="12"/>
  <c r="M18" i="9"/>
  <c r="B118" i="9" s="1"/>
  <c r="B14" i="74" s="1"/>
  <c r="B1" i="74" s="1"/>
  <c r="D3" i="21"/>
  <c r="E6" i="6"/>
  <c r="C17" i="4"/>
  <c r="B4" i="52" s="1"/>
  <c r="B43" i="72" s="1"/>
  <c r="L18" i="9"/>
  <c r="D3" i="37"/>
  <c r="I54" i="34"/>
  <c r="J54" i="34" s="1"/>
  <c r="I53" i="34"/>
  <c r="J53" i="34" s="1"/>
  <c r="F58" i="21"/>
  <c r="G58" i="21" s="1"/>
  <c r="H58" i="21" s="1"/>
  <c r="I58" i="21" s="1"/>
  <c r="J58" i="21" s="1"/>
  <c r="K58" i="21" s="1"/>
  <c r="L58" i="21" s="1"/>
  <c r="M58" i="21" s="1"/>
  <c r="N58" i="21" s="1"/>
  <c r="O58" i="21" s="1"/>
  <c r="J7" i="21" s="1"/>
  <c r="H7" i="21"/>
  <c r="G46" i="36"/>
  <c r="H46" i="36" s="1"/>
  <c r="I46" i="36" s="1"/>
  <c r="J46" i="36" s="1"/>
  <c r="K46" i="36" s="1"/>
  <c r="L46" i="36" s="1"/>
  <c r="M46" i="36" s="1"/>
  <c r="N46" i="36" s="1"/>
  <c r="O46" i="36" s="1"/>
  <c r="F7" i="36"/>
  <c r="F7" i="21"/>
  <c r="J7" i="36"/>
  <c r="F68" i="39"/>
  <c r="E70" i="39"/>
  <c r="G46" i="37"/>
  <c r="H46" i="37" s="1"/>
  <c r="G47" i="37"/>
  <c r="H47" i="37" s="1"/>
  <c r="E47" i="37"/>
  <c r="F47" i="37" s="1"/>
  <c r="C6" i="71"/>
  <c r="D7" i="71"/>
  <c r="G54" i="34"/>
  <c r="H54" i="34" s="1"/>
  <c r="G53" i="34"/>
  <c r="H53" i="34" s="1"/>
  <c r="E38" i="35"/>
  <c r="R39" i="35"/>
  <c r="T20" i="71"/>
  <c r="D20" i="71"/>
  <c r="D50" i="71"/>
  <c r="O50" i="71"/>
  <c r="O49" i="71"/>
  <c r="AY191"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9" i="67"/>
  <c r="C20" i="67" s="1"/>
  <c r="J5" i="67"/>
  <c r="J24" i="67" s="1"/>
  <c r="J24" i="15"/>
  <c r="J26" i="15"/>
  <c r="J18" i="15"/>
  <c r="C10" i="67"/>
  <c r="C5" i="67" s="1"/>
  <c r="C53" i="67"/>
  <c r="C48" i="67" s="1"/>
  <c r="C10" i="15"/>
  <c r="C5" i="15" s="1"/>
  <c r="C53" i="15"/>
  <c r="C48" i="15" s="1"/>
  <c r="F41" i="83"/>
  <c r="F27" i="69"/>
  <c r="F41" i="15"/>
  <c r="C34" i="69"/>
  <c r="F69" i="83" l="1"/>
  <c r="J29" i="83"/>
  <c r="F69" i="15"/>
  <c r="J29" i="15"/>
  <c r="F50" i="81"/>
  <c r="F50" i="80"/>
  <c r="G20" i="78"/>
  <c r="C20" i="78" s="1"/>
  <c r="T16" i="78" s="1"/>
  <c r="V16" i="78" s="1"/>
  <c r="E48" i="43"/>
  <c r="B46" i="43" s="1"/>
  <c r="C24" i="43" s="1"/>
  <c r="F22" i="81"/>
  <c r="C26" i="81" s="1"/>
  <c r="D22" i="81" s="1"/>
  <c r="F24" i="83"/>
  <c r="C66" i="83"/>
  <c r="C60" i="83"/>
  <c r="C38" i="83"/>
  <c r="C33" i="83"/>
  <c r="C32" i="83"/>
  <c r="C35" i="69"/>
  <c r="C24" i="81"/>
  <c r="F24" i="67"/>
  <c r="C24" i="67" s="1"/>
  <c r="F22" i="80"/>
  <c r="M27" i="6"/>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32" i="3"/>
  <c r="AY8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83" i="3"/>
  <c r="AY66" i="3"/>
  <c r="AY23" i="3"/>
  <c r="AY176" i="3"/>
  <c r="AY155" i="3"/>
  <c r="AY115" i="3"/>
  <c r="AY59" i="3"/>
  <c r="AY188" i="3"/>
  <c r="AY131" i="3"/>
  <c r="AY276" i="3"/>
  <c r="AY58" i="3"/>
  <c r="AY297" i="3"/>
  <c r="AY268" i="3"/>
  <c r="AY225" i="3"/>
  <c r="AQ8" i="1"/>
  <c r="AR8" i="1"/>
  <c r="T8" i="1"/>
  <c r="C29" i="11"/>
  <c r="D27" i="11" s="1"/>
  <c r="C47" i="11"/>
  <c r="D45" i="11" s="1"/>
  <c r="C29" i="69"/>
  <c r="D27" i="69" s="1"/>
  <c r="C47" i="69"/>
  <c r="D45" i="69" s="1"/>
  <c r="AQ7" i="1"/>
  <c r="T7" i="1"/>
  <c r="AR7" i="1"/>
  <c r="I19" i="6"/>
  <c r="I27" i="6" s="1"/>
  <c r="U10" i="39"/>
  <c r="AA10" i="39"/>
  <c r="C38" i="69"/>
  <c r="AQ6" i="1"/>
  <c r="T6" i="1"/>
  <c r="AR6" i="1"/>
  <c r="S16" i="1"/>
  <c r="F50" i="11"/>
  <c r="F50" i="68"/>
  <c r="F25" i="12"/>
  <c r="C26" i="12" s="1"/>
  <c r="D25" i="12" s="1"/>
  <c r="P14" i="1"/>
  <c r="P16" i="1" s="1"/>
  <c r="C11" i="12" s="1"/>
  <c r="AA10" i="40"/>
  <c r="S10" i="40"/>
  <c r="F50" i="69"/>
  <c r="C34" i="11"/>
  <c r="L16" i="1"/>
  <c r="W10" i="40"/>
  <c r="AC10" i="40"/>
  <c r="AC10" i="39"/>
  <c r="W10" i="39"/>
  <c r="F22" i="69"/>
  <c r="C44" i="69" s="1"/>
  <c r="D41" i="69" s="1"/>
  <c r="F22" i="68"/>
  <c r="F22" i="11"/>
  <c r="C26" i="11" s="1"/>
  <c r="D22" i="11" s="1"/>
  <c r="F24" i="15"/>
  <c r="C24" i="15" s="1"/>
  <c r="H7" i="36"/>
  <c r="U7" i="36" s="1"/>
  <c r="E65" i="40"/>
  <c r="F63" i="40"/>
  <c r="I52" i="33"/>
  <c r="J52" i="33" s="1"/>
  <c r="E48" i="33"/>
  <c r="I53" i="33" s="1"/>
  <c r="J53" i="33" s="1"/>
  <c r="R49" i="33"/>
  <c r="C43" i="37"/>
  <c r="C42" i="37"/>
  <c r="B2" i="37"/>
  <c r="B3" i="37" s="1"/>
  <c r="G52" i="33"/>
  <c r="H52" i="33" s="1"/>
  <c r="G53" i="33"/>
  <c r="H53" i="33" s="1"/>
  <c r="W7" i="21"/>
  <c r="AC7" i="21"/>
  <c r="V48" i="21" s="1"/>
  <c r="I48" i="21" s="1"/>
  <c r="H20" i="6"/>
  <c r="D25" i="6"/>
  <c r="D15" i="6"/>
  <c r="D22" i="6"/>
  <c r="D21" i="6"/>
  <c r="D24" i="6"/>
  <c r="D20" i="6"/>
  <c r="D6" i="6"/>
  <c r="D9" i="6"/>
  <c r="D10" i="6"/>
  <c r="L19" i="9"/>
  <c r="D29" i="6"/>
  <c r="H25" i="6"/>
  <c r="H22" i="6"/>
  <c r="H21" i="6"/>
  <c r="H24" i="6"/>
  <c r="M19" i="9"/>
  <c r="C118" i="9" s="1"/>
  <c r="C14" i="74" s="1"/>
  <c r="B2" i="74" s="1"/>
  <c r="D26" i="6"/>
  <c r="D8" i="6"/>
  <c r="D14" i="6"/>
  <c r="D12" i="6"/>
  <c r="D13" i="6"/>
  <c r="E61" i="40"/>
  <c r="H23" i="6"/>
  <c r="D19" i="6"/>
  <c r="C18" i="4"/>
  <c r="D23" i="6"/>
  <c r="D5" i="6"/>
  <c r="D11" i="6"/>
  <c r="D28" i="6"/>
  <c r="H26" i="6"/>
  <c r="E43" i="35"/>
  <c r="F43" i="35" s="1"/>
  <c r="E42" i="35"/>
  <c r="F42" i="35" s="1"/>
  <c r="I43" i="35"/>
  <c r="J43" i="35" s="1"/>
  <c r="F70" i="39"/>
  <c r="G68" i="39"/>
  <c r="S7" i="21"/>
  <c r="AA7" i="21"/>
  <c r="R48" i="21" s="1"/>
  <c r="S7" i="36"/>
  <c r="AA7" i="36"/>
  <c r="R36" i="36" s="1"/>
  <c r="D17" i="12"/>
  <c r="C17" i="12" s="1"/>
  <c r="C14" i="12"/>
  <c r="C20" i="11"/>
  <c r="C28" i="11" s="1"/>
  <c r="C27" i="11" s="1"/>
  <c r="E54" i="34"/>
  <c r="F54" i="34" s="1"/>
  <c r="E53" i="34"/>
  <c r="F53" i="34" s="1"/>
  <c r="C39" i="35"/>
  <c r="B2" i="35" s="1"/>
  <c r="B3" i="35" s="1"/>
  <c r="C38" i="35"/>
  <c r="D6" i="71"/>
  <c r="C5" i="71"/>
  <c r="W7" i="36"/>
  <c r="AC7" i="36"/>
  <c r="V36" i="36" s="1"/>
  <c r="I36" i="36" s="1"/>
  <c r="AB7" i="36"/>
  <c r="T36" i="36" s="1"/>
  <c r="G36" i="36" s="1"/>
  <c r="U7" i="21"/>
  <c r="AB7" i="21"/>
  <c r="T48" i="21" s="1"/>
  <c r="G48" i="21" s="1"/>
  <c r="D10" i="11"/>
  <c r="C10" i="11" s="1"/>
  <c r="D20" i="12"/>
  <c r="C20" i="12" s="1"/>
  <c r="C18" i="12" s="1"/>
  <c r="C7" i="74"/>
  <c r="C8" i="74"/>
  <c r="C49" i="34"/>
  <c r="C50" i="34"/>
  <c r="B2" i="34" s="1"/>
  <c r="B3" i="34" s="1"/>
  <c r="J26" i="67"/>
  <c r="J29" i="67" s="1"/>
  <c r="J18" i="67"/>
  <c r="C60" i="15"/>
  <c r="C66" i="15"/>
  <c r="C32" i="15"/>
  <c r="C38" i="15"/>
  <c r="C32" i="67"/>
  <c r="C38" i="67"/>
  <c r="C26" i="67"/>
  <c r="C66" i="67"/>
  <c r="C60" i="67"/>
  <c r="D10" i="68"/>
  <c r="D10" i="69"/>
  <c r="C34" i="68"/>
  <c r="T7" i="78" l="1"/>
  <c r="V7" i="78" s="1"/>
  <c r="T8" i="78"/>
  <c r="V8" i="78" s="1"/>
  <c r="T6" i="78"/>
  <c r="V6" i="78" s="1"/>
  <c r="C33" i="78"/>
  <c r="G33" i="78" s="1"/>
  <c r="I33" i="78" s="1"/>
  <c r="T10" i="78"/>
  <c r="V10" i="78" s="1"/>
  <c r="C34" i="78"/>
  <c r="G34" i="78" s="1"/>
  <c r="I34" i="78" s="1"/>
  <c r="C29" i="78"/>
  <c r="C30" i="78" s="1"/>
  <c r="E30" i="78" s="1"/>
  <c r="T13" i="78"/>
  <c r="V13" i="78" s="1"/>
  <c r="T2" i="78"/>
  <c r="V2" i="78" s="1"/>
  <c r="C37" i="78"/>
  <c r="E37" i="78" s="1"/>
  <c r="T14" i="78"/>
  <c r="V14" i="78" s="1"/>
  <c r="C35" i="78"/>
  <c r="E35" i="78" s="1"/>
  <c r="T4" i="78"/>
  <c r="V4" i="78" s="1"/>
  <c r="T9" i="78"/>
  <c r="V9" i="78" s="1"/>
  <c r="C39" i="78"/>
  <c r="E39" i="78" s="1"/>
  <c r="T11" i="78"/>
  <c r="V11" i="78" s="1"/>
  <c r="T15" i="78"/>
  <c r="V15" i="78" s="1"/>
  <c r="C36" i="78"/>
  <c r="G36" i="78" s="1"/>
  <c r="I36" i="78" s="1"/>
  <c r="T5" i="78"/>
  <c r="V5" i="78" s="1"/>
  <c r="T12" i="78"/>
  <c r="V12" i="78" s="1"/>
  <c r="T3" i="78"/>
  <c r="V3" i="78" s="1"/>
  <c r="C38" i="78"/>
  <c r="G38" i="78" s="1"/>
  <c r="I38" i="78" s="1"/>
  <c r="C43" i="81"/>
  <c r="C44" i="81"/>
  <c r="D41" i="81" s="1"/>
  <c r="C42" i="81"/>
  <c r="C24" i="83"/>
  <c r="C23" i="83"/>
  <c r="C23" i="67"/>
  <c r="C29" i="67" s="1"/>
  <c r="C13" i="67" s="1"/>
  <c r="C41" i="81"/>
  <c r="C24" i="80"/>
  <c r="C26" i="80"/>
  <c r="D22" i="80" s="1"/>
  <c r="C44" i="80"/>
  <c r="D41" i="80" s="1"/>
  <c r="C42" i="80"/>
  <c r="C43" i="80"/>
  <c r="E29" i="78"/>
  <c r="E33" i="78"/>
  <c r="G39" i="78"/>
  <c r="I39" i="78" s="1"/>
  <c r="C26" i="69"/>
  <c r="D22" i="69" s="1"/>
  <c r="H19" i="6"/>
  <c r="H27" i="6" s="1"/>
  <c r="S19" i="6"/>
  <c r="S27" i="6" s="1"/>
  <c r="T16" i="1"/>
  <c r="R20" i="6"/>
  <c r="R7" i="1" s="1"/>
  <c r="D16" i="6"/>
  <c r="D30" i="6"/>
  <c r="C15" i="12"/>
  <c r="C12" i="12"/>
  <c r="C23" i="15"/>
  <c r="C29" i="15" s="1"/>
  <c r="J19" i="15" s="1"/>
  <c r="C38" i="68"/>
  <c r="C35" i="68"/>
  <c r="C35" i="11"/>
  <c r="C38" i="11"/>
  <c r="R25" i="6"/>
  <c r="R26" i="6"/>
  <c r="C23" i="11"/>
  <c r="C24" i="11"/>
  <c r="C25" i="11"/>
  <c r="C26" i="68"/>
  <c r="D22" i="68" s="1"/>
  <c r="C44" i="68"/>
  <c r="D41" i="68" s="1"/>
  <c r="C44" i="11"/>
  <c r="D41" i="11" s="1"/>
  <c r="C48" i="33"/>
  <c r="C49" i="33"/>
  <c r="B2" i="33" s="1"/>
  <c r="B3" i="33" s="1"/>
  <c r="F65" i="40"/>
  <c r="G63" i="40"/>
  <c r="E53" i="33"/>
  <c r="F53" i="33" s="1"/>
  <c r="E52" i="33"/>
  <c r="F52" i="33" s="1"/>
  <c r="C10" i="68"/>
  <c r="C8" i="68" s="1"/>
  <c r="D19" i="68"/>
  <c r="G40" i="36"/>
  <c r="H40" i="36" s="1"/>
  <c r="G41" i="36"/>
  <c r="H41" i="36" s="1"/>
  <c r="R23" i="6"/>
  <c r="R19" i="6"/>
  <c r="D27" i="6"/>
  <c r="D31" i="6" s="1"/>
  <c r="D7" i="74"/>
  <c r="D8" i="74"/>
  <c r="R21" i="6"/>
  <c r="R8" i="1" s="1"/>
  <c r="C10" i="69"/>
  <c r="C8" i="69" s="1"/>
  <c r="D19" i="69"/>
  <c r="G52" i="21"/>
  <c r="H52" i="21" s="1"/>
  <c r="G53" i="21"/>
  <c r="H53" i="21" s="1"/>
  <c r="I40" i="36"/>
  <c r="J40" i="36" s="1"/>
  <c r="D5" i="71"/>
  <c r="M20" i="43"/>
  <c r="C19" i="43" s="1"/>
  <c r="E36" i="36"/>
  <c r="R37" i="36"/>
  <c r="E48" i="21"/>
  <c r="R49" i="21"/>
  <c r="H68" i="39"/>
  <c r="G70" i="39"/>
  <c r="C4" i="52"/>
  <c r="B45" i="72" s="1"/>
  <c r="A7" i="51"/>
  <c r="B7" i="72" s="1"/>
  <c r="A10" i="51"/>
  <c r="B9" i="72" s="1"/>
  <c r="R24" i="6"/>
  <c r="R22" i="6"/>
  <c r="I52" i="21"/>
  <c r="J52" i="21" s="1"/>
  <c r="F35" i="67"/>
  <c r="M21" i="67"/>
  <c r="M21" i="83"/>
  <c r="F35" i="83"/>
  <c r="E36" i="78" l="1"/>
  <c r="G35" i="78"/>
  <c r="I35" i="78" s="1"/>
  <c r="E38" i="78"/>
  <c r="G37" i="78"/>
  <c r="I37" i="78" s="1"/>
  <c r="E34" i="78"/>
  <c r="C49" i="81"/>
  <c r="C51" i="81" s="1"/>
  <c r="C29" i="83"/>
  <c r="C36" i="83" s="1"/>
  <c r="C34" i="83"/>
  <c r="C31" i="83" s="1"/>
  <c r="F63" i="83"/>
  <c r="C62" i="83" s="1"/>
  <c r="J20" i="83"/>
  <c r="Q49" i="83"/>
  <c r="J20" i="67"/>
  <c r="F63" i="67"/>
  <c r="C62" i="67" s="1"/>
  <c r="C34" i="67"/>
  <c r="C41" i="80"/>
  <c r="C49" i="80" s="1"/>
  <c r="C51" i="80" s="1"/>
  <c r="C27" i="78"/>
  <c r="C26" i="78"/>
  <c r="B2" i="78" s="1"/>
  <c r="B3" i="78" s="1"/>
  <c r="Q49" i="15"/>
  <c r="C22" i="11"/>
  <c r="C31" i="11" s="1"/>
  <c r="R27" i="6"/>
  <c r="R6" i="1"/>
  <c r="C13" i="15"/>
  <c r="C37" i="15" s="1"/>
  <c r="J59" i="15"/>
  <c r="J60" i="15" s="1"/>
  <c r="C33" i="15"/>
  <c r="C16" i="12"/>
  <c r="C21" i="12" s="1"/>
  <c r="C22" i="12" s="1"/>
  <c r="C27" i="12" s="1"/>
  <c r="C25" i="12" s="1"/>
  <c r="C57" i="15"/>
  <c r="C61" i="15" s="1"/>
  <c r="C36" i="15"/>
  <c r="J14" i="15"/>
  <c r="J13" i="15" s="1"/>
  <c r="J23" i="15" s="1"/>
  <c r="C33" i="11"/>
  <c r="H63" i="40"/>
  <c r="G65" i="40"/>
  <c r="H70" i="39"/>
  <c r="I68" i="39"/>
  <c r="E53" i="21"/>
  <c r="F53" i="21" s="1"/>
  <c r="E52" i="21"/>
  <c r="F52" i="21" s="1"/>
  <c r="E41" i="36"/>
  <c r="F41" i="36" s="1"/>
  <c r="E40" i="36"/>
  <c r="F40" i="36" s="1"/>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6" i="69" s="1"/>
  <c r="C7" i="69" s="1"/>
  <c r="C37" i="43"/>
  <c r="C36" i="43"/>
  <c r="C34" i="43"/>
  <c r="C38" i="43"/>
  <c r="C29" i="43"/>
  <c r="C35" i="43"/>
  <c r="C19" i="69"/>
  <c r="C24" i="69" s="1"/>
  <c r="D37" i="69"/>
  <c r="C37" i="69" s="1"/>
  <c r="C33" i="69" s="1"/>
  <c r="I6" i="6"/>
  <c r="I5" i="6"/>
  <c r="C19" i="68"/>
  <c r="D37" i="68"/>
  <c r="C37" i="68" s="1"/>
  <c r="C33" i="68" s="1"/>
  <c r="I53" i="21"/>
  <c r="J53" i="21" s="1"/>
  <c r="C49" i="21"/>
  <c r="B2" i="21" s="1"/>
  <c r="B3" i="21" s="1"/>
  <c r="C48" i="21"/>
  <c r="C37" i="36"/>
  <c r="B2" i="36" s="1"/>
  <c r="B3" i="36" s="1"/>
  <c r="C36" i="36"/>
  <c r="I41" i="36"/>
  <c r="J41" i="36" s="1"/>
  <c r="J59" i="67"/>
  <c r="J60" i="67" s="1"/>
  <c r="C33" i="67"/>
  <c r="J14" i="67"/>
  <c r="J13" i="67" s="1"/>
  <c r="J23" i="67" s="1"/>
  <c r="J19" i="67"/>
  <c r="Q49" i="67"/>
  <c r="C57" i="67"/>
  <c r="C61" i="67" s="1"/>
  <c r="C36" i="67"/>
  <c r="C75" i="67"/>
  <c r="Q70" i="67"/>
  <c r="C37" i="67"/>
  <c r="C56" i="67"/>
  <c r="C65" i="67" s="1"/>
  <c r="F35" i="15"/>
  <c r="M21" i="15"/>
  <c r="C13" i="83" l="1"/>
  <c r="Q70" i="83" s="1"/>
  <c r="J59" i="83"/>
  <c r="J60" i="83" s="1"/>
  <c r="L46" i="83" s="1"/>
  <c r="J19" i="83"/>
  <c r="J17" i="83" s="1"/>
  <c r="C57" i="83"/>
  <c r="C64" i="83" s="1"/>
  <c r="J14" i="83"/>
  <c r="J22" i="83" s="1"/>
  <c r="C59" i="67"/>
  <c r="C5" i="69"/>
  <c r="C23" i="69" s="1"/>
  <c r="J17" i="67"/>
  <c r="C31" i="67"/>
  <c r="J20" i="15"/>
  <c r="J17" i="15" s="1"/>
  <c r="F63" i="15"/>
  <c r="C62" i="15" s="1"/>
  <c r="C59" i="15" s="1"/>
  <c r="C34" i="15"/>
  <c r="C31" i="15" s="1"/>
  <c r="C30" i="15" s="1"/>
  <c r="C39" i="15" s="1"/>
  <c r="Q69" i="15" s="1"/>
  <c r="R16" i="1"/>
  <c r="C56" i="15"/>
  <c r="C65" i="15" s="1"/>
  <c r="Q48" i="15"/>
  <c r="Q70" i="15"/>
  <c r="C64" i="15"/>
  <c r="C75" i="15"/>
  <c r="J22" i="15"/>
  <c r="C64" i="67"/>
  <c r="C58" i="67" s="1"/>
  <c r="C67" i="67" s="1"/>
  <c r="C68" i="67" s="1"/>
  <c r="C39" i="11"/>
  <c r="C42" i="11"/>
  <c r="C20" i="69"/>
  <c r="C28" i="69" s="1"/>
  <c r="C27" i="69" s="1"/>
  <c r="H65" i="40"/>
  <c r="I63" i="40"/>
  <c r="Q48" i="67"/>
  <c r="C30" i="12"/>
  <c r="C28" i="12" s="1"/>
  <c r="C32" i="12" s="1"/>
  <c r="B2" i="12" s="1"/>
  <c r="B3" i="12" s="1"/>
  <c r="C24" i="68"/>
  <c r="C30" i="43"/>
  <c r="E30" i="43" s="1"/>
  <c r="E29" i="43"/>
  <c r="G34" i="43"/>
  <c r="I34" i="43" s="1"/>
  <c r="E34" i="43"/>
  <c r="G37" i="43"/>
  <c r="I37" i="43" s="1"/>
  <c r="E37" i="43"/>
  <c r="J68" i="39"/>
  <c r="I70" i="39"/>
  <c r="C39" i="68"/>
  <c r="C42" i="68"/>
  <c r="C39" i="69"/>
  <c r="C42" i="69"/>
  <c r="G35" i="43"/>
  <c r="I35" i="43" s="1"/>
  <c r="E35" i="43"/>
  <c r="G38" i="43"/>
  <c r="I38" i="43" s="1"/>
  <c r="E38" i="43"/>
  <c r="G36" i="43"/>
  <c r="I36" i="43" s="1"/>
  <c r="E36" i="43"/>
  <c r="G39" i="43"/>
  <c r="I39" i="43" s="1"/>
  <c r="E39" i="43"/>
  <c r="C6" i="81" s="1"/>
  <c r="G33" i="43"/>
  <c r="I33" i="43" s="1"/>
  <c r="E33" i="43"/>
  <c r="C30" i="67"/>
  <c r="C39" i="67" s="1"/>
  <c r="Q69" i="67" s="1"/>
  <c r="Q68" i="67" s="1"/>
  <c r="J22" i="67"/>
  <c r="J16" i="67" s="1"/>
  <c r="J25" i="67" s="1"/>
  <c r="L51" i="15"/>
  <c r="C75" i="83" l="1"/>
  <c r="Q48" i="83"/>
  <c r="J13" i="83"/>
  <c r="J23" i="83" s="1"/>
  <c r="C56" i="83"/>
  <c r="C65" i="83" s="1"/>
  <c r="C37" i="83"/>
  <c r="C30" i="83" s="1"/>
  <c r="C39" i="83" s="1"/>
  <c r="C80" i="83" s="1"/>
  <c r="C79" i="83" s="1"/>
  <c r="C61" i="83"/>
  <c r="C59" i="83" s="1"/>
  <c r="C58" i="83" s="1"/>
  <c r="C67" i="83" s="1"/>
  <c r="C68" i="83" s="1"/>
  <c r="C71" i="83" s="1"/>
  <c r="J16" i="83"/>
  <c r="J25" i="83" s="1"/>
  <c r="C6" i="80"/>
  <c r="C6" i="68"/>
  <c r="C7" i="68" s="1"/>
  <c r="C5" i="68" s="1"/>
  <c r="C23" i="68" s="1"/>
  <c r="J16" i="15"/>
  <c r="J25" i="15" s="1"/>
  <c r="C58" i="15"/>
  <c r="C67" i="15" s="1"/>
  <c r="C68" i="15" s="1"/>
  <c r="C71" i="15" s="1"/>
  <c r="Q68" i="15"/>
  <c r="C40" i="15"/>
  <c r="C80" i="15"/>
  <c r="C79" i="15" s="1"/>
  <c r="C46" i="11"/>
  <c r="C45" i="11" s="1"/>
  <c r="C43" i="11"/>
  <c r="C41" i="11" s="1"/>
  <c r="C25" i="69"/>
  <c r="C22" i="69" s="1"/>
  <c r="C31" i="69" s="1"/>
  <c r="C40" i="67"/>
  <c r="C45" i="67" s="1"/>
  <c r="C46" i="67" s="1"/>
  <c r="I65" i="40"/>
  <c r="J63" i="40"/>
  <c r="C46" i="69"/>
  <c r="C45" i="69" s="1"/>
  <c r="C43" i="69"/>
  <c r="C41" i="69" s="1"/>
  <c r="C46" i="68"/>
  <c r="C45" i="68" s="1"/>
  <c r="C43" i="68"/>
  <c r="C41" i="68" s="1"/>
  <c r="K68" i="39"/>
  <c r="J70" i="39"/>
  <c r="C27" i="43"/>
  <c r="C26" i="43"/>
  <c r="C80" i="67"/>
  <c r="C79" i="67" s="1"/>
  <c r="Q67" i="15"/>
  <c r="L57" i="15"/>
  <c r="L60" i="15" s="1"/>
  <c r="L46" i="15" s="1"/>
  <c r="L57" i="67"/>
  <c r="L60" i="67" s="1"/>
  <c r="L46" i="67" s="1"/>
  <c r="C71" i="67"/>
  <c r="L51" i="83"/>
  <c r="L51" i="67"/>
  <c r="E6" i="76"/>
  <c r="Q67" i="67" l="1"/>
  <c r="Q69" i="83"/>
  <c r="Q68" i="83" s="1"/>
  <c r="C40" i="83"/>
  <c r="C45" i="83" s="1"/>
  <c r="C46" i="83" s="1"/>
  <c r="Q67" i="83"/>
  <c r="C7" i="81"/>
  <c r="C5" i="81" s="1"/>
  <c r="C20" i="68"/>
  <c r="C25" i="68" s="1"/>
  <c r="C22" i="68" s="1"/>
  <c r="C7" i="80"/>
  <c r="C5" i="80" s="1"/>
  <c r="C46" i="15"/>
  <c r="C49" i="11"/>
  <c r="C51" i="11" s="1"/>
  <c r="C52" i="11" s="1"/>
  <c r="B2" i="11" s="1"/>
  <c r="B3" i="11" s="1"/>
  <c r="Q47" i="15"/>
  <c r="Q53" i="15" s="1"/>
  <c r="B2" i="15"/>
  <c r="C43" i="15"/>
  <c r="C83" i="15"/>
  <c r="C82" i="15" s="1"/>
  <c r="Q56" i="15"/>
  <c r="Q65" i="15"/>
  <c r="D2" i="67"/>
  <c r="B3" i="67" s="1"/>
  <c r="Q65" i="67"/>
  <c r="C43" i="67"/>
  <c r="C83" i="67"/>
  <c r="C82" i="67" s="1"/>
  <c r="Q47" i="67"/>
  <c r="Q53" i="67" s="1"/>
  <c r="Q56" i="67"/>
  <c r="C49" i="68"/>
  <c r="C51" i="68" s="1"/>
  <c r="C49" i="69"/>
  <c r="C51" i="69" s="1"/>
  <c r="C52" i="69" s="1"/>
  <c r="B2" i="69" s="1"/>
  <c r="K63" i="40"/>
  <c r="J65" i="40"/>
  <c r="E2" i="76"/>
  <c r="B2" i="43"/>
  <c r="L68" i="39"/>
  <c r="K70" i="39"/>
  <c r="Q66" i="67"/>
  <c r="Q57" i="67"/>
  <c r="Q62" i="67" s="1"/>
  <c r="Q57" i="15"/>
  <c r="Q66" i="15"/>
  <c r="AO6" i="1"/>
  <c r="D19" i="9"/>
  <c r="B6" i="76"/>
  <c r="B3" i="69"/>
  <c r="Q56" i="83" l="1"/>
  <c r="Q62" i="83" s="1"/>
  <c r="C83" i="83"/>
  <c r="C82" i="83" s="1"/>
  <c r="C43" i="83"/>
  <c r="Q47" i="83"/>
  <c r="Q53" i="83" s="1"/>
  <c r="D2" i="83"/>
  <c r="B2" i="83" s="1"/>
  <c r="Q65" i="83"/>
  <c r="Q75" i="83" s="1"/>
  <c r="B3" i="83"/>
  <c r="C23" i="81"/>
  <c r="C20" i="81"/>
  <c r="C25" i="81" s="1"/>
  <c r="C28" i="68"/>
  <c r="C27" i="68" s="1"/>
  <c r="C31" i="68" s="1"/>
  <c r="C52" i="68" s="1"/>
  <c r="B2" i="68" s="1"/>
  <c r="C23" i="80"/>
  <c r="C20" i="80"/>
  <c r="C25" i="80" s="1"/>
  <c r="B6" i="70"/>
  <c r="D102" i="9"/>
  <c r="D21" i="9"/>
  <c r="B3" i="15"/>
  <c r="B2" i="67"/>
  <c r="Q62" i="15"/>
  <c r="Q75" i="15"/>
  <c r="C56" i="11"/>
  <c r="C57" i="11" s="1"/>
  <c r="Q75" i="67"/>
  <c r="C57" i="69"/>
  <c r="C56" i="69" s="1"/>
  <c r="K65" i="40"/>
  <c r="L63" i="40"/>
  <c r="B2" i="76"/>
  <c r="B3" i="76" s="1"/>
  <c r="B3" i="43"/>
  <c r="M68" i="39"/>
  <c r="L70" i="39"/>
  <c r="AO8" i="1"/>
  <c r="D20" i="79"/>
  <c r="D20" i="9"/>
  <c r="D19" i="82"/>
  <c r="D19" i="79"/>
  <c r="B3" i="68"/>
  <c r="D20" i="82"/>
  <c r="AO7" i="1"/>
  <c r="C20" i="9"/>
  <c r="C19" i="9"/>
  <c r="D103" i="82" l="1"/>
  <c r="B8" i="70"/>
  <c r="D21" i="82"/>
  <c r="D102" i="82"/>
  <c r="C28" i="81"/>
  <c r="C27" i="81" s="1"/>
  <c r="C22" i="81"/>
  <c r="D102" i="79"/>
  <c r="D21" i="79"/>
  <c r="B7" i="70"/>
  <c r="C28" i="80"/>
  <c r="C27" i="80" s="1"/>
  <c r="C22" i="80"/>
  <c r="D103" i="79"/>
  <c r="C57" i="68"/>
  <c r="D22" i="9"/>
  <c r="C102" i="9"/>
  <c r="G19" i="9"/>
  <c r="C32" i="9" s="1"/>
  <c r="C21" i="9"/>
  <c r="D103" i="9"/>
  <c r="C103" i="9"/>
  <c r="G20" i="9"/>
  <c r="M63" i="40"/>
  <c r="L65" i="40"/>
  <c r="N68" i="39"/>
  <c r="M70" i="39"/>
  <c r="D35" i="9"/>
  <c r="B2" i="70" l="1"/>
  <c r="B3" i="70" s="1"/>
  <c r="C31" i="81"/>
  <c r="C52" i="81" s="1"/>
  <c r="B2" i="81" s="1"/>
  <c r="C31" i="80"/>
  <c r="C52" i="80" s="1"/>
  <c r="B2" i="80" s="1"/>
  <c r="G21" i="9"/>
  <c r="C56" i="68"/>
  <c r="C35" i="9"/>
  <c r="F118" i="9" s="1"/>
  <c r="H118" i="9"/>
  <c r="N63" i="40"/>
  <c r="M65" i="40"/>
  <c r="O68" i="39"/>
  <c r="O70" i="39" s="1"/>
  <c r="N70" i="39"/>
  <c r="C19" i="79"/>
  <c r="C19" i="82"/>
  <c r="D34" i="9"/>
  <c r="B3" i="81"/>
  <c r="C20" i="82"/>
  <c r="B3" i="80"/>
  <c r="G20" i="82" l="1"/>
  <c r="C103" i="82"/>
  <c r="C102" i="82"/>
  <c r="D22" i="82"/>
  <c r="C21" i="82"/>
  <c r="G19" i="82"/>
  <c r="D16" i="74" s="1"/>
  <c r="Q29" i="1" s="1"/>
  <c r="C57" i="81"/>
  <c r="C56" i="81" s="1"/>
  <c r="C102" i="79"/>
  <c r="C21" i="79"/>
  <c r="D22" i="79"/>
  <c r="G19" i="79"/>
  <c r="D15" i="74" s="1"/>
  <c r="Q28" i="1" s="1"/>
  <c r="C34" i="9"/>
  <c r="D118" i="9" s="1"/>
  <c r="D4" i="52" s="1"/>
  <c r="B47" i="72" s="1"/>
  <c r="C57" i="80"/>
  <c r="H101" i="9"/>
  <c r="H119" i="9"/>
  <c r="H5" i="52" s="1"/>
  <c r="D14" i="74"/>
  <c r="Q27" i="1" s="1"/>
  <c r="I118" i="9"/>
  <c r="H4" i="52"/>
  <c r="C104" i="9"/>
  <c r="F119" i="9"/>
  <c r="F5" i="52" s="1"/>
  <c r="B53" i="72" s="1"/>
  <c r="F4" i="52"/>
  <c r="B51" i="72" s="1"/>
  <c r="G118" i="9"/>
  <c r="G4" i="52" s="1"/>
  <c r="B52" i="72" s="1"/>
  <c r="O63" i="40"/>
  <c r="O65" i="40" s="1"/>
  <c r="N65" i="40"/>
  <c r="F7" i="40" s="1"/>
  <c r="H7" i="39"/>
  <c r="F7" i="39"/>
  <c r="J7" i="39"/>
  <c r="C20" i="79"/>
  <c r="D35" i="79"/>
  <c r="D35" i="82"/>
  <c r="C103" i="79" l="1"/>
  <c r="G20" i="79"/>
  <c r="Q30" i="1"/>
  <c r="R30" i="1" s="1"/>
  <c r="D119" i="9"/>
  <c r="D5" i="52" s="1"/>
  <c r="B49" i="72" s="1"/>
  <c r="E16" i="74"/>
  <c r="F16" i="74"/>
  <c r="E15" i="74"/>
  <c r="F15" i="74"/>
  <c r="C32" i="82"/>
  <c r="G21" i="82"/>
  <c r="C56" i="80"/>
  <c r="G21" i="79"/>
  <c r="C32" i="79"/>
  <c r="E118" i="9"/>
  <c r="E4" i="52" s="1"/>
  <c r="B48" i="72" s="1"/>
  <c r="H102" i="9"/>
  <c r="D7" i="53" s="1"/>
  <c r="B21" i="72" s="1"/>
  <c r="I4" i="52"/>
  <c r="C105" i="9"/>
  <c r="F14" i="74"/>
  <c r="E14" i="74"/>
  <c r="B5" i="74"/>
  <c r="M48" i="9"/>
  <c r="D5" i="53"/>
  <c r="D45" i="9"/>
  <c r="H107" i="9"/>
  <c r="S7" i="40"/>
  <c r="AA7" i="40"/>
  <c r="R42" i="40" s="1"/>
  <c r="H7" i="40"/>
  <c r="J7" i="40"/>
  <c r="W7" i="39"/>
  <c r="AC7" i="39"/>
  <c r="V47" i="39" s="1"/>
  <c r="I47" i="39" s="1"/>
  <c r="AA7" i="39"/>
  <c r="R47" i="39" s="1"/>
  <c r="S7" i="39"/>
  <c r="AB7" i="39"/>
  <c r="T47" i="39" s="1"/>
  <c r="G47" i="39" s="1"/>
  <c r="U7" i="39"/>
  <c r="D34" i="82"/>
  <c r="D34" i="79"/>
  <c r="C35" i="82" l="1"/>
  <c r="F118" i="82" s="1"/>
  <c r="H118" i="82"/>
  <c r="C35" i="79"/>
  <c r="F118" i="79" s="1"/>
  <c r="H118" i="79"/>
  <c r="C34" i="79"/>
  <c r="D118" i="79" s="1"/>
  <c r="D119" i="79" s="1"/>
  <c r="C85" i="9"/>
  <c r="C64" i="9"/>
  <c r="C63" i="9" s="1"/>
  <c r="C67" i="9" s="1"/>
  <c r="C68" i="9" s="1"/>
  <c r="D54" i="9" s="1"/>
  <c r="C93" i="9"/>
  <c r="C86" i="9" s="1"/>
  <c r="C72" i="9"/>
  <c r="D55" i="9"/>
  <c r="M53" i="9" s="1"/>
  <c r="C78" i="9"/>
  <c r="C73" i="9" s="1"/>
  <c r="D53" i="9"/>
  <c r="D52" i="9"/>
  <c r="H108" i="9"/>
  <c r="D15" i="53" s="1"/>
  <c r="B31" i="72" s="1"/>
  <c r="D13" i="53"/>
  <c r="D122" i="9"/>
  <c r="B20" i="72"/>
  <c r="D6" i="53"/>
  <c r="B22" i="72" s="1"/>
  <c r="C5" i="74"/>
  <c r="D5" i="74"/>
  <c r="W7" i="40"/>
  <c r="AC7" i="40"/>
  <c r="V42" i="40" s="1"/>
  <c r="I42" i="40" s="1"/>
  <c r="R43" i="40"/>
  <c r="E42" i="40"/>
  <c r="AB7" i="40"/>
  <c r="T42" i="40" s="1"/>
  <c r="G42" i="40" s="1"/>
  <c r="U7" i="40"/>
  <c r="I51" i="39"/>
  <c r="J51" i="39" s="1"/>
  <c r="G52" i="39"/>
  <c r="H52" i="39" s="1"/>
  <c r="G51" i="39"/>
  <c r="H51" i="39" s="1"/>
  <c r="R48" i="39"/>
  <c r="E47" i="39"/>
  <c r="C34" i="82" l="1"/>
  <c r="D118" i="82" s="1"/>
  <c r="D119" i="82" s="1"/>
  <c r="I118" i="82"/>
  <c r="C104" i="82"/>
  <c r="H119" i="82"/>
  <c r="H101" i="82"/>
  <c r="F119" i="82"/>
  <c r="G118" i="82"/>
  <c r="C104" i="79"/>
  <c r="H101" i="79"/>
  <c r="I118" i="79"/>
  <c r="H119" i="79"/>
  <c r="G118" i="79"/>
  <c r="F119" i="79"/>
  <c r="D14" i="53"/>
  <c r="B32" i="72" s="1"/>
  <c r="B30" i="72"/>
  <c r="C79" i="9"/>
  <c r="G14" i="74"/>
  <c r="B6" i="74" s="1"/>
  <c r="D8" i="52"/>
  <c r="D123" i="9"/>
  <c r="D9" i="52" s="1"/>
  <c r="C95" i="9"/>
  <c r="E47" i="40"/>
  <c r="F47" i="40" s="1"/>
  <c r="E46" i="40"/>
  <c r="F46" i="40" s="1"/>
  <c r="I46" i="40"/>
  <c r="J46" i="40" s="1"/>
  <c r="I47" i="40"/>
  <c r="J47" i="40" s="1"/>
  <c r="G47" i="40"/>
  <c r="H47" i="40" s="1"/>
  <c r="G46" i="40"/>
  <c r="H46" i="40" s="1"/>
  <c r="C42" i="40"/>
  <c r="C43" i="40"/>
  <c r="C48" i="39"/>
  <c r="C47" i="39"/>
  <c r="E51" i="39"/>
  <c r="F51" i="39" s="1"/>
  <c r="E52" i="39"/>
  <c r="F52" i="39" s="1"/>
  <c r="I52" i="39"/>
  <c r="J52" i="39" s="1"/>
  <c r="E118" i="82" l="1"/>
  <c r="C105" i="82"/>
  <c r="H102" i="82"/>
  <c r="D45" i="82"/>
  <c r="M48" i="82"/>
  <c r="H107" i="82"/>
  <c r="D45" i="79"/>
  <c r="H107" i="79"/>
  <c r="M48" i="79"/>
  <c r="C105" i="79"/>
  <c r="E118" i="79"/>
  <c r="H102" i="79"/>
  <c r="D6" i="74"/>
  <c r="C6" i="74"/>
  <c r="C96" i="9"/>
  <c r="E96" i="9" s="1"/>
  <c r="E97" i="9" s="1"/>
  <c r="C80" i="9"/>
  <c r="E80" i="9" s="1"/>
  <c r="E81" i="9"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22" i="82" l="1"/>
  <c r="D123" i="82" s="1"/>
  <c r="H108" i="82"/>
  <c r="C78" i="82"/>
  <c r="C73" i="82" s="1"/>
  <c r="D52" i="82"/>
  <c r="C93" i="82"/>
  <c r="C86" i="82" s="1"/>
  <c r="C85" i="82"/>
  <c r="C72" i="82"/>
  <c r="C64" i="82"/>
  <c r="C63" i="82" s="1"/>
  <c r="C67" i="82" s="1"/>
  <c r="C68" i="82" s="1"/>
  <c r="D54" i="82" s="1"/>
  <c r="D55" i="82"/>
  <c r="M53" i="82" s="1"/>
  <c r="D53" i="82"/>
  <c r="D122" i="79"/>
  <c r="D123" i="79" s="1"/>
  <c r="H108" i="79"/>
  <c r="C78" i="79"/>
  <c r="C73" i="79" s="1"/>
  <c r="C93" i="79"/>
  <c r="C86" i="79" s="1"/>
  <c r="C72" i="79"/>
  <c r="D53" i="79"/>
  <c r="D52" i="79"/>
  <c r="C85" i="79"/>
  <c r="D55" i="79"/>
  <c r="M53" i="79" s="1"/>
  <c r="C64" i="79"/>
  <c r="C63" i="79" s="1"/>
  <c r="C67" i="79" s="1"/>
  <c r="C68" i="79" s="1"/>
  <c r="D54" i="79" s="1"/>
  <c r="C81" i="9"/>
  <c r="C97" i="9"/>
  <c r="D58" i="9" s="1"/>
  <c r="D56" i="9" s="1"/>
  <c r="M54" i="9" s="1"/>
  <c r="N57" i="9" s="1"/>
  <c r="P57" i="9" s="1"/>
  <c r="C79" i="82" l="1"/>
  <c r="C95" i="79"/>
  <c r="C96" i="79" s="1"/>
  <c r="E96" i="79" s="1"/>
  <c r="E97" i="79" s="1"/>
  <c r="C79" i="79"/>
  <c r="C95" i="82"/>
  <c r="C80" i="82"/>
  <c r="E80" i="82" s="1"/>
  <c r="E81" i="82" s="1"/>
  <c r="N58" i="9"/>
  <c r="N59" i="9"/>
  <c r="N60" i="9" s="1"/>
  <c r="C97" i="79" l="1"/>
  <c r="D58" i="79" s="1"/>
  <c r="D56" i="79" s="1"/>
  <c r="M54" i="79" s="1"/>
  <c r="N57" i="79" s="1"/>
  <c r="N58" i="79" s="1"/>
  <c r="C80" i="79"/>
  <c r="E80" i="79" s="1"/>
  <c r="E81" i="79" s="1"/>
  <c r="C81" i="82"/>
  <c r="C96" i="82"/>
  <c r="E96" i="82" s="1"/>
  <c r="E97" i="82" s="1"/>
  <c r="N61" i="9"/>
  <c r="N59" i="79" l="1"/>
  <c r="N61" i="79" s="1"/>
  <c r="P57" i="79"/>
  <c r="C81" i="79"/>
  <c r="C97" i="82"/>
  <c r="D58" i="82" s="1"/>
  <c r="D56" i="82" s="1"/>
  <c r="M54" i="82" s="1"/>
  <c r="N57" i="82" s="1"/>
  <c r="N60" i="79" l="1"/>
  <c r="N58" i="82"/>
  <c r="P57" i="82"/>
  <c r="N59" i="82"/>
  <c r="N61" i="82" l="1"/>
  <c r="N60"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<sst xmlns="http://schemas.openxmlformats.org/spreadsheetml/2006/main" count="9303" uniqueCount="3311">
  <si>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</si>
  <si>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</si>
  <si>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</si>
  <si>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</si>
  <si>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</si>
  <si>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</si>
  <si>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</si>
  <si>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</si>
  <si>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</si>
  <si>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</si>
  <si>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</si>
  <si>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</si>
  <si>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</si>
  <si>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</si>
  <si>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</si>
  <si>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</si>
  <si>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</si>
  <si>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</si>
  <si>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</si>
  <si>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</si>
  <si>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</si>
  <si>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</si>
  <si>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</si>
  <si>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</si>
  <si>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</si>
  <si>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</si>
  <si>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</si>
  <si>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</si>
  <si>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</si>
  <si>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</si>
  <si>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</si>
  <si>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</si>
  <si>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</si>
  <si>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</si>
  <si>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</si>
  <si>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</si>
  <si>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</si>
  <si>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</si>
  <si>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</si>
  <si>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</si>
  <si>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</si>
  <si>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</si>
  <si>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</si>
  <si>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</si>
  <si>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</si>
  <si>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</si>
  <si>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</si>
  <si>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</si>
  <si>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</si>
  <si>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</si>
  <si>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</si>
  <si>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</si>
  <si>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</si>
  <si>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</si>
  <si>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</si>
  <si>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</si>
  <si>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</si>
  <si>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</si>
  <si>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</si>
  <si>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</si>
  <si>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</si>
  <si>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</si>
  <si>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</si>
  <si>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</si>
  <si>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</si>
  <si>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</si>
  <si>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</si>
  <si>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</si>
  <si>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</si>
  <si>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</si>
  <si>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</si>
  <si>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</si>
  <si>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</si>
  <si>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</si>
  <si>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</si>
  <si>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</si>
  <si>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</si>
  <si>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</si>
  <si>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</si>
  <si>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</si>
  <si>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</si>
  <si>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</si>
  <si>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</si>
  <si>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</si>
  <si>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</si>
  <si>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</si>
  <si>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</si>
  <si>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</si>
  <si>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</si>
  <si>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</si>
  <si>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</si>
  <si>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</si>
  <si>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</si>
  <si>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</si>
  <si>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</si>
  <si>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</si>
  <si>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</si>
  <si>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</si>
  <si>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</si>
  <si>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</si>
  <si>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</si>
  <si>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</si>
  <si>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</si>
  <si>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</si>
  <si>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</si>
  <si>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</si>
  <si>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</si>
  <si>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</si>
  <si>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</si>
  <si>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</si>
  <si>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</si>
  <si>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</si>
  <si>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</si>
  <si>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</si>
  <si>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</si>
  <si>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</si>
  <si>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</si>
  <si>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</si>
  <si>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</si>
  <si>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</si>
  <si>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</si>
  <si>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</si>
  <si>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</si>
  <si>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</si>
  <si>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</si>
  <si>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</si>
  <si>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</si>
  <si>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</si>
  <si>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</si>
  <si>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</si>
  <si>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</si>
  <si>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</si>
  <si>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</si>
  <si>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</si>
  <si>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</si>
  <si>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</si>
  <si>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</si>
  <si>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</si>
  <si>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</si>
  <si>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</si>
  <si>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</si>
  <si>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</si>
  <si>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</si>
  <si>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</si>
  <si>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</si>
  <si>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</si>
  <si>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</si>
  <si>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</si>
  <si>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</si>
  <si>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</si>
  <si>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</si>
  <si>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</si>
  <si>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</si>
  <si>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</si>
  <si>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</si>
  <si>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</si>
  <si>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</si>
  <si>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</si>
  <si>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</si>
  <si>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</si>
  <si>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</si>
  <si>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</si>
  <si>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</si>
  <si>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</si>
  <si>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</si>
  <si>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</si>
  <si>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</si>
  <si>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</si>
  <si>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</si>
  <si>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</si>
  <si>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</si>
  <si>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</si>
  <si>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</si>
  <si>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</si>
  <si>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</si>
  <si>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</si>
  <si>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</si>
  <si>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</si>
  <si>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</si>
  <si>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</si>
  <si>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</si>
  <si>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</si>
  <si>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</si>
  <si>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</si>
  <si>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</si>
  <si>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</si>
  <si>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</si>
  <si>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</si>
  <si>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</si>
  <si>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</si>
  <si>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</si>
  <si>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</si>
  <si>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</si>
  <si>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</si>
  <si>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</si>
  <si>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</si>
  <si>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</si>
  <si>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</si>
  <si>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</si>
  <si>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</si>
  <si>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</si>
  <si>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</si>
  <si>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</si>
  <si>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</si>
  <si>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</si>
  <si>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</si>
  <si>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</si>
  <si>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</si>
  <si>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</si>
  <si>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</si>
  <si>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</si>
  <si>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</si>
  <si>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</si>
  <si>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</si>
  <si>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</si>
  <si>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</si>
  <si>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</si>
  <si>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</si>
  <si>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</si>
  <si>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</si>
  <si>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</si>
  <si>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</si>
  <si>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</si>
  <si>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</si>
  <si>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</si>
  <si>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</si>
  <si>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</si>
  <si>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</si>
  <si>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</si>
  <si>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</si>
  <si>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</si>
  <si>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</si>
  <si>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</si>
  <si>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</si>
  <si>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</si>
  <si>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</si>
  <si>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</si>
  <si>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</si>
  <si>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</si>
  <si>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</si>
  <si>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</si>
  <si>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</si>
  <si>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</si>
  <si>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</si>
  <si>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</si>
  <si>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</si>
  <si>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</si>
  <si>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</si>
  <si>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</si>
  <si>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</si>
  <si>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</si>
  <si>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</si>
  <si>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</si>
  <si>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</si>
  <si>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</si>
  <si>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</si>
  <si>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</si>
  <si>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</si>
  <si>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</si>
  <si>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</si>
  <si>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</si>
  <si>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</si>
  <si>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</si>
  <si>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</si>
  <si>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</si>
  <si>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</si>
  <si>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</si>
  <si>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</si>
  <si>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</si>
  <si>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</si>
  <si>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</si>
  <si>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</si>
  <si>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</si>
  <si>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</si>
  <si>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</si>
  <si>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</si>
  <si>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</si>
  <si>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</si>
  <si>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</si>
  <si>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</si>
  <si>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</si>
  <si>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</si>
  <si>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</si>
  <si>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</si>
  <si>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</si>
  <si>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</si>
  <si>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</si>
  <si>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</si>
  <si>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</si>
  <si>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</si>
  <si>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</si>
  <si>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</si>
  <si>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</si>
  <si>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</si>
  <si>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</si>
  <si>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</si>
  <si>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</si>
  <si>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</si>
  <si>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</si>
  <si>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</si>
  <si>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</si>
  <si>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</si>
  <si>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</si>
  <si>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</si>
  <si>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</si>
  <si>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</si>
  <si>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</si>
  <si>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</si>
  <si>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</si>
  <si>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</si>
  <si>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</si>
  <si>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</si>
  <si>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</si>
  <si>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</si>
  <si>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</si>
  <si>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</si>
  <si>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</si>
  <si>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</si>
  <si>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</si>
  <si>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</si>
  <si>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</si>
  <si>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</si>
  <si>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</si>
  <si>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</si>
  <si>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</si>
  <si>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</si>
  <si>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</si>
  <si>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</si>
  <si>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</si>
  <si>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</si>
  <si>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</si>
  <si>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</si>
  <si>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</si>
  <si>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</si>
  <si>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</si>
  <si>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</si>
  <si>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</si>
  <si>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</si>
  <si>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</si>
  <si>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</si>
  <si>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</si>
  <si>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</si>
  <si>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</si>
  <si>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</si>
  <si>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</si>
  <si>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</si>
  <si>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</si>
  <si>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</si>
  <si>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</si>
  <si>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</si>
  <si>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</si>
  <si>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</si>
  <si>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</si>
  <si>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</si>
  <si>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</si>
  <si>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</si>
  <si>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</si>
  <si>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</si>
  <si>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</si>
  <si>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</si>
  <si>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</si>
  <si>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</si>
  <si>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</si>
  <si>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</si>
  <si>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</si>
  <si>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</si>
  <si>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</si>
  <si>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</si>
  <si>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</si>
  <si>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</si>
  <si>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</si>
  <si>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</si>
  <si>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</si>
  <si>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</si>
  <si>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</si>
  <si>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</si>
  <si>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</si>
  <si>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</si>
  <si>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</si>
  <si>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</si>
  <si>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</si>
  <si>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</si>
  <si>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</si>
  <si>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</si>
  <si>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</si>
  <si>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</si>
  <si>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</si>
  <si>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</si>
  <si>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</si>
  <si>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</si>
  <si>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</si>
  <si>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</si>
  <si>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</si>
  <si>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</si>
  <si>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</si>
  <si>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</si>
  <si>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</si>
  <si>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</si>
  <si>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</si>
  <si>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</si>
  <si>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</si>
  <si>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</si>
  <si>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</si>
  <si>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</si>
  <si>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</si>
  <si>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</si>
  <si>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</si>
  <si>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</si>
  <si>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</si>
  <si>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</si>
  <si>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</si>
  <si>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</si>
  <si>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</si>
  <si>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</si>
  <si>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</si>
  <si>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</si>
  <si>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</si>
  <si>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</si>
  <si>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</si>
  <si>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</si>
  <si>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</si>
  <si>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</si>
  <si>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</si>
  <si>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</si>
  <si>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</si>
  <si>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</si>
  <si>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</si>
  <si>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</si>
  <si>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</si>
  <si>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</si>
  <si>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</si>
  <si>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</si>
  <si>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</si>
  <si>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</si>
  <si>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</si>
  <si>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</si>
  <si>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</si>
  <si>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</si>
  <si>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</si>
  <si>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</si>
  <si>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</si>
  <si>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</si>
  <si>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</si>
  <si>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</si>
  <si>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</si>
  <si>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</si>
  <si>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</si>
  <si>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</si>
  <si>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</si>
  <si>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</si>
  <si>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</si>
  <si>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</si>
  <si>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</si>
  <si>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</si>
  <si>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</si>
  <si>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</si>
  <si>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</si>
  <si>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</si>
  <si>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</si>
  <si>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</si>
  <si>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</si>
  <si>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</si>
  <si>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</si>
  <si>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</si>
  <si>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</si>
  <si>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</si>
  <si>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</si>
  <si>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</si>
  <si>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</si>
  <si>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</si>
  <si>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</si>
  <si>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</si>
  <si>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</si>
  <si>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</si>
  <si>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</si>
  <si>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</si>
  <si>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</si>
  <si>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</si>
  <si>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</si>
  <si>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</si>
  <si>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</si>
  <si>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</si>
  <si>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</si>
  <si>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</si>
  <si>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</si>
  <si>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</si>
  <si>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</si>
  <si>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</si>
  <si>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</si>
  <si>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</si>
  <si>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</si>
  <si>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</si>
  <si>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</si>
  <si>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</si>
  <si>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</si>
  <si>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</si>
  <si>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</si>
  <si>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</si>
  <si>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</si>
  <si>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</si>
  <si>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</si>
  <si>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</si>
  <si>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</si>
  <si>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</si>
  <si>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</si>
  <si>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</si>
  <si>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</si>
  <si>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</si>
  <si>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</si>
  <si>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</si>
  <si>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</si>
  <si>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</si>
  <si>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</si>
  <si>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</si>
  <si>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</si>
  <si>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</si>
  <si>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</si>
  <si>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</si>
  <si>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</si>
  <si>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</si>
  <si>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</si>
  <si>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</si>
  <si>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</si>
  <si>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</si>
  <si>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</si>
  <si>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</si>
  <si>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</si>
  <si>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</si>
  <si>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</si>
  <si>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</si>
  <si>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</si>
  <si>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</si>
  <si>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</si>
  <si>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</si>
  <si>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</si>
  <si>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</si>
  <si>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</si>
  <si>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</si>
  <si>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</si>
  <si>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</si>
  <si>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</si>
  <si>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</si>
  <si>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</si>
  <si>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</si>
  <si>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</si>
  <si>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</si>
  <si>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</si>
  <si>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</si>
  <si>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</si>
  <si>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</si>
  <si>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</si>
  <si>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</si>
  <si>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</si>
  <si>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</si>
  <si>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</si>
  <si>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</si>
  <si>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</si>
  <si>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</si>
  <si>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</si>
  <si>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</si>
  <si>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</si>
  <si>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</si>
  <si>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</si>
  <si>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</si>
  <si>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</si>
  <si>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</si>
  <si>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</si>
  <si>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</si>
  <si>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</si>
  <si>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</si>
  <si>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</si>
  <si>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</si>
  <si>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</si>
  <si>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</si>
  <si>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</si>
  <si>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</si>
  <si>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</si>
  <si>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</si>
  <si>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</si>
  <si>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</si>
  <si>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</si>
  <si>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</si>
  <si>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</si>
  <si>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</si>
  <si>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</si>
  <si>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</si>
  <si>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</si>
  <si>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</si>
  <si>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</si>
  <si>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</si>
  <si>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</si>
  <si>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</si>
  <si>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</si>
  <si>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</si>
  <si>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</si>
  <si>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</si>
  <si>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</si>
  <si>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</si>
  <si>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</si>
  <si>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</si>
  <si>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</si>
  <si>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</si>
  <si>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</si>
  <si>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</si>
  <si>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</si>
  <si>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</si>
  <si>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</si>
  <si>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</si>
  <si>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</si>
  <si>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</si>
  <si>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</si>
  <si>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</si>
  <si>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</si>
  <si>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</si>
  <si>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</si>
  <si>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</si>
  <si>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</si>
  <si>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</si>
  <si>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</si>
  <si>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</si>
  <si>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</si>
  <si>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</si>
  <si>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</si>
  <si>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</si>
  <si>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</si>
  <si>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</si>
  <si>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</si>
  <si>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</si>
  <si>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</si>
  <si>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</si>
  <si>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</si>
  <si>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</si>
  <si>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</si>
  <si>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</si>
  <si>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</si>
  <si>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</si>
  <si>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</si>
  <si>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</si>
  <si>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</si>
  <si>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</si>
  <si>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</si>
  <si>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</si>
  <si>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</si>
  <si>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</si>
  <si>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</si>
  <si>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</si>
  <si>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</si>
  <si>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</si>
  <si>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</si>
  <si>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</si>
  <si>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</si>
  <si>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</si>
  <si>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</si>
  <si>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</si>
  <si>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</si>
  <si>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</si>
  <si>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</si>
  <si>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</si>
  <si>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</si>
  <si>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</si>
  <si>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</si>
  <si>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</si>
  <si>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</si>
  <si>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</si>
  <si>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</si>
  <si>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</si>
  <si>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</si>
  <si>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</si>
  <si>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</si>
  <si>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</si>
  <si>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</si>
  <si>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</si>
  <si>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</si>
  <si>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</si>
  <si>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</si>
  <si>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</si>
  <si>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</si>
  <si>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</si>
  <si>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</si>
  <si>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</si>
  <si>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</si>
  <si>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</si>
  <si>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</si>
  <si>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</si>
  <si>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</si>
  <si>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</si>
  <si>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</si>
  <si>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</si>
  <si>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</si>
  <si>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</si>
  <si>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</si>
  <si>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</si>
  <si>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</si>
  <si>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</si>
  <si>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</si>
  <si>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</si>
  <si>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</si>
  <si>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</si>
  <si>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</si>
  <si>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</si>
  <si>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</si>
  <si>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</si>
  <si>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</si>
  <si>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</si>
  <si>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</si>
  <si>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</si>
  <si>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</si>
  <si>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</si>
  <si>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</si>
  <si>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</si>
  <si>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</si>
  <si>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</si>
  <si>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</si>
  <si>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</si>
  <si>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</si>
  <si>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</si>
  <si>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</si>
  <si>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</si>
  <si>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</si>
  <si>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</si>
  <si>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</si>
  <si>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</si>
  <si>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</si>
  <si>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</si>
  <si>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</si>
  <si>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</si>
  <si>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</si>
  <si>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</si>
  <si>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</si>
  <si>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</si>
  <si>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</si>
  <si>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</si>
  <si>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</si>
  <si>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</si>
  <si>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</si>
  <si>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</si>
  <si>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</si>
  <si>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</si>
  <si>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</si>
  <si>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</si>
  <si>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</si>
  <si>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</si>
  <si>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</si>
  <si>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</si>
  <si>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</si>
  <si>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</si>
  <si>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</si>
  <si>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</si>
  <si>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</si>
  <si>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</si>
  <si>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</si>
  <si>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</si>
  <si>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</si>
  <si>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</si>
  <si>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</si>
  <si>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</si>
  <si>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</si>
  <si>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</si>
  <si>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</si>
  <si>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</si>
  <si>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</si>
  <si>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</si>
  <si>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</si>
  <si>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</si>
  <si>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</si>
  <si>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</si>
  <si>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</si>
  <si>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</si>
  <si>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</si>
  <si>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</si>
  <si>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</si>
  <si>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</si>
  <si>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</si>
  <si>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</si>
  <si>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</si>
  <si>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</si>
  <si>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</si>
  <si>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</si>
  <si>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</si>
  <si>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</si>
  <si>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</si>
  <si>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</si>
  <si>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</si>
  <si>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</si>
  <si>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</si>
  <si>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</si>
  <si>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</si>
  <si>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</si>
  <si>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</si>
  <si>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</si>
  <si>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</si>
  <si>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</si>
  <si>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</si>
  <si>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</si>
  <si>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</si>
  <si>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</si>
  <si>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</si>
  <si>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</si>
  <si>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</si>
  <si>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</si>
  <si>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</si>
  <si>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</si>
  <si>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</si>
  <si>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</si>
  <si>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</si>
  <si>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</si>
  <si>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</si>
  <si>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</si>
  <si>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</si>
  <si>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</si>
  <si>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</si>
  <si>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</si>
  <si>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</si>
  <si>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</si>
  <si>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</si>
  <si>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</si>
  <si>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</si>
  <si>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</si>
  <si>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</si>
  <si>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</si>
  <si>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</si>
  <si>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</si>
  <si>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</si>
  <si>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</si>
  <si>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</si>
  <si>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</si>
  <si>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</si>
  <si>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</si>
  <si>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</si>
  <si>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</si>
  <si>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</si>
  <si>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</si>
  <si>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</si>
  <si>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</si>
  <si>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</si>
  <si>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</si>
  <si>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</si>
  <si>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</si>
  <si>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</si>
  <si>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</si>
  <si>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</si>
  <si>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</si>
  <si>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</si>
  <si>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</si>
  <si>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</si>
  <si>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</si>
  <si>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</si>
  <si>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</si>
  <si>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</si>
  <si>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</si>
  <si>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</si>
  <si>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</si>
  <si>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</si>
  <si>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</si>
  <si>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</si>
  <si>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</si>
  <si>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</si>
  <si>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</si>
  <si>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</si>
  <si>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</si>
  <si>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</si>
  <si>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</si>
  <si>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</si>
  <si>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</si>
  <si>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</si>
  <si>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</si>
  <si>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</si>
  <si>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</si>
  <si>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</si>
  <si>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</si>
  <si>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</si>
  <si>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</si>
  <si>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</si>
  <si>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</si>
  <si>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</si>
  <si>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</si>
  <si>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</si>
  <si>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</si>
  <si>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</si>
  <si>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</si>
  <si>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</si>
  <si>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</si>
  <si>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</si>
  <si>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</si>
  <si>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</si>
  <si>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</si>
  <si>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</si>
  <si>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</si>
  <si>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</si>
  <si>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</si>
  <si>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</si>
  <si>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</si>
  <si>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</si>
  <si>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</si>
  <si>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</si>
  <si>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</si>
  <si>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</si>
  <si>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</si>
  <si>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</si>
  <si>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</si>
  <si>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</si>
  <si>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</si>
  <si>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</si>
  <si>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</si>
  <si>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</si>
  <si>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</si>
  <si>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</si>
  <si>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</si>
  <si>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</si>
  <si>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</si>
  <si>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</si>
  <si>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</si>
  <si>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</si>
  <si>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</si>
  <si>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</si>
  <si>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</si>
  <si>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</si>
  <si>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</si>
  <si>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</si>
  <si>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</si>
  <si>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</si>
  <si>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</si>
  <si>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</si>
  <si>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</si>
  <si>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</si>
  <si>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</si>
  <si>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</si>
  <si>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</si>
  <si>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</si>
  <si>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</si>
  <si>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</si>
  <si>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</si>
  <si>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</si>
  <si>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</si>
  <si>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</si>
  <si>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</si>
  <si>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</si>
  <si>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</si>
  <si>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</si>
  <si>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</si>
  <si>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</si>
  <si>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</si>
  <si>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</si>
  <si>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</si>
  <si>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</si>
  <si>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</si>
  <si>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</si>
  <si>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</si>
  <si>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</si>
  <si>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</si>
  <si>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</si>
  <si>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</si>
  <si>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</si>
  <si>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</si>
  <si>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</si>
  <si>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</si>
  <si>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</si>
  <si>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</si>
  <si>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</si>
  <si>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</si>
  <si>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</si>
  <si>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</si>
  <si>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</si>
  <si>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</si>
  <si>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</si>
  <si>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</si>
  <si>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</si>
  <si>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</si>
  <si>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</si>
  <si>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</si>
  <si>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</si>
  <si>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</si>
  <si>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</si>
  <si>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</si>
  <si>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</si>
  <si>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</si>
  <si>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</si>
  <si>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</si>
  <si>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</si>
  <si>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</si>
  <si>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</si>
  <si>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</si>
  <si>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</si>
  <si>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</si>
  <si>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</si>
  <si>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</si>
  <si>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</si>
  <si>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</si>
  <si>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</si>
  <si>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</si>
  <si>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</si>
  <si>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</si>
  <si>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</si>
  <si>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</si>
  <si>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</si>
  <si>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</si>
  <si>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</si>
  <si>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</si>
  <si>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</si>
  <si>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</si>
  <si>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</si>
  <si>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</si>
  <si>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</si>
  <si>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</si>
  <si>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</si>
  <si>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</si>
  <si>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</si>
  <si>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</si>
  <si>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</si>
  <si>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</si>
  <si>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</si>
  <si>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</si>
  <si>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</si>
  <si>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</si>
  <si>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</si>
  <si>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</si>
  <si>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</si>
  <si>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</si>
  <si>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</si>
  <si>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</si>
  <si>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</si>
  <si>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</si>
  <si>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</si>
  <si>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</si>
  <si>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</si>
  <si>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</si>
  <si>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</si>
  <si>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</si>
  <si>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</si>
  <si>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</si>
  <si>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</si>
  <si>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</si>
  <si>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</si>
  <si>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</si>
  <si>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</si>
  <si>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</si>
  <si>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</si>
  <si>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</si>
  <si>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</si>
  <si>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</si>
  <si>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</si>
  <si>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</si>
  <si>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</si>
  <si>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</si>
  <si>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</si>
  <si>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</si>
  <si>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</si>
  <si>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</si>
  <si>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</si>
  <si>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</si>
  <si>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</si>
  <si>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</si>
  <si>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</si>
  <si>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</si>
  <si>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</si>
  <si>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</si>
  <si>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</si>
  <si>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</si>
  <si>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</si>
  <si>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</si>
  <si>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</si>
  <si>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</si>
  <si>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</si>
  <si>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</si>
  <si>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</si>
  <si>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</si>
  <si>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</si>
  <si>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</si>
  <si>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</si>
  <si>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</si>
  <si>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</si>
  <si>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</si>
  <si>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</si>
  <si>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</si>
  <si>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</si>
  <si>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</si>
  <si>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</si>
  <si>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</si>
  <si>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</si>
  <si>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</si>
  <si>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</si>
  <si>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</si>
  <si>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</si>
  <si>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</si>
  <si>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</si>
  <si>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</si>
  <si>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</si>
  <si>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</si>
  <si>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</si>
  <si>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</si>
  <si>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</si>
  <si>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</si>
  <si>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</si>
  <si>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</si>
  <si>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</si>
  <si>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</si>
  <si>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</si>
  <si>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</si>
  <si>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</si>
  <si>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</si>
  <si>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</si>
  <si>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</si>
  <si>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</si>
  <si>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</si>
  <si>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</si>
  <si>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</si>
  <si>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</si>
  <si>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</si>
  <si>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</si>
  <si>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</si>
  <si>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</si>
  <si>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</si>
  <si>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</si>
  <si>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</si>
  <si>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</si>
  <si>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</si>
  <si>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</si>
  <si>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</si>
  <si>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</si>
  <si>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</si>
  <si>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</si>
  <si>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</si>
  <si>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</si>
  <si>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</si>
  <si>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</si>
  <si>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</si>
  <si>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</si>
  <si>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</si>
  <si>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</si>
  <si>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</si>
  <si>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</si>
  <si>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</si>
  <si>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</si>
  <si>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</si>
  <si>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</si>
  <si>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</si>
  <si>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</si>
  <si>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</si>
  <si>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</si>
  <si>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</si>
  <si>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</si>
  <si>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</si>
  <si>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</si>
  <si>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</si>
  <si>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</si>
  <si>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</si>
  <si>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</si>
  <si>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</si>
  <si>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</si>
  <si>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</si>
  <si>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</si>
  <si>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</si>
  <si>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</si>
  <si>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</si>
  <si>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</si>
  <si>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</si>
  <si>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</si>
  <si>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</si>
  <si>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</si>
  <si>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</si>
  <si>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</si>
  <si>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</si>
  <si>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</si>
  <si>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</si>
  <si>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</si>
  <si>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</si>
  <si>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</si>
  <si>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</si>
  <si>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</si>
  <si>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</si>
  <si>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</si>
  <si>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</si>
  <si>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</si>
  <si>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</si>
  <si>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</si>
  <si>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</si>
  <si>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</si>
  <si>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</si>
  <si>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</si>
  <si>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</si>
  <si>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</si>
  <si>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</si>
  <si>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</si>
  <si>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</si>
  <si>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</si>
  <si>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</si>
  <si>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</si>
  <si>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</si>
  <si>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</si>
  <si>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</si>
  <si>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</si>
  <si>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</si>
  <si>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</si>
  <si>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</si>
  <si>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</si>
  <si>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</si>
  <si>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</si>
  <si>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</si>
  <si>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</si>
  <si>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</si>
  <si>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</si>
  <si>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</si>
  <si>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</si>
  <si>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</si>
  <si>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</si>
  <si>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</si>
  <si>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</si>
  <si>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</si>
  <si>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</si>
  <si>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</si>
  <si>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</si>
  <si>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</si>
  <si>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</si>
  <si>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</si>
  <si>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</si>
  <si>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</si>
  <si>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</si>
  <si>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</si>
  <si>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</si>
  <si>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</si>
  <si>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</si>
  <si>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</si>
  <si>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</si>
  <si>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</si>
  <si>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</si>
  <si>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</si>
  <si>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</si>
  <si>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</si>
  <si>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</si>
  <si>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</si>
  <si>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</si>
  <si>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</si>
  <si>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</si>
  <si>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</si>
  <si>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</si>
  <si>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</si>
  <si>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</si>
  <si>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</si>
  <si>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</si>
  <si>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</si>
  <si>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</si>
  <si>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</si>
  <si>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</si>
  <si>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</si>
  <si>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</si>
  <si>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</si>
  <si>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</si>
  <si>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</si>
  <si>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</si>
  <si>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</si>
  <si>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</si>
  <si>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</si>
  <si>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</si>
  <si>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</si>
  <si>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</si>
  <si>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</si>
  <si>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</si>
  <si>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</si>
  <si>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</si>
  <si>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</si>
  <si>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</si>
  <si>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</si>
  <si>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</si>
  <si>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</si>
  <si>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</si>
  <si>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</si>
  <si>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</si>
  <si>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</si>
  <si>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</si>
  <si>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</si>
  <si>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</si>
  <si>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</si>
  <si>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</si>
  <si>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</si>
  <si>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</si>
  <si>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</si>
  <si>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</si>
  <si>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</si>
  <si>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</si>
  <si>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</si>
  <si>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</si>
  <si>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</si>
  <si>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</si>
  <si>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</si>
  <si>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</si>
  <si>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</si>
  <si>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</si>
  <si>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</si>
  <si>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</si>
  <si>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</si>
  <si>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</si>
  <si>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</si>
  <si>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</si>
  <si>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</si>
  <si>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</si>
  <si>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</si>
  <si>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</si>
  <si>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</si>
  <si>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</si>
  <si>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</si>
  <si>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</si>
  <si>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</si>
  <si>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</si>
  <si>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</si>
  <si>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</si>
  <si>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</si>
  <si>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</si>
  <si>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</si>
  <si>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</si>
  <si>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</si>
  <si>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</si>
  <si>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</si>
  <si>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</si>
  <si>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</si>
  <si>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</si>
  <si>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</si>
  <si>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</si>
  <si>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</si>
  <si>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</si>
  <si>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</si>
  <si>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</si>
  <si>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</si>
  <si>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</si>
  <si>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</si>
  <si>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</si>
  <si>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</si>
  <si>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</si>
  <si>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</si>
  <si>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</si>
  <si>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</si>
  <si>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</si>
  <si>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</si>
  <si>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</si>
  <si>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</si>
  <si>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</si>
  <si>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</si>
  <si>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</si>
  <si>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</si>
  <si>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</si>
  <si>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</si>
  <si>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</si>
  <si>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</si>
  <si>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</si>
  <si>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</si>
  <si>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</si>
  <si>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</si>
  <si>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</si>
  <si>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</si>
  <si>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</si>
  <si>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</si>
  <si>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</si>
  <si>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</si>
  <si>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</si>
  <si>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</si>
  <si>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</si>
  <si>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</si>
  <si>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</si>
  <si>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</si>
  <si>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</si>
  <si>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</si>
  <si>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</si>
  <si>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</si>
  <si>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</si>
  <si>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</si>
  <si>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</si>
  <si>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</si>
  <si>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</si>
  <si>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</si>
  <si>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</si>
  <si>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</si>
  <si>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</si>
  <si>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</si>
  <si>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</si>
  <si>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</si>
  <si>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</si>
  <si>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</si>
  <si>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</si>
  <si>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</si>
  <si>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</si>
  <si>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</si>
  <si>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</si>
  <si>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</si>
  <si>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</si>
  <si>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</si>
  <si>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</si>
  <si>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</si>
  <si>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</si>
  <si>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</si>
  <si>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</si>
  <si>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</si>
  <si>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</si>
  <si>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</si>
  <si>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</si>
  <si>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</si>
  <si>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</si>
  <si>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</si>
  <si>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</si>
  <si>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</si>
  <si>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</si>
  <si>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</si>
  <si>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</si>
  <si>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</si>
  <si>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</si>
  <si>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</si>
  <si>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</si>
  <si>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</si>
  <si>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</si>
  <si>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</si>
  <si>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</si>
  <si>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</si>
  <si>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</si>
  <si>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</si>
  <si>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</si>
  <si>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</si>
  <si>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</si>
  <si>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</si>
  <si>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</si>
  <si>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</si>
  <si>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</si>
  <si>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</si>
  <si>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</si>
  <si>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</si>
  <si>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</si>
  <si>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</si>
  <si>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</si>
  <si>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</si>
  <si>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</si>
  <si>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</si>
  <si>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</si>
  <si>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</si>
  <si>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</si>
  <si>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</si>
  <si>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</si>
  <si>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</si>
  <si>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</si>
  <si>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</si>
  <si>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</si>
  <si>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</si>
  <si>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</si>
  <si>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</si>
  <si>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</si>
  <si>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</si>
  <si>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</si>
  <si>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</si>
  <si>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</si>
  <si>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</si>
  <si>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</si>
  <si>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</si>
  <si>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</si>
  <si>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</si>
  <si>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</si>
  <si>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</si>
  <si>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</si>
  <si>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</si>
  <si>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</si>
  <si>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</si>
  <si>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</si>
  <si>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</si>
  <si>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</si>
  <si>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</si>
  <si>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</si>
  <si>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</si>
  <si>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</si>
  <si>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</si>
  <si>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</si>
  <si>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</si>
  <si>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</si>
  <si>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</si>
  <si>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</si>
  <si>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</si>
  <si>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</si>
  <si>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</si>
  <si>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</si>
  <si>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</si>
  <si>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</si>
  <si>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</si>
  <si>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</si>
  <si>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</si>
  <si>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</si>
  <si>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</si>
  <si>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</si>
  <si>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</si>
  <si>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</si>
  <si>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</si>
  <si>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</si>
  <si>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</si>
  <si>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</si>
  <si>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</si>
  <si>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</si>
  <si>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</si>
  <si>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</si>
  <si>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</si>
  <si>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</si>
  <si>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</si>
  <si>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</si>
  <si>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</si>
  <si>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</si>
  <si>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</si>
  <si>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</si>
  <si>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</si>
  <si>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</si>
  <si>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</si>
  <si>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</si>
  <si>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</si>
  <si>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</si>
  <si>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</si>
  <si>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</si>
  <si>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</si>
  <si>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</si>
  <si>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</si>
  <si>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</si>
  <si>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</si>
  <si>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</si>
  <si>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</si>
  <si>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</si>
  <si>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</si>
  <si>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</si>
  <si>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</si>
  <si>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</si>
  <si>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</si>
  <si>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</si>
  <si>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</si>
  <si>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</si>
  <si>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</si>
  <si>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</si>
  <si>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</si>
  <si>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</si>
  <si>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</si>
  <si>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</si>
  <si>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</si>
  <si>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</si>
  <si>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</si>
  <si>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</si>
  <si>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</si>
  <si>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</si>
  <si>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</si>
  <si>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</si>
  <si>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</si>
  <si>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</si>
  <si>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</si>
  <si>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</si>
  <si>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</si>
  <si>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</si>
  <si>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</si>
  <si>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</si>
  <si>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</si>
  <si>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</si>
  <si>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</si>
  <si>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</si>
  <si>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</si>
  <si>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</si>
  <si>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</si>
  <si>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</si>
  <si>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</si>
  <si>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</si>
  <si>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</si>
  <si>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</si>
  <si>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</si>
  <si>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</si>
  <si>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</si>
  <si>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</si>
  <si>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</si>
  <si>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</si>
  <si>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</si>
  <si>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</si>
  <si>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</si>
  <si>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</si>
  <si>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</si>
  <si>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</si>
  <si>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</si>
  <si>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</si>
  <si>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</si>
  <si>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</si>
  <si>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</si>
  <si>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</si>
  <si>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</si>
  <si>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</si>
  <si>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</si>
  <si>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</si>
  <si>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</si>
  <si>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</si>
  <si>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</si>
  <si>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</si>
  <si>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</si>
  <si>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</si>
  <si>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</si>
  <si>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</si>
  <si>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</si>
  <si>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</si>
  <si>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</si>
  <si>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</si>
  <si>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</si>
  <si>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</si>
  <si>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</si>
  <si>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</si>
  <si>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</si>
  <si>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</si>
  <si>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</si>
  <si>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</si>
  <si>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</si>
  <si>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</si>
  <si>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</si>
  <si>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</si>
  <si>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</si>
  <si>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</si>
  <si>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</si>
  <si>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</si>
  <si>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</si>
  <si>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</si>
  <si>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</si>
  <si>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</si>
  <si>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</si>
  <si>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</si>
  <si>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</si>
  <si>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</si>
  <si>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</si>
  <si>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</si>
  <si>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</si>
  <si>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</si>
  <si>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</si>
  <si>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</si>
  <si>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</si>
  <si>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</si>
  <si>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</si>
  <si>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</si>
  <si>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</si>
  <si>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</si>
  <si>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</si>
  <si>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</si>
  <si>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</si>
  <si>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</si>
  <si>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</si>
  <si>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</si>
  <si>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</si>
  <si>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</si>
  <si>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</si>
  <si>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</si>
  <si>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</si>
  <si>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</si>
  <si>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</si>
  <si>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</si>
  <si>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</si>
  <si>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</si>
  <si>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</si>
  <si>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</si>
  <si>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</si>
  <si>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</si>
  <si>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</si>
  <si>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</si>
  <si>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</si>
  <si>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</si>
  <si>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</si>
  <si>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</si>
  <si>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</si>
  <si>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</si>
  <si>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</si>
  <si>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</si>
  <si>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</si>
  <si>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</si>
  <si>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</si>
  <si>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</si>
  <si>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</si>
  <si>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</si>
  <si>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</si>
  <si>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</si>
  <si>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</si>
  <si>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</si>
  <si>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</si>
  <si>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</si>
  <si>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</si>
  <si>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</si>
  <si>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</si>
  <si>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</si>
  <si>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</si>
  <si>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</si>
  <si>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</si>
  <si>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</si>
  <si>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</si>
  <si>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</si>
  <si>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</si>
  <si>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</si>
  <si>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</si>
  <si>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</si>
  <si>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</si>
  <si>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</si>
  <si>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</si>
  <si>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</si>
  <si>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</si>
  <si>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</si>
  <si>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</si>
  <si>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</si>
  <si>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</si>
  <si>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</si>
  <si>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</si>
  <si>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</si>
  <si>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</si>
  <si>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</si>
  <si>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</si>
  <si>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</si>
  <si>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</si>
  <si>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</si>
  <si>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</si>
  <si>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</si>
  <si>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</si>
  <si>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</si>
  <si>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</si>
  <si>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</si>
  <si>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</si>
  <si>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</si>
  <si>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</si>
  <si>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</si>
  <si>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</si>
  <si>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</si>
  <si>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</si>
  <si>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</si>
  <si>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</si>
  <si>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</si>
  <si>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</si>
  <si>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</si>
  <si>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</si>
  <si>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</si>
  <si>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</si>
  <si>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</si>
  <si>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</si>
  <si>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</si>
  <si>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</si>
  <si>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</si>
  <si>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</si>
  <si>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</si>
  <si>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</si>
  <si>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</si>
  <si>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</si>
  <si>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</si>
  <si>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</si>
  <si>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</si>
  <si>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</si>
  <si>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</si>
  <si>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</si>
  <si>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</si>
  <si>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</si>
  <si>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</si>
  <si>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</si>
  <si>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</si>
  <si>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</si>
  <si>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</si>
  <si>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</si>
  <si>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</si>
  <si>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</si>
  <si>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</si>
  <si>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</si>
  <si>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</si>
  <si>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</si>
  <si>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</si>
  <si>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</si>
  <si>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</si>
  <si>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</si>
  <si>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</si>
  <si>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</si>
  <si>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</si>
  <si>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</si>
  <si>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</si>
  <si>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</si>
  <si>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</si>
  <si>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</si>
  <si>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</si>
  <si>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</si>
  <si>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</si>
  <si>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</si>
  <si>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</si>
  <si>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</si>
  <si>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</si>
  <si>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</si>
  <si>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</si>
  <si>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</si>
  <si>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</si>
  <si>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</si>
  <si>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</si>
  <si>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</si>
  <si>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</si>
  <si>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</si>
  <si>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</si>
  <si>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</si>
  <si>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</si>
  <si>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</si>
  <si>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</si>
  <si>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</si>
  <si>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</si>
  <si>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</si>
  <si>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</si>
  <si>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</si>
  <si>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</si>
  <si>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</si>
  <si>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</si>
  <si>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</si>
  <si>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</si>
  <si>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</si>
  <si>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</si>
  <si>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</si>
  <si>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</si>
  <si>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</si>
  <si>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</si>
  <si>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</si>
  <si>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</si>
  <si>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</si>
  <si>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</si>
  <si>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</si>
  <si>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</si>
  <si>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</si>
  <si>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</si>
  <si>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</si>
  <si>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</si>
  <si>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</si>
  <si>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</si>
  <si>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</si>
  <si>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</si>
  <si>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</si>
  <si>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</si>
  <si>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</si>
  <si>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</si>
  <si>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</si>
  <si>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</si>
  <si>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</si>
  <si>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</si>
  <si>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</si>
  <si>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</si>
  <si>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</si>
  <si>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</si>
  <si>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</si>
  <si>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</si>
  <si>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</si>
  <si>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</si>
  <si>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</si>
  <si>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</si>
  <si>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</si>
  <si>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</si>
  <si>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</si>
  <si>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</si>
  <si>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</si>
  <si>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</si>
  <si>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</si>
  <si>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</si>
  <si>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</si>
  <si>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</si>
  <si>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</si>
  <si>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</si>
  <si>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</si>
  <si>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</si>
  <si>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</si>
  <si>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</si>
  <si>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</si>
  <si>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</si>
  <si>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</si>
  <si>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</si>
  <si>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</si>
  <si>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</si>
  <si>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</si>
  <si>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</si>
  <si>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</si>
  <si>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</si>
  <si>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</si>
  <si>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</si>
  <si>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</si>
  <si>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</si>
  <si>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</si>
  <si>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</si>
  <si>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</si>
  <si>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</si>
  <si>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</si>
  <si>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</si>
  <si>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</si>
  <si>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</si>
  <si>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</si>
  <si>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</si>
  <si>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</si>
  <si>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</si>
  <si>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</si>
  <si>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</si>
  <si>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</si>
  <si>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</si>
  <si>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</si>
  <si>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</si>
  <si>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</si>
  <si>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</si>
  <si>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</si>
  <si>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</si>
  <si>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</si>
  <si>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</si>
  <si>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</si>
  <si>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</si>
  <si>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</si>
  <si>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</si>
  <si>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</si>
  <si>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</si>
  <si>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</si>
  <si>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</si>
  <si>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</si>
  <si>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</si>
  <si>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</si>
  <si>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</si>
  <si>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</si>
  <si>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</si>
  <si>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</si>
  <si>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</si>
  <si>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</si>
  <si>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</si>
  <si>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</si>
  <si>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</si>
  <si>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</si>
  <si>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</si>
  <si>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</si>
  <si>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</si>
  <si>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</si>
  <si>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</si>
  <si>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</si>
  <si>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</si>
  <si>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</si>
  <si>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</si>
  <si>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</si>
  <si>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</si>
  <si>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</si>
  <si>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</si>
  <si>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</si>
  <si>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</si>
  <si>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</si>
  <si>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</si>
  <si>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</si>
  <si>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</si>
  <si>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</si>
  <si>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</si>
  <si>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</si>
  <si>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</si>
  <si>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</si>
  <si>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</si>
  <si>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</si>
  <si>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</si>
  <si>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</si>
  <si>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</si>
  <si>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</si>
  <si>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</si>
  <si>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</si>
  <si>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</si>
  <si>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</si>
  <si>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</si>
  <si>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</si>
  <si>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</si>
  <si>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</si>
  <si>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</si>
  <si>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</si>
  <si>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</si>
  <si>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</si>
  <si>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</si>
  <si>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</si>
  <si>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</si>
  <si>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</si>
  <si>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</si>
  <si>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</si>
  <si>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</si>
  <si>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</si>
  <si>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</si>
  <si>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</si>
  <si>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</si>
  <si>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</si>
  <si>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</si>
  <si>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</si>
  <si>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</si>
  <si>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</si>
  <si>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</si>
  <si>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</si>
  <si>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</si>
  <si>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</si>
  <si>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</si>
  <si>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</si>
  <si>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</si>
  <si>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</si>
  <si>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</si>
  <si>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</si>
  <si>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</si>
  <si>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</si>
  <si>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</si>
  <si>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</si>
  <si>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</si>
  <si>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</si>
  <si>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</si>
  <si>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</si>
  <si>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</si>
  <si>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</si>
  <si>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</si>
  <si>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</si>
  <si>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</si>
  <si>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</si>
  <si>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</si>
  <si>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</si>
  <si>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</si>
  <si>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</si>
  <si>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</si>
  <si>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</si>
  <si>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</si>
  <si>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</si>
  <si>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</si>
  <si>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</si>
  <si>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</si>
  <si>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</si>
  <si>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</si>
  <si>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</si>
  <si>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</si>
  <si>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</si>
  <si>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</si>
  <si>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</si>
  <si>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</si>
  <si>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</si>
  <si>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</si>
  <si>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</si>
  <si>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</si>
  <si>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</si>
  <si>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</si>
  <si>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</si>
  <si>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</si>
  <si>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</si>
  <si>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</si>
  <si>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</si>
  <si>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</si>
  <si>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</si>
  <si>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</si>
  <si>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</si>
  <si>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</si>
  <si>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</si>
  <si>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</si>
  <si>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</si>
  <si>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</si>
  <si>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</si>
  <si>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</si>
  <si>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</si>
  <si>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</si>
  <si>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</si>
  <si>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</si>
  <si>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</si>
  <si>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</si>
  <si>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</si>
  <si>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</si>
  <si>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</si>
  <si>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</si>
  <si>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</si>
  <si>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</si>
  <si>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</si>
  <si>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</si>
  <si>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</si>
  <si>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</si>
  <si>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</si>
  <si>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</si>
  <si>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</si>
  <si>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</si>
  <si>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</si>
  <si>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</si>
  <si>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</si>
  <si>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</si>
  <si>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</si>
  <si>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</si>
  <si>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</si>
  <si>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</si>
  <si>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</si>
  <si>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</si>
  <si>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</si>
  <si>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</si>
  <si>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</si>
  <si>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</si>
  <si>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</si>
  <si>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</si>
  <si>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</si>
  <si>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</si>
  <si>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</si>
  <si>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</si>
  <si>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</si>
  <si>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</si>
  <si>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</si>
  <si>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</si>
  <si>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</si>
  <si>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</si>
  <si>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</si>
  <si>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</si>
  <si>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</si>
  <si>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</si>
  <si>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</si>
  <si>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</si>
  <si>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</si>
  <si>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</si>
  <si>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</si>
  <si>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</si>
  <si>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</si>
  <si>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</si>
  <si>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</si>
  <si>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</si>
  <si>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</si>
  <si>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</si>
  <si>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</si>
  <si>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</si>
  <si>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</si>
  <si>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</si>
  <si>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</si>
  <si>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</si>
  <si>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</si>
  <si>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</si>
  <si>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</si>
  <si>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</si>
  <si>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</si>
  <si>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</si>
  <si>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</si>
  <si>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</si>
  <si>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</si>
  <si>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</si>
  <si>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</si>
  <si>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</si>
  <si>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</si>
  <si>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</si>
  <si>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</si>
  <si>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</si>
  <si>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</si>
  <si>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</si>
  <si>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</si>
  <si>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</si>
  <si>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</si>
  <si>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</si>
  <si>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</si>
  <si>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</si>
  <si>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</si>
  <si>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</si>
  <si>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</si>
  <si>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</si>
  <si>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</si>
  <si>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</si>
  <si>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</si>
  <si>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</si>
  <si>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</si>
  <si>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</si>
  <si>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</si>
  <si>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</si>
  <si>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</si>
  <si>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</si>
  <si>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</si>
  <si>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</si>
  <si>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</si>
  <si>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</si>
  <si>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</si>
  <si>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</si>
  <si>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</si>
  <si>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</si>
  <si>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</si>
  <si>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</si>
  <si>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</si>
  <si>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</si>
  <si>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</si>
  <si>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</si>
  <si>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</si>
  <si>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</si>
  <si>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</si>
  <si>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</si>
  <si>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</si>
  <si>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</si>
  <si>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</si>
  <si>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</si>
  <si>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</si>
  <si>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</si>
  <si>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</si>
  <si>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</si>
  <si>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</si>
  <si>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</si>
  <si>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</si>
  <si>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</si>
  <si>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</si>
  <si>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</si>
  <si>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</si>
  <si>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</si>
  <si>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</si>
  <si>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</si>
  <si>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</si>
  <si>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</si>
  <si>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</si>
  <si>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</si>
  <si>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</si>
  <si>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</si>
  <si>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</si>
  <si>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</si>
  <si>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</si>
  <si>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</si>
  <si>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</si>
  <si>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</si>
  <si>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</si>
  <si>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</si>
  <si>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</si>
  <si>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</si>
  <si>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</si>
  <si>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</si>
  <si>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</si>
  <si>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</si>
  <si>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</si>
  <si>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</si>
  <si>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</si>
  <si>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</si>
  <si>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</si>
  <si>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</si>
  <si>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</si>
  <si>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</si>
  <si>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</si>
  <si>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</si>
  <si>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</si>
  <si>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</si>
  <si>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</si>
  <si>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</si>
  <si>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</si>
  <si>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</si>
  <si>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</si>
  <si>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</si>
  <si>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</si>
  <si>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</si>
  <si>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</si>
  <si>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</si>
  <si>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</si>
  <si>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</si>
  <si>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</si>
  <si>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</si>
  <si>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</si>
  <si>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</si>
  <si>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</si>
  <si>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</si>
  <si>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</si>
  <si>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</si>
  <si>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</si>
  <si>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</si>
  <si>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</si>
  <si>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</si>
  <si>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</si>
  <si>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</si>
  <si>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</si>
  <si>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</si>
  <si>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</si>
  <si>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</si>
  <si>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</si>
  <si>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</si>
  <si>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</si>
  <si>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</si>
  <si>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</si>
  <si>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</si>
  <si>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</si>
  <si>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</si>
  <si>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</si>
  <si>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</si>
  <si>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</si>
  <si>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</si>
  <si>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</si>
  <si>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</si>
  <si>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</si>
  <si>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</si>
  <si>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</si>
  <si>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</si>
  <si>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</si>
  <si>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</si>
  <si>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</si>
  <si>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</si>
  <si>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</si>
  <si>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</si>
  <si>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</si>
  <si>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</si>
  <si>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</si>
  <si>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</si>
  <si>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</si>
  <si>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</si>
  <si>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</si>
  <si>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</si>
  <si>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</si>
  <si>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</si>
  <si>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</si>
  <si>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</si>
  <si>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</si>
  <si>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</si>
  <si>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</si>
  <si>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</si>
  <si>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</si>
  <si>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</si>
  <si>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</si>
  <si>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</si>
  <si>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</si>
  <si>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</si>
  <si>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</si>
  <si>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</si>
  <si>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</si>
  <si>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</si>
  <si>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</si>
  <si>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</si>
  <si>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</si>
  <si>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</si>
  <si>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</si>
  <si>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</si>
  <si>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</si>
  <si>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</si>
  <si>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</si>
  <si>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</si>
  <si>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</si>
  <si>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</si>
  <si>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</si>
  <si>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</si>
  <si>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</si>
  <si>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</si>
  <si>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</si>
  <si>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</si>
  <si>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</si>
  <si>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</si>
  <si>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</si>
  <si>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</si>
  <si>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</si>
  <si>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</si>
  <si>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</si>
  <si>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</si>
  <si>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</si>
  <si>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</si>
  <si>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</si>
  <si>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</si>
  <si>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</si>
  <si>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</si>
  <si>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</si>
  <si>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</si>
  <si>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</si>
  <si>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</si>
  <si>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</si>
  <si>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</si>
  <si>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</si>
  <si>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</si>
  <si>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</si>
  <si>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</si>
  <si>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</si>
  <si>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</si>
  <si>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</si>
  <si>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</si>
  <si>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</si>
  <si>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</si>
  <si>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</si>
  <si>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</si>
  <si>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</si>
  <si>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</si>
  <si>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</si>
  <si>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</si>
  <si>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</si>
  <si>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</si>
  <si>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</si>
  <si>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</si>
  <si>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</si>
  <si>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</si>
  <si>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</si>
  <si>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</si>
  <si>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</si>
  <si>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</si>
  <si>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</si>
  <si>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</si>
  <si>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</si>
  <si>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</si>
  <si>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</si>
  <si>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</si>
  <si>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</si>
  <si>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</si>
  <si>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</si>
  <si>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</si>
  <si>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</si>
  <si>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</si>
  <si>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</si>
  <si>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</si>
  <si>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</si>
  <si>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</si>
  <si>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</si>
  <si>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</si>
  <si>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</si>
  <si>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</si>
  <si>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</si>
  <si>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</si>
  <si>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</si>
  <si>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</si>
  <si>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</si>
  <si>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</si>
  <si>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</si>
  <si>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</si>
  <si>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</si>
  <si>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</si>
  <si>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</si>
  <si>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</si>
  <si>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</si>
  <si>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</si>
  <si>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</si>
  <si>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</si>
  <si>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</si>
  <si>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</si>
  <si>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</si>
  <si>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</si>
  <si>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</si>
  <si>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</si>
  <si>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</si>
  <si>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</si>
  <si>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</si>
  <si>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</si>
  <si>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</si>
  <si>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</si>
  <si>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</si>
  <si>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</si>
  <si>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</si>
  <si>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</si>
  <si>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</si>
  <si>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</si>
  <si>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</si>
  <si>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</si>
  <si>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</si>
  <si>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</si>
  <si>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</si>
  <si>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</si>
  <si>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</si>
  <si>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</si>
  <si>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</si>
  <si>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</si>
  <si>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</si>
  <si>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</si>
  <si>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</si>
  <si>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</si>
  <si>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</si>
  <si>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</si>
  <si>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</si>
  <si>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</si>
  <si>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</si>
  <si>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</si>
  <si>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</si>
  <si>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</si>
  <si>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</si>
  <si>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</si>
  <si>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</si>
  <si>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</si>
  <si>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</si>
  <si>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</si>
  <si>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</si>
  <si>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</si>
  <si>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</si>
  <si>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</si>
  <si>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</si>
  <si>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</si>
  <si>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</si>
  <si>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</si>
  <si>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</si>
  <si>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</si>
  <si>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</si>
  <si>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</si>
  <si>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</si>
  <si>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</si>
  <si>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</si>
  <si>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</si>
  <si>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</si>
  <si>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</si>
  <si>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</si>
  <si>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</si>
  <si>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</si>
  <si>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</si>
  <si>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</si>
  <si>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</si>
  <si>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</si>
  <si>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</si>
  <si>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</si>
  <si>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</si>
  <si>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</si>
  <si>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</si>
  <si>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</si>
  <si>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</si>
  <si>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</si>
  <si>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</si>
  <si>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</si>
  <si>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</si>
  <si>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</si>
  <si>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</si>
  <si>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</si>
  <si>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</si>
  <si>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</si>
  <si>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</si>
  <si>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</si>
  <si>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</si>
  <si>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</si>
  <si>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</si>
  <si>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</si>
  <si>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</si>
  <si>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</si>
  <si>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</si>
  <si>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</si>
  <si>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</si>
  <si>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</si>
  <si>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</si>
  <si>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</si>
  <si>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</si>
  <si>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</si>
  <si>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</si>
  <si>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</si>
  <si>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</si>
  <si>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</si>
  <si>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</si>
  <si>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</si>
  <si>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</si>
  <si>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</si>
  <si>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</si>
  <si>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</si>
  <si>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</si>
  <si>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</si>
  <si>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</si>
  <si>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</si>
  <si>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</si>
  <si>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</si>
  <si>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</si>
  <si>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</si>
  <si>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</si>
  <si>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</si>
  <si>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</si>
  <si>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</si>
  <si>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</si>
  <si>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</si>
  <si>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</si>
  <si>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</si>
  <si>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</si>
  <si>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</si>
  <si>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</si>
  <si>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</si>
  <si>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</si>
  <si>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</si>
  <si>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</si>
  <si>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</si>
  <si>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</si>
  <si>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</si>
  <si>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</si>
  <si>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</si>
  <si>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</si>
  <si>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</si>
  <si>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</si>
  <si>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</si>
  <si>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</si>
  <si>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</si>
  <si>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</si>
  <si>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</si>
  <si>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</si>
  <si>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</si>
  <si>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</si>
  <si>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</si>
  <si>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</si>
  <si>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</si>
  <si>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</si>
  <si>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</si>
  <si>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</si>
  <si>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</si>
  <si>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</si>
  <si>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</si>
  <si>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</si>
  <si>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</si>
  <si>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</si>
  <si>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</si>
  <si>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</si>
  <si>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</si>
  <si>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</si>
  <si>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</si>
  <si>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</si>
  <si>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</si>
  <si>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</si>
  <si>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</si>
  <si>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</si>
  <si>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</si>
  <si>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</si>
  <si>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</si>
  <si>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</si>
  <si>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</si>
  <si>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</si>
  <si>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</si>
  <si>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</si>
  <si>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</si>
  <si>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</si>
  <si>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</si>
  <si>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</si>
  <si>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</si>
  <si>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</si>
  <si>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</si>
  <si>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</si>
  <si>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</si>
  <si>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</si>
  <si>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</si>
  <si>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</si>
  <si>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</si>
  <si>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</si>
  <si>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</si>
  <si>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</si>
  <si>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</si>
  <si>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</si>
  <si>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</si>
  <si>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</si>
  <si>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</si>
  <si>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</si>
  <si>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</si>
  <si>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</si>
  <si>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</si>
  <si>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</si>
  <si>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</si>
  <si>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</si>
  <si>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</si>
  <si>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</si>
  <si>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</si>
  <si>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</si>
  <si>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</si>
  <si>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</si>
  <si>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</si>
  <si>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</si>
  <si>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</si>
  <si>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</si>
  <si>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</si>
  <si>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</si>
  <si>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</si>
  <si>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</si>
  <si>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</si>
  <si>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</si>
  <si>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</si>
  <si>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</si>
  <si>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</si>
  <si>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</si>
  <si>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</si>
  <si>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</si>
  <si>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</si>
  <si>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</si>
  <si>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</si>
  <si>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</si>
  <si>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</si>
  <si>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</si>
  <si>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</si>
  <si>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</si>
  <si>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</si>
  <si>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</si>
  <si>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</si>
  <si>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</si>
  <si>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</si>
  <si>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</si>
  <si>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</si>
  <si>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</si>
  <si>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</si>
  <si>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</si>
  <si>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</si>
  <si>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</si>
  <si>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</si>
  <si>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</si>
  <si>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</si>
  <si>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</si>
  <si>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</si>
  <si>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</si>
  <si>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</si>
  <si>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</si>
  <si>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</si>
  <si>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</si>
  <si>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</si>
  <si>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</si>
  <si>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</si>
  <si>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</si>
  <si>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</si>
  <si>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</si>
  <si>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</si>
  <si>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</si>
  <si>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</si>
  <si>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</si>
  <si>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</si>
  <si>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</si>
  <si>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</si>
  <si>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</si>
  <si>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</si>
  <si>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</si>
  <si>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</si>
  <si>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</si>
  <si>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</si>
  <si>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</si>
  <si>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</si>
  <si>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</si>
  <si>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</si>
  <si>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</si>
  <si>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</si>
  <si>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</si>
  <si>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</si>
  <si>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</si>
  <si>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</si>
  <si>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</si>
  <si>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</si>
  <si>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</si>
  <si>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</si>
  <si>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</si>
  <si>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</si>
  <si>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</si>
  <si>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</si>
  <si>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</si>
  <si>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</si>
  <si>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</si>
  <si>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</si>
  <si>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</si>
  <si>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</si>
  <si>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</si>
  <si>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</si>
  <si>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</si>
  <si>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</si>
  <si>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</si>
  <si>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</si>
  <si>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</si>
  <si>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</si>
  <si>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</si>
  <si>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</si>
  <si>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</si>
  <si>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</si>
  <si>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</si>
  <si>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</si>
  <si>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</si>
  <si>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</si>
  <si>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</si>
  <si>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</si>
  <si>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</si>
  <si>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</si>
  <si>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</si>
  <si>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</si>
  <si>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</si>
  <si>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</si>
  <si>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</si>
  <si>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</si>
  <si>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</si>
  <si>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</si>
  <si>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</si>
  <si>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</si>
  <si>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</si>
  <si>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</si>
  <si>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</si>
  <si>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</si>
  <si>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</si>
  <si>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</si>
  <si>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</si>
  <si>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</si>
  <si>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</si>
  <si>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</si>
  <si>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</si>
  <si>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</si>
  <si>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</si>
  <si>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</si>
  <si>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</si>
  <si>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</si>
  <si>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</si>
  <si>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</si>
  <si>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</si>
  <si>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</si>
  <si>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</si>
  <si>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</si>
  <si>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</si>
  <si>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</si>
  <si>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</si>
  <si>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</si>
  <si>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</si>
  <si>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</si>
  <si>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</si>
  <si>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</si>
  <si>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</si>
  <si>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</si>
  <si>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</si>
  <si>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</si>
  <si>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</si>
  <si>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</si>
  <si>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</si>
  <si>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</si>
  <si>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</si>
  <si>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</si>
  <si>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</si>
  <si>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</si>
  <si>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</si>
  <si>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</si>
  <si>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</si>
  <si>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</si>
  <si>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</si>
  <si>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</si>
  <si>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</si>
  <si>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</si>
  <si>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</si>
  <si>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</si>
  <si>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</si>
  <si>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</si>
  <si>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</si>
  <si>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</si>
  <si>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</si>
  <si>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</si>
  <si>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</si>
  <si>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</si>
  <si>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</si>
  <si>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</si>
  <si>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</si>
  <si>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</si>
  <si>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</si>
  <si>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</si>
  <si>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</si>
  <si>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</si>
  <si>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</si>
  <si>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</si>
  <si>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</si>
  <si>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</si>
  <si>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</si>
  <si>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</si>
  <si>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</si>
  <si>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</si>
  <si>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</si>
  <si>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</si>
  <si>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</si>
  <si>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</si>
  <si>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</si>
  <si>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</si>
  <si>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</si>
  <si>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</si>
  <si>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</si>
  <si>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</si>
  <si>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</si>
  <si>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</si>
  <si>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</si>
  <si>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</si>
  <si>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</si>
  <si>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</si>
  <si>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</si>
  <si>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</si>
  <si>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</si>
  <si>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</si>
  <si>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</si>
  <si>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</si>
  <si>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</si>
  <si>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</si>
  <si>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</si>
  <si>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</si>
  <si>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</si>
  <si>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</si>
  <si>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</si>
  <si>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</si>
  <si>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</si>
  <si>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</si>
  <si>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</si>
  <si>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</si>
  <si>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</si>
  <si>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</si>
  <si>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</si>
  <si>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</si>
  <si>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</si>
  <si>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</si>
  <si>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</si>
  <si>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</si>
  <si>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</si>
  <si>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</si>
  <si>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</si>
  <si>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</si>
  <si>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</si>
  <si>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</si>
  <si>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</si>
  <si>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</si>
  <si>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</si>
  <si>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</si>
  <si>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</si>
  <si>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</si>
  <si>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</si>
  <si>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</si>
  <si>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</si>
  <si>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</si>
  <si>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</si>
  <si>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</si>
  <si>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</si>
  <si>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</si>
  <si>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</si>
  <si>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</si>
  <si>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</si>
  <si>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</si>
  <si>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</si>
  <si>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</si>
  <si>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</si>
  <si>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</si>
  <si>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</si>
  <si>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</si>
  <si>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</si>
  <si>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</si>
  <si>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</si>
  <si>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</si>
  <si>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</si>
  <si>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</si>
  <si>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</si>
  <si>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</si>
  <si>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</si>
  <si>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</si>
  <si>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</si>
  <si>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</si>
  <si>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</si>
  <si>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</si>
  <si>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</si>
  <si>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</si>
  <si>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</si>
  <si>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</si>
  <si>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</si>
  <si>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</si>
  <si>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</si>
  <si>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</si>
  <si>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</si>
  <si>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</si>
  <si>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</si>
  <si>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</si>
  <si>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</si>
  <si>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</si>
  <si>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</si>
  <si>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</si>
  <si>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</si>
  <si>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</si>
  <si>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</si>
  <si>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</si>
  <si>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</si>
  <si>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</si>
  <si>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</si>
  <si>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</si>
  <si>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</si>
  <si>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</si>
  <si>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</si>
  <si>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</si>
  <si>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</si>
  <si>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</si>
  <si>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</si>
  <si>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</si>
  <si>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</si>
  <si>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</si>
  <si>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</si>
  <si>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</si>
  <si>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</si>
  <si>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</si>
  <si>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</si>
  <si>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</si>
  <si>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</si>
  <si>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</si>
  <si>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</si>
  <si>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</si>
  <si>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</si>
  <si>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</si>
  <si>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</si>
  <si>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</si>
  <si>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</si>
  <si>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</si>
  <si>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</si>
  <si>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</si>
  <si>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</si>
  <si>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</si>
  <si>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</si>
  <si>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</si>
  <si>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</si>
  <si>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</si>
  <si>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</si>
  <si>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</si>
  <si>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</si>
  <si>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</si>
  <si>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</si>
  <si>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</si>
  <si>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</si>
  <si>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</si>
  <si>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</si>
  <si>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</si>
  <si>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</si>
  <si>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</si>
  <si>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</si>
  <si>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</si>
  <si>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</si>
  <si>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</si>
  <si>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</si>
  <si>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</si>
  <si>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</si>
  <si>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</si>
  <si>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</si>
  <si>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</si>
  <si>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</si>
  <si>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</si>
  <si>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</si>
  <si>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</si>
  <si>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</si>
  <si>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</si>
  <si>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</si>
  <si>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</si>
  <si>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</si>
  <si>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</si>
  <si>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</si>
  <si>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</si>
  <si>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</si>
  <si>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</si>
  <si>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</si>
  <si>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</si>
  <si>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</si>
  <si>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</si>
  <si>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</si>
  <si>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</si>
  <si>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</si>
  <si>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</si>
  <si>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</si>
  <si>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</si>
  <si>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</si>
  <si>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</si>
  <si>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</si>
  <si>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</si>
  <si>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</si>
  <si>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</si>
  <si>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</si>
  <si>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</si>
  <si>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</si>
  <si>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</si>
  <si>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</si>
  <si>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</si>
  <si>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</si>
  <si>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</si>
  <si>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</si>
  <si>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</si>
  <si>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</si>
  <si>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</si>
  <si>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</si>
  <si>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</si>
  <si>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</si>
  <si>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</si>
  <si>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</si>
  <si>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</si>
  <si>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</si>
  <si>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</si>
  <si>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</si>
  <si>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</si>
  <si>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</si>
  <si>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</si>
  <si>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</si>
  <si>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</si>
  <si>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</si>
  <si>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</si>
  <si>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</si>
  <si>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</si>
  <si>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</si>
  <si>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</si>
  <si>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</si>
  <si>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</si>
  <si>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</si>
  <si>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</si>
  <si>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</si>
  <si>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</si>
  <si>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</si>
  <si>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</si>
  <si>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</si>
  <si>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</si>
  <si>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</si>
  <si>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</si>
  <si>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</si>
  <si>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</si>
  <si>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</si>
  <si>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</si>
  <si>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</si>
  <si>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</si>
  <si>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</si>
  <si>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</si>
  <si>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</si>
  <si>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北京龙湖兴润置业有限公司</t>
  </si>
  <si>
    <t>核定资产</t>
  </si>
  <si>
    <t>房地产市场价值</t>
  </si>
  <si>
    <t>北京市</t>
  </si>
  <si>
    <r>
      <rPr>
        <sz val="12"/>
        <rFont val="宋体"/>
        <family val="3"/>
        <charset val="134"/>
      </rPr>
      <t>大兴区永兴路</t>
    </r>
    <r>
      <rPr>
        <sz val="12"/>
        <rFont val="Arial"/>
        <family val="2"/>
      </rPr>
      <t>7</t>
    </r>
    <r>
      <rPr>
        <sz val="12"/>
        <rFont val="宋体"/>
        <family val="3"/>
        <charset val="134"/>
      </rPr>
      <t>号院</t>
    </r>
    <r>
      <rPr>
        <sz val="12"/>
        <rFont val="Arial"/>
        <family val="2"/>
      </rPr>
      <t>6</t>
    </r>
    <r>
      <rPr>
        <sz val="12"/>
        <rFont val="宋体"/>
        <family val="3"/>
        <charset val="134"/>
      </rPr>
      <t>号楼</t>
    </r>
    <r>
      <rPr>
        <sz val="12"/>
        <rFont val="Arial"/>
        <family val="2"/>
      </rPr>
      <t>-101</t>
    </r>
    <r>
      <rPr>
        <sz val="12"/>
        <rFont val="宋体"/>
        <family val="3"/>
        <charset val="134"/>
      </rPr>
      <t>号商业用房</t>
    </r>
    <phoneticPr fontId="6" type="noConversion"/>
  </si>
  <si>
    <t>企业</t>
  </si>
  <si>
    <t>出让</t>
  </si>
  <si>
    <t>商业项目</t>
  </si>
  <si>
    <t>无</t>
  </si>
  <si>
    <t>否</t>
  </si>
  <si>
    <t>通路</t>
  </si>
  <si>
    <t>通电</t>
  </si>
  <si>
    <t>通讯</t>
  </si>
  <si>
    <t>通上水</t>
  </si>
  <si>
    <t>通下水</t>
  </si>
  <si>
    <t>现房</t>
  </si>
  <si>
    <t>Ⅷ-兴1</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</si>
  <si>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</si>
  <si>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</si>
  <si>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</si>
  <si>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房地产价值</t>
  </si>
  <si>
    <t>序号</t>
    <phoneticPr fontId="143" type="noConversion"/>
  </si>
  <si>
    <t>房屋所有权证</t>
    <phoneticPr fontId="143" type="noConversion"/>
  </si>
  <si>
    <t>房号</t>
    <phoneticPr fontId="143" type="noConversion"/>
  </si>
  <si>
    <t>用途</t>
    <phoneticPr fontId="143" type="noConversion"/>
  </si>
  <si>
    <r>
      <t>总</t>
    </r>
    <r>
      <rPr>
        <sz val="9"/>
        <color theme="1"/>
        <rFont val="Arial"/>
        <family val="2"/>
      </rPr>
      <t xml:space="preserve"> </t>
    </r>
    <r>
      <rPr>
        <sz val="9"/>
        <color theme="1"/>
        <rFont val="华文细黑"/>
        <family val="3"/>
        <charset val="134"/>
      </rPr>
      <t>价</t>
    </r>
  </si>
  <si>
    <t>楼面单价</t>
  </si>
  <si>
    <t>X京房权证兴字地203744号</t>
    <phoneticPr fontId="143" type="noConversion"/>
  </si>
  <si>
    <t>BJSDTJ-6--101W</t>
  </si>
  <si>
    <t>北京市大兴区永兴路7号院6号楼-101号商业用房房地产</t>
    <phoneticPr fontId="143" type="noConversion"/>
  </si>
  <si>
    <t>商业</t>
    <phoneticPr fontId="143" type="noConversion"/>
  </si>
  <si>
    <t>BJSDTJ-6--102W</t>
  </si>
  <si>
    <t>北京市大兴区永兴路7号院6号楼-102号商业用房房地产</t>
    <phoneticPr fontId="143" type="noConversion"/>
  </si>
  <si>
    <t>商业</t>
    <phoneticPr fontId="143" type="noConversion"/>
  </si>
  <si>
    <t>X京房权证兴字地203744号</t>
  </si>
  <si>
    <t>BJSDTJ-6--107W</t>
  </si>
  <si>
    <t>北京市大兴区永兴路7号院6号楼-107号商业用房房地产</t>
    <phoneticPr fontId="143" type="noConversion"/>
  </si>
  <si>
    <t>商业</t>
    <phoneticPr fontId="143" type="noConversion"/>
  </si>
  <si>
    <t>BJSDTJ-6--108W</t>
  </si>
  <si>
    <t>北京市大兴区永兴路7号院6号楼-108号商业用房房地产</t>
    <phoneticPr fontId="143" type="noConversion"/>
  </si>
  <si>
    <t>BJSDTJ-6-306W</t>
  </si>
  <si>
    <t>北京市大兴区永兴路7号院6号楼306号商业用房房地产</t>
    <phoneticPr fontId="143" type="noConversion"/>
  </si>
  <si>
    <t>X京房权证兴字地197383号</t>
    <phoneticPr fontId="143" type="noConversion"/>
  </si>
  <si>
    <r>
      <t>X京房权证兴字第</t>
    </r>
    <r>
      <rPr>
        <sz val="11"/>
        <color theme="1"/>
        <rFont val="宋体"/>
        <family val="3"/>
        <charset val="134"/>
        <scheme val="minor"/>
      </rPr>
      <t>187451号</t>
    </r>
    <phoneticPr fontId="143" type="noConversion"/>
  </si>
  <si>
    <t>BJSDTJ-7--102W</t>
  </si>
  <si>
    <r>
      <t>北京市大兴区永兴路7号院</t>
    </r>
    <r>
      <rPr>
        <sz val="11"/>
        <color theme="1"/>
        <rFont val="宋体"/>
        <family val="3"/>
        <charset val="134"/>
        <scheme val="minor"/>
      </rPr>
      <t>7号楼-102号商业用房房地产</t>
    </r>
    <phoneticPr fontId="143" type="noConversion"/>
  </si>
  <si>
    <r>
      <t>X京房权证兴字第</t>
    </r>
    <r>
      <rPr>
        <sz val="11"/>
        <color theme="1"/>
        <rFont val="宋体"/>
        <family val="3"/>
        <charset val="134"/>
        <scheme val="minor"/>
      </rPr>
      <t>175004号</t>
    </r>
    <phoneticPr fontId="143" type="noConversion"/>
  </si>
  <si>
    <r>
      <t>X京房权证兴字第</t>
    </r>
    <r>
      <rPr>
        <sz val="11"/>
        <color theme="1"/>
        <rFont val="宋体"/>
        <family val="3"/>
        <charset val="134"/>
        <scheme val="minor"/>
      </rPr>
      <t>175004号</t>
    </r>
    <phoneticPr fontId="143" type="noConversion"/>
  </si>
  <si>
    <t>BJSDTJ-8-701W</t>
  </si>
  <si>
    <t>BJSDTJ-8-702W</t>
  </si>
  <si>
    <t>BJSDTJ-8-703W</t>
  </si>
  <si>
    <t>BJSDTJ-8-704W</t>
  </si>
  <si>
    <r>
      <t>X京房权证兴字第</t>
    </r>
    <r>
      <rPr>
        <sz val="11"/>
        <color theme="1"/>
        <rFont val="宋体"/>
        <family val="3"/>
        <charset val="134"/>
        <scheme val="minor"/>
      </rPr>
      <t>175004号</t>
    </r>
    <phoneticPr fontId="143" type="noConversion"/>
  </si>
  <si>
    <t>BJSDTJ-8-705W</t>
  </si>
  <si>
    <r>
      <t>X京房权证兴字第</t>
    </r>
    <r>
      <rPr>
        <sz val="11"/>
        <color theme="1"/>
        <rFont val="宋体"/>
        <family val="3"/>
        <charset val="134"/>
        <scheme val="minor"/>
      </rPr>
      <t>203744号</t>
    </r>
    <phoneticPr fontId="143" type="noConversion"/>
  </si>
  <si>
    <t>BJSDTJ-5--105W</t>
  </si>
  <si>
    <r>
      <t>北京市大兴区永兴路7号院</t>
    </r>
    <r>
      <rPr>
        <sz val="11"/>
        <color theme="1"/>
        <rFont val="宋体"/>
        <family val="3"/>
        <charset val="134"/>
        <scheme val="minor"/>
      </rPr>
      <t>2号楼-105号商业用房房地产</t>
    </r>
    <phoneticPr fontId="143" type="noConversion"/>
  </si>
  <si>
    <t>BJSDTJ-5--108W</t>
  </si>
  <si>
    <t>北京市大兴区永兴路7号院2号楼-108号商业用房房地产</t>
    <phoneticPr fontId="143" type="noConversion"/>
  </si>
  <si>
    <t>BJSDTJ-5--109W</t>
  </si>
  <si>
    <t>北京市大兴区永兴路7号院2号楼-109号商业用房房地产</t>
    <phoneticPr fontId="143" type="noConversion"/>
  </si>
  <si>
    <t>BJSDTJ-5--113W</t>
  </si>
  <si>
    <t>北京市大兴区永兴路7号院2号楼-113号商业用房房地产</t>
    <phoneticPr fontId="143" type="noConversion"/>
  </si>
  <si>
    <r>
      <t>X京房权证兴字第</t>
    </r>
    <r>
      <rPr>
        <sz val="11"/>
        <color theme="1"/>
        <rFont val="宋体"/>
        <family val="3"/>
        <charset val="134"/>
        <scheme val="minor"/>
      </rPr>
      <t>142944号</t>
    </r>
    <phoneticPr fontId="143" type="noConversion"/>
  </si>
  <si>
    <t>BJSDTJ-14--201E</t>
  </si>
  <si>
    <r>
      <t>北京市大兴区永兴路5号院</t>
    </r>
    <r>
      <rPr>
        <sz val="11"/>
        <color theme="1"/>
        <rFont val="宋体"/>
        <family val="3"/>
        <charset val="134"/>
        <scheme val="minor"/>
      </rPr>
      <t>1号楼-201号商业用房房地产</t>
    </r>
    <phoneticPr fontId="143" type="noConversion"/>
  </si>
  <si>
    <r>
      <t>X京房权证兴字第</t>
    </r>
    <r>
      <rPr>
        <sz val="11"/>
        <color theme="1"/>
        <rFont val="宋体"/>
        <family val="3"/>
        <charset val="134"/>
        <scheme val="minor"/>
      </rPr>
      <t>142944号</t>
    </r>
    <phoneticPr fontId="143" type="noConversion"/>
  </si>
  <si>
    <t>BJSDTJ-14--203E</t>
  </si>
  <si>
    <t>北京市大兴区永兴路5号院1号楼-203号商业用房房地产</t>
    <phoneticPr fontId="143" type="noConversion"/>
  </si>
  <si>
    <t>BJSDTJ-1-103W</t>
  </si>
  <si>
    <t>北京市大兴区永兴路7号院4号楼103号戊类仓储用房房地产</t>
    <phoneticPr fontId="143" type="noConversion"/>
  </si>
  <si>
    <t>戊类仓储用房</t>
  </si>
  <si>
    <t>BJSDTJ-1-115W</t>
  </si>
  <si>
    <t>北京市大兴区永兴路7号院4号楼115号戊类仓储用房房地产</t>
    <phoneticPr fontId="143" type="noConversion"/>
  </si>
  <si>
    <t>X京房权证兴字地145483号</t>
    <phoneticPr fontId="143" type="noConversion"/>
  </si>
  <si>
    <t>BJSDTJ-1—-313E</t>
  </si>
  <si>
    <t>北京市大兴区永兴路5号院4号楼-313号戊类仓储用房房地产</t>
    <phoneticPr fontId="143" type="noConversion"/>
  </si>
  <si>
    <t>BJSDTJ-1—-317E</t>
  </si>
  <si>
    <t>北京市大兴区永兴路5号院4号楼-317号戊类仓储用房房地产</t>
    <phoneticPr fontId="143" type="noConversion"/>
  </si>
  <si>
    <t>X京房权证兴字地145483号</t>
  </si>
  <si>
    <t>BJSDTJ-1—-312E</t>
  </si>
  <si>
    <t>北京市大兴区永兴路5号院4号楼-312号戊类仓储用房房地产</t>
    <phoneticPr fontId="143" type="noConversion"/>
  </si>
  <si>
    <t>BJSDTJ-1—-326E</t>
  </si>
  <si>
    <t>北京市大兴区永兴路5号院4号楼-326号戊类仓储用房房地产</t>
    <phoneticPr fontId="143" type="noConversion"/>
  </si>
  <si>
    <t>BJSDTJ-1—-303E</t>
  </si>
  <si>
    <t>北京市大兴区永兴路5号院4号楼-303号戊类仓储用房房地产</t>
    <phoneticPr fontId="143" type="noConversion"/>
  </si>
  <si>
    <t>BJSDTJ-1—-314E</t>
  </si>
  <si>
    <t>北京市大兴区永兴路5号院4号楼-314号戊类仓储用房房地产</t>
    <phoneticPr fontId="143" type="noConversion"/>
  </si>
  <si>
    <t>BJSDTJ-1—-327E</t>
  </si>
  <si>
    <t>北京市大兴区永兴路5号院4号楼-327号戊类仓储用房房地产</t>
    <phoneticPr fontId="143" type="noConversion"/>
  </si>
  <si>
    <t>BJSDTJ-1—-330E</t>
  </si>
  <si>
    <t>北京市大兴区永兴路5号院4号楼-330号戊类仓储用房房地产</t>
    <phoneticPr fontId="143" type="noConversion"/>
  </si>
  <si>
    <t>BJSDTJ-1—-329E</t>
  </si>
  <si>
    <t>北京市大兴区永兴路5号院4号楼-329号戊类仓储用房房地产</t>
    <phoneticPr fontId="143" type="noConversion"/>
  </si>
  <si>
    <t>BJSDTJ-1—-302E</t>
  </si>
  <si>
    <t>北京市大兴区永兴路5号院4号楼-302号戊类仓储用房房地产</t>
    <phoneticPr fontId="143" type="noConversion"/>
  </si>
  <si>
    <t>BJSDTJ-1—-310E</t>
  </si>
  <si>
    <t>北京市大兴区永兴路5号院4号楼-310号戊类仓储用房房地产</t>
    <phoneticPr fontId="143" type="noConversion"/>
  </si>
  <si>
    <t>BJSDTJ-1—-316E</t>
  </si>
  <si>
    <t>北京市大兴区永兴路5号院4号楼-316号戊类仓储用房房地产</t>
    <phoneticPr fontId="143" type="noConversion"/>
  </si>
  <si>
    <t>BJSDTJ-1—-311E</t>
  </si>
  <si>
    <t>北京市大兴区永兴路5号院4号楼-311号戊类仓储用房房地产</t>
    <phoneticPr fontId="143" type="noConversion"/>
  </si>
  <si>
    <t>BJSDTJ-1—-325E</t>
  </si>
  <si>
    <t>北京市大兴区永兴路5号院4号楼-325号戊类仓储用房房地产</t>
    <phoneticPr fontId="143" type="noConversion"/>
  </si>
  <si>
    <t>BJSDTJ-1—-304E</t>
  </si>
  <si>
    <t>北京市大兴区永兴路5号院4号楼-304号戊类仓储用房房地产</t>
    <phoneticPr fontId="143" type="noConversion"/>
  </si>
  <si>
    <t>BJSDTJ-1—-305E</t>
  </si>
  <si>
    <t>北京市大兴区永兴路5号院4号楼-305号戊类仓储用房房地产</t>
    <phoneticPr fontId="143" type="noConversion"/>
  </si>
  <si>
    <t>BJSDTJ-1—-319E</t>
  </si>
  <si>
    <t>北京市大兴区永兴路5号院4号楼-319号戊类仓储用房房地产</t>
    <phoneticPr fontId="143" type="noConversion"/>
  </si>
  <si>
    <t>BJSDTJ-1—-309E</t>
  </si>
  <si>
    <t>北京市大兴区永兴路5号院4号楼-309号戊类仓储用房房地产</t>
    <phoneticPr fontId="143" type="noConversion"/>
  </si>
  <si>
    <t>BJSDTJ-1—-321E</t>
  </si>
  <si>
    <t>北京市大兴区永兴路5号院4号楼-321号戊类仓储用房房地产</t>
    <phoneticPr fontId="143" type="noConversion"/>
  </si>
  <si>
    <t>BJSDTJ-1—-315E</t>
  </si>
  <si>
    <t>北京市大兴区永兴路5号院4号楼-315号戊类仓储用房房地产</t>
    <phoneticPr fontId="143" type="noConversion"/>
  </si>
  <si>
    <t>BJSDTJ-1—-320E</t>
  </si>
  <si>
    <t>北京市大兴区永兴路5号院4号楼-320号戊类仓储用房房地产</t>
    <phoneticPr fontId="143" type="noConversion"/>
  </si>
  <si>
    <t>BJSDTJ-1—-328E</t>
  </si>
  <si>
    <t>北京市大兴区永兴路5号院4号楼-328号戊类仓储用房房地产</t>
    <phoneticPr fontId="143" type="noConversion"/>
  </si>
  <si>
    <t>BJSDTJ-1—-301E</t>
  </si>
  <si>
    <t>北京市大兴区永兴路5号院4号楼-301号戊类仓储用房房地产</t>
    <phoneticPr fontId="143" type="noConversion"/>
  </si>
  <si>
    <t>BJSDTJ-1—-306E</t>
  </si>
  <si>
    <t>北京市大兴区永兴路5号院4号楼-306号戊类仓储用房房地产</t>
    <phoneticPr fontId="143" type="noConversion"/>
  </si>
  <si>
    <t>BJSDTJ-1—-322E</t>
  </si>
  <si>
    <t>北京市大兴区永兴路5号院4号楼-322号戊类仓储用房房地产</t>
    <phoneticPr fontId="143" type="noConversion"/>
  </si>
  <si>
    <t>BJSDTJ-1—-324E</t>
  </si>
  <si>
    <t>北京市大兴区永兴路5号院4号楼-324号戊类仓储用房房地产</t>
    <phoneticPr fontId="143" type="noConversion"/>
  </si>
  <si>
    <t>BJSDTJ-1—-323E</t>
  </si>
  <si>
    <t>北京市大兴区永兴路5号院4号楼-323号戊类仓储用房房地产</t>
    <phoneticPr fontId="143" type="noConversion"/>
  </si>
  <si>
    <t>BJSDTJ-1—-318E</t>
  </si>
  <si>
    <t>北京市大兴区永兴路5号院4号楼-318号戊类仓储用房房地产</t>
    <phoneticPr fontId="143" type="noConversion"/>
  </si>
  <si>
    <t>BJSDTJ-1—-307E</t>
  </si>
  <si>
    <t>北京市大兴区永兴路5号院4号楼-307号戊类仓储用房房地产</t>
    <phoneticPr fontId="143" type="noConversion"/>
  </si>
  <si>
    <t>X京房权证兴字第145483号</t>
    <phoneticPr fontId="143" type="noConversion"/>
  </si>
  <si>
    <t>BJSDTJ-1—-308E</t>
  </si>
  <si>
    <r>
      <t>北京市大兴区永兴路5号院</t>
    </r>
    <r>
      <rPr>
        <sz val="11"/>
        <color theme="1"/>
        <rFont val="宋体"/>
        <family val="3"/>
        <charset val="134"/>
        <scheme val="minor"/>
      </rPr>
      <t>4号楼-308号戊类仓储用房房地产</t>
    </r>
    <phoneticPr fontId="143" type="noConversion"/>
  </si>
  <si>
    <r>
      <t>X京房权证兴字第</t>
    </r>
    <r>
      <rPr>
        <sz val="11"/>
        <color theme="1"/>
        <rFont val="宋体"/>
        <family val="3"/>
        <charset val="134"/>
        <scheme val="minor"/>
      </rPr>
      <t>176270号</t>
    </r>
    <phoneticPr fontId="143" type="noConversion"/>
  </si>
  <si>
    <t>BJSDTJ-3--107W</t>
  </si>
  <si>
    <r>
      <t>北京市大兴区永兴路7号院</t>
    </r>
    <r>
      <rPr>
        <sz val="11"/>
        <color theme="1"/>
        <rFont val="宋体"/>
        <family val="3"/>
        <charset val="134"/>
        <scheme val="minor"/>
      </rPr>
      <t>8号楼-107号戊类仓储用房房地产</t>
    </r>
    <phoneticPr fontId="143" type="noConversion"/>
  </si>
  <si>
    <t>BJSDTJ-3--109W</t>
  </si>
  <si>
    <t>北京市大兴区永兴路7号院8号楼-109号戊类仓储用房房地产</t>
    <phoneticPr fontId="143" type="noConversion"/>
  </si>
  <si>
    <t>BJSDTJ-3--110W</t>
  </si>
  <si>
    <t>北京市大兴区永兴路7号院8号楼-110号戊类仓储用房房地产</t>
    <phoneticPr fontId="143" type="noConversion"/>
  </si>
  <si>
    <r>
      <t>X京房权证兴字第</t>
    </r>
    <r>
      <rPr>
        <sz val="11"/>
        <color theme="1"/>
        <rFont val="宋体"/>
        <family val="3"/>
        <charset val="134"/>
        <scheme val="minor"/>
      </rPr>
      <t>167368号</t>
    </r>
    <phoneticPr fontId="143" type="noConversion"/>
  </si>
  <si>
    <t>BJSDTJ-4—负101</t>
  </si>
  <si>
    <r>
      <t>北京市大兴区永兴路5号院</t>
    </r>
    <r>
      <rPr>
        <sz val="11"/>
        <color theme="1"/>
        <rFont val="宋体"/>
        <family val="3"/>
        <charset val="134"/>
        <scheme val="minor"/>
      </rPr>
      <t>6号楼-101号戊类仓储用房房地产</t>
    </r>
    <phoneticPr fontId="143" type="noConversion"/>
  </si>
  <si>
    <t>BJSDTJ-3-负209</t>
  </si>
  <si>
    <t>北京市大兴区永兴路7号院8号楼-209号戊类仓储用房房地产</t>
    <phoneticPr fontId="143" type="noConversion"/>
  </si>
  <si>
    <t>BJSDTJ-3-负210</t>
  </si>
  <si>
    <t>北京市大兴区永兴路7号院8号楼-210号戊类仓储用房房地产</t>
    <phoneticPr fontId="143" type="noConversion"/>
  </si>
  <si>
    <r>
      <t>X京房权证兴字第</t>
    </r>
    <r>
      <rPr>
        <sz val="11"/>
        <color theme="1"/>
        <rFont val="宋体"/>
        <family val="3"/>
        <charset val="134"/>
        <scheme val="minor"/>
      </rPr>
      <t>176270号</t>
    </r>
    <phoneticPr fontId="143" type="noConversion"/>
  </si>
  <si>
    <t>BJSDTJ-3-负211</t>
  </si>
  <si>
    <t>北京市大兴区永兴路7号院8号楼-211号戊类仓储用房房地产</t>
    <phoneticPr fontId="143" type="noConversion"/>
  </si>
  <si>
    <r>
      <t>X京房权证兴字第</t>
    </r>
    <r>
      <rPr>
        <sz val="11"/>
        <color theme="1"/>
        <rFont val="宋体"/>
        <family val="3"/>
        <charset val="134"/>
        <scheme val="minor"/>
      </rPr>
      <t>176270号</t>
    </r>
    <phoneticPr fontId="143" type="noConversion"/>
  </si>
  <si>
    <t>BJSDTJ-3-负212</t>
  </si>
  <si>
    <t>北京市大兴区永兴路7号院8号楼-212号戊类仓储用房房地产</t>
    <phoneticPr fontId="143" type="noConversion"/>
  </si>
  <si>
    <t>BJSDTJ-3-负213</t>
  </si>
  <si>
    <t>北京市大兴区永兴路7号院8号楼-213号戊类仓储用房房地产</t>
    <phoneticPr fontId="143" type="noConversion"/>
  </si>
  <si>
    <t>BJSDTJ-3-负214</t>
  </si>
  <si>
    <t>北京市大兴区永兴路7号院8号楼-214号戊类仓储用房房地产</t>
    <phoneticPr fontId="143" type="noConversion"/>
  </si>
  <si>
    <t>BJSDTJ-3-负215</t>
  </si>
  <si>
    <t>北京市大兴区永兴路7号院8号楼-215号戊类仓储用房房地产</t>
    <phoneticPr fontId="143" type="noConversion"/>
  </si>
  <si>
    <t>BJSDTJ-3-负201</t>
  </si>
  <si>
    <t>北京市大兴区永兴路7号院8号楼-201号戊类仓储用房房地产</t>
    <phoneticPr fontId="143" type="noConversion"/>
  </si>
  <si>
    <t>BJSDTJ-3-负202</t>
  </si>
  <si>
    <t>北京市大兴区永兴路7号院8号楼-202号戊类仓储用房房地产</t>
    <phoneticPr fontId="143" type="noConversion"/>
  </si>
  <si>
    <t>BJSDTJ-3-负203</t>
  </si>
  <si>
    <t>北京市大兴区永兴路7号院8号楼-203号戊类仓储用房房地产</t>
    <phoneticPr fontId="143" type="noConversion"/>
  </si>
  <si>
    <t>BJSDTJ-3-负204</t>
  </si>
  <si>
    <t>北京市大兴区永兴路7号院8号楼-204号戊类仓储用房房地产</t>
    <phoneticPr fontId="143" type="noConversion"/>
  </si>
  <si>
    <t>BJSDTJ-3-负205</t>
  </si>
  <si>
    <t>北京市大兴区永兴路7号院8号楼-205号戊类仓储用房房地产</t>
    <phoneticPr fontId="143" type="noConversion"/>
  </si>
  <si>
    <t>BJSDTJ-3-负206</t>
  </si>
  <si>
    <t>北京市大兴区永兴路7号院8号楼-206号戊类仓储用房房地产</t>
    <phoneticPr fontId="143" type="noConversion"/>
  </si>
  <si>
    <r>
      <t>X京房权证兴字第</t>
    </r>
    <r>
      <rPr>
        <sz val="11"/>
        <color theme="1"/>
        <rFont val="宋体"/>
        <family val="3"/>
        <charset val="134"/>
        <scheme val="minor"/>
      </rPr>
      <t>176270号</t>
    </r>
    <phoneticPr fontId="143" type="noConversion"/>
  </si>
  <si>
    <t>BJSDTJ-3-负207</t>
  </si>
  <si>
    <t>北京市大兴区永兴路7号院8号楼-207号戊类仓储用房房地产</t>
    <phoneticPr fontId="143" type="noConversion"/>
  </si>
  <si>
    <t>BJSDTJ-3-负208</t>
  </si>
  <si>
    <t>北京市大兴区永兴路7号院8号楼-208号戊类仓储用房房地产</t>
    <phoneticPr fontId="143" type="noConversion"/>
  </si>
  <si>
    <r>
      <t>X京房权证兴字第</t>
    </r>
    <r>
      <rPr>
        <sz val="11"/>
        <color theme="1"/>
        <rFont val="宋体"/>
        <family val="3"/>
        <charset val="134"/>
        <scheme val="minor"/>
      </rPr>
      <t>162713号</t>
    </r>
    <phoneticPr fontId="143" type="noConversion"/>
  </si>
  <si>
    <t>BJSDTJ-17-1-099</t>
  </si>
  <si>
    <t>北京市大兴区永兴路5号院17幢1-099号车位用房房地产</t>
    <phoneticPr fontId="143" type="noConversion"/>
  </si>
  <si>
    <t>车位</t>
    <phoneticPr fontId="143" type="noConversion"/>
  </si>
  <si>
    <r>
      <t>X京房权证兴字第</t>
    </r>
    <r>
      <rPr>
        <sz val="11"/>
        <color theme="1"/>
        <rFont val="宋体"/>
        <family val="3"/>
        <charset val="134"/>
        <scheme val="minor"/>
      </rPr>
      <t>162713号</t>
    </r>
    <phoneticPr fontId="143" type="noConversion"/>
  </si>
  <si>
    <t>BJSDTJ-17-1-245</t>
  </si>
  <si>
    <t>北京市大兴区永兴路5号院17幢1-245号车位用房房地产</t>
    <phoneticPr fontId="143" type="noConversion"/>
  </si>
  <si>
    <t>BJSDTJ-18-3-040</t>
  </si>
  <si>
    <t>北京市大兴区永兴路5号院18幢3-040号车位用房房地产</t>
    <phoneticPr fontId="143" type="noConversion"/>
  </si>
  <si>
    <t>BJSDTJ-18-3-244-1</t>
  </si>
  <si>
    <t>北京市大兴区永兴路5号院18幢3-244-1号车位用房房地产</t>
    <phoneticPr fontId="143" type="noConversion"/>
  </si>
  <si>
    <t>总计</t>
    <phoneticPr fontId="143" type="noConversion"/>
  </si>
  <si>
    <t>是</t>
  </si>
  <si>
    <t>地上</t>
  </si>
  <si>
    <r>
      <t>-</t>
    </r>
    <r>
      <rPr>
        <sz val="11"/>
        <color theme="1"/>
        <rFont val="宋体"/>
        <family val="3"/>
        <charset val="134"/>
        <scheme val="minor"/>
      </rPr>
      <t>1</t>
    </r>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</si>
  <si>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</si>
  <si>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1</t>
    </r>
    <phoneticPr fontId="143" type="noConversion"/>
  </si>
  <si>
    <t>3</t>
    <phoneticPr fontId="143" type="noConversion"/>
  </si>
  <si>
    <t>7</t>
    <phoneticPr fontId="143" type="noConversion"/>
  </si>
  <si>
    <t>7</t>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</si>
  <si>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</si>
  <si>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</si>
  <si>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2</t>
    </r>
    <phoneticPr fontId="143" type="noConversion"/>
  </si>
  <si>
    <r>
      <t>-</t>
    </r>
    <r>
      <rPr>
        <sz val="11"/>
        <color theme="1"/>
        <rFont val="宋体"/>
        <family val="3"/>
        <charset val="134"/>
        <scheme val="minor"/>
      </rPr>
      <t>2</t>
    </r>
    <phoneticPr fontId="143" type="noConversion"/>
  </si>
  <si>
    <t>地下</t>
  </si>
  <si>
    <t>商业街</t>
  </si>
  <si>
    <t>独立商业</t>
  </si>
  <si>
    <t>仓储</t>
  </si>
  <si>
    <t>商业</t>
    <phoneticPr fontId="7" type="noConversion"/>
  </si>
  <si>
    <t>北京市大兴区永兴路7号院9号楼701号商业用房房地产</t>
    <phoneticPr fontId="143" type="noConversion"/>
  </si>
  <si>
    <t>北京市大兴区永兴路7号院9号楼702号商业用房房地产</t>
    <phoneticPr fontId="143" type="noConversion"/>
  </si>
  <si>
    <t>北京市大兴区永兴路7号院9号楼703号商业用房房地产</t>
    <phoneticPr fontId="143" type="noConversion"/>
  </si>
  <si>
    <t>北京市大兴区永兴路7号院9号楼704号商业用房房地产</t>
    <phoneticPr fontId="143" type="noConversion"/>
  </si>
  <si>
    <t>北京市大兴区永兴路7号院9号楼705号商业用房房地产</t>
    <phoneticPr fontId="143" type="noConversion"/>
  </si>
  <si>
    <t>戊类库房</t>
  </si>
  <si>
    <t>车库—商业</t>
  </si>
  <si>
    <t>车库</t>
  </si>
  <si>
    <t>地上</t>
    <phoneticPr fontId="143" type="noConversion"/>
  </si>
  <si>
    <t>地下</t>
    <phoneticPr fontId="143" type="noConversion"/>
  </si>
  <si>
    <t>库房</t>
    <phoneticPr fontId="143" type="noConversion"/>
  </si>
  <si>
    <t>车位</t>
    <phoneticPr fontId="143" type="noConversion"/>
  </si>
  <si>
    <t>合计</t>
    <phoneticPr fontId="143" type="noConversion"/>
  </si>
  <si>
    <t>仓储</t>
    <phoneticPr fontId="7" type="noConversion"/>
  </si>
  <si>
    <t>地下车库</t>
    <phoneticPr fontId="7" type="noConversion"/>
  </si>
  <si>
    <t>成新度</t>
  </si>
  <si>
    <t>楼层</t>
    <phoneticPr fontId="143" type="noConversion"/>
  </si>
  <si>
    <t>系数</t>
    <phoneticPr fontId="143" type="noConversion"/>
  </si>
  <si>
    <t>单价</t>
    <phoneticPr fontId="143" type="noConversion"/>
  </si>
  <si>
    <t>建筑面积</t>
    <phoneticPr fontId="143" type="noConversion"/>
  </si>
  <si>
    <t>地上单价</t>
    <phoneticPr fontId="143" type="noConversion"/>
  </si>
  <si>
    <t>一般</t>
  </si>
  <si>
    <t>较好</t>
  </si>
  <si>
    <t>较好</t>
    <phoneticPr fontId="25" type="noConversion"/>
  </si>
  <si>
    <t>一般</t>
    <phoneticPr fontId="25" type="noConversion"/>
  </si>
  <si>
    <t>七通</t>
    <phoneticPr fontId="25" type="noConversion"/>
  </si>
  <si>
    <t>较好</t>
    <phoneticPr fontId="25" type="noConversion"/>
  </si>
  <si>
    <t>项目局部</t>
  </si>
  <si>
    <t>成本法</t>
  </si>
  <si>
    <t>收益法</t>
  </si>
  <si>
    <t>成本比率</t>
  </si>
  <si>
    <t>押一</t>
  </si>
  <si>
    <t>按租金收入计税</t>
  </si>
  <si>
    <t>钢混</t>
  </si>
  <si>
    <t>非生产用房</t>
  </si>
  <si>
    <t>批发零售用地</t>
  </si>
  <si>
    <t>不临58条商业街</t>
  </si>
  <si>
    <t>五通一平</t>
  </si>
  <si>
    <t>一致</t>
  </si>
  <si>
    <t>好</t>
  </si>
  <si>
    <t>未包含在土地购买价格中</t>
  </si>
  <si>
    <t>全部缴纳</t>
  </si>
  <si>
    <t>已包含在土地取得成本中</t>
  </si>
  <si>
    <t>成本法（商业）</t>
  </si>
  <si>
    <t>成本法（商业）</t>
    <phoneticPr fontId="16" type="noConversion"/>
  </si>
  <si>
    <t>基准地价修正（商业）</t>
    <phoneticPr fontId="16" type="noConversion"/>
  </si>
  <si>
    <t>自定义容积率</t>
  </si>
  <si>
    <t>容积率修正</t>
  </si>
  <si>
    <t>成本法（仓储）</t>
  </si>
  <si>
    <t>成本法（仓储）</t>
    <phoneticPr fontId="16" type="noConversion"/>
  </si>
  <si>
    <t>收益法（仓储）</t>
  </si>
  <si>
    <t>收益法（仓储）</t>
    <phoneticPr fontId="16" type="noConversion"/>
  </si>
  <si>
    <t>成本法 (车库)</t>
  </si>
  <si>
    <t>成本法 (车库)</t>
    <phoneticPr fontId="16" type="noConversion"/>
  </si>
  <si>
    <t>收益法（车库）</t>
  </si>
  <si>
    <t>收益法（车库）</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</si>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</sst>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49" fontId="61" fillId="0" borderId="4" xfId="0" applyNumberFormat="1" applyFont="1" applyFill="1" applyBorder="1" applyAlignment="1" applyProtection="1">
      <alignment horizontal="left" vertical="center"/>
      <protection locked="0"/>
    </xf>
    <xf numFmtId="0" fontId="254" fillId="0" borderId="0" xfId="0" applyFont="1" applyFill="1" applyBorder="1" applyAlignment="1">
      <alignment vertical="center" wrapText="1"/>
    </xf>
    <xf numFmtId="0" fontId="0" fillId="0" borderId="0" xfId="0" applyFill="1">
      <alignment vertical="center"/>
    </xf>
    <xf numFmtId="0" fontId="255" fillId="0" borderId="0" xfId="0" applyFont="1" applyFill="1" applyBorder="1" applyAlignment="1">
      <alignment vertical="center" wrapText="1"/>
    </xf>
    <xf numFmtId="182" fontId="0" fillId="0" borderId="0" xfId="0" applyNumberFormat="1" applyFill="1">
      <alignment vertical="center"/>
    </xf>
    <xf numFmtId="0" fontId="25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255"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99" fillId="0" borderId="1" xfId="0" applyFont="1" applyFill="1" applyBorder="1" applyAlignment="1">
      <alignment horizontal="center" vertical="center"/>
    </xf>
    <xf numFmtId="1" fontId="0" fillId="11" borderId="1" xfId="0" applyNumberFormat="1" applyFill="1" applyBorder="1" applyAlignment="1">
      <alignment horizontal="center" vertical="center"/>
    </xf>
    <xf numFmtId="1" fontId="0" fillId="17"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1" fontId="0" fillId="18" borderId="1" xfId="0" applyNumberFormat="1" applyFill="1" applyBorder="1" applyAlignment="1">
      <alignment horizontal="center" vertical="center"/>
    </xf>
    <xf numFmtId="1" fontId="0" fillId="19" borderId="1" xfId="0" applyNumberFormat="1" applyFill="1" applyBorder="1" applyAlignment="1">
      <alignment horizontal="center" vertical="center"/>
    </xf>
    <xf numFmtId="1" fontId="0" fillId="20" borderId="1" xfId="0" applyNumberFormat="1" applyFill="1" applyBorder="1" applyAlignment="1">
      <alignment horizontal="center" vertical="center"/>
    </xf>
    <xf numFmtId="0" fontId="113" fillId="0" borderId="1" xfId="4" applyFont="1" applyFill="1" applyBorder="1" applyAlignment="1">
      <alignment horizontal="center" vertical="center"/>
    </xf>
    <xf numFmtId="0" fontId="0" fillId="21" borderId="1" xfId="0" applyFill="1" applyBorder="1" applyAlignment="1">
      <alignment horizontal="center" vertical="center"/>
    </xf>
    <xf numFmtId="1" fontId="0" fillId="21" borderId="1" xfId="0" applyNumberFormat="1" applyFill="1" applyBorder="1" applyAlignment="1">
      <alignment horizontal="center" vertical="center"/>
    </xf>
    <xf numFmtId="49" fontId="0" fillId="0" borderId="0" xfId="0" applyNumberFormat="1" applyFill="1">
      <alignment vertical="center"/>
    </xf>
    <xf numFmtId="49" fontId="99" fillId="0" borderId="0" xfId="0" applyNumberFormat="1" applyFont="1" applyFill="1">
      <alignment vertical="center"/>
    </xf>
    <xf numFmtId="177" fontId="80" fillId="0" borderId="1" xfId="1" applyNumberFormat="1" applyFont="1" applyFill="1" applyBorder="1" applyAlignment="1" applyProtection="1">
      <alignment vertical="center"/>
      <protection locked="0" hidden="1"/>
    </xf>
    <xf numFmtId="0" fontId="99" fillId="0" borderId="0" xfId="0" applyFont="1" applyFill="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0" fillId="0" borderId="58" xfId="0" applyFill="1" applyBorder="1" applyAlignment="1">
      <alignment horizontal="center" vertical="center"/>
    </xf>
    <xf numFmtId="0" fontId="0" fillId="0" borderId="0" xfId="0" applyFill="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99" fillId="6" borderId="0"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1-0995&#22823;&#20852;&#21306;&#27704;&#20852;&#36335;5&#21495;&#38498;&#65293;&#40857;&#28246;&#39033;&#30446;&#65293;&#20852;&#28070;/P03/P03&#65293;&#40857;&#28246;&#22823;&#20852;&#65293;&#23545;&#20844;&#20107;&#19994;&#37096;&#8212;&#30005;&#31639;&#34920;-&#25151;&#22320;&#20135;-&#39033;&#30446;-2017-11-9-&#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酒店收入计算"/>
      <sheetName val="比较法-住宅"/>
      <sheetName val="收益法（汇总）"/>
      <sheetName val="Sheet1"/>
      <sheetName val="Sheet2"/>
      <sheetName val="Sheet3"/>
      <sheetName val="结果表商业"/>
      <sheetName val="比较法-商业"/>
      <sheetName val="典型户型修正"/>
      <sheetName val="收益法-商业"/>
      <sheetName val="收益法-地下商业"/>
      <sheetName val="结果表仓储"/>
      <sheetName val="成本法"/>
      <sheetName val="收益法-仓储"/>
      <sheetName val="基准地价修正"/>
      <sheetName val="仓储收益法(元)"/>
      <sheetName val="结果表车位"/>
      <sheetName val="比较法-办公"/>
      <sheetName val="比较法-工业"/>
      <sheetName val="成本法车位"/>
      <sheetName val="比较法-车位"/>
      <sheetName val="收益法-车位"/>
      <sheetName val="车位收益法(元)"/>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3">
          <cell r="A3">
            <v>2266.9699999999998</v>
          </cell>
        </row>
        <row r="5">
          <cell r="H5">
            <v>9191.3799999999974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3">
          <cell r="F3">
            <v>316.94</v>
          </cell>
        </row>
        <row r="4">
          <cell r="F4">
            <v>260.20999999999998</v>
          </cell>
        </row>
        <row r="5">
          <cell r="F5">
            <v>243.62</v>
          </cell>
        </row>
        <row r="6">
          <cell r="F6">
            <v>233.62</v>
          </cell>
        </row>
        <row r="7">
          <cell r="F7">
            <v>402.43</v>
          </cell>
        </row>
        <row r="9">
          <cell r="F9">
            <v>276.27999999999997</v>
          </cell>
        </row>
        <row r="10">
          <cell r="F10">
            <v>363.49</v>
          </cell>
        </row>
        <row r="11">
          <cell r="F11">
            <v>300.04000000000002</v>
          </cell>
        </row>
        <row r="12">
          <cell r="F12">
            <v>296.39</v>
          </cell>
        </row>
        <row r="13">
          <cell r="F13">
            <v>278.2</v>
          </cell>
        </row>
        <row r="14">
          <cell r="F14">
            <v>296.45999999999998</v>
          </cell>
        </row>
        <row r="16">
          <cell r="F16">
            <v>427.32</v>
          </cell>
        </row>
        <row r="17">
          <cell r="F17">
            <v>352.93</v>
          </cell>
        </row>
        <row r="18">
          <cell r="F18">
            <v>384.45</v>
          </cell>
        </row>
        <row r="19">
          <cell r="F19">
            <v>239.89</v>
          </cell>
        </row>
        <row r="20">
          <cell r="F20">
            <v>136.03</v>
          </cell>
        </row>
        <row r="21">
          <cell r="F21">
            <v>91.84</v>
          </cell>
        </row>
        <row r="22">
          <cell r="F22">
            <v>145.99</v>
          </cell>
        </row>
        <row r="23">
          <cell r="F23">
            <v>268.85000000000002</v>
          </cell>
        </row>
        <row r="24">
          <cell r="F24">
            <v>15.23</v>
          </cell>
        </row>
        <row r="25">
          <cell r="F25">
            <v>20.239999999999998</v>
          </cell>
        </row>
        <row r="26">
          <cell r="F26">
            <v>22.2</v>
          </cell>
        </row>
        <row r="27">
          <cell r="F27">
            <v>22.26</v>
          </cell>
        </row>
        <row r="28">
          <cell r="F28">
            <v>22.26</v>
          </cell>
        </row>
        <row r="29">
          <cell r="F29">
            <v>23.61</v>
          </cell>
        </row>
        <row r="31">
          <cell r="F31">
            <v>24.96</v>
          </cell>
        </row>
        <row r="32">
          <cell r="F32">
            <v>24.96</v>
          </cell>
        </row>
        <row r="33">
          <cell r="F33">
            <v>24.96</v>
          </cell>
        </row>
        <row r="34">
          <cell r="F34">
            <v>24.96</v>
          </cell>
        </row>
        <row r="35">
          <cell r="F35">
            <v>25.03</v>
          </cell>
        </row>
        <row r="36">
          <cell r="F36">
            <v>26.03</v>
          </cell>
        </row>
        <row r="37">
          <cell r="F37">
            <v>27.38</v>
          </cell>
        </row>
        <row r="38">
          <cell r="F38">
            <v>34.75</v>
          </cell>
        </row>
        <row r="39">
          <cell r="F39">
            <v>34.75</v>
          </cell>
        </row>
        <row r="40">
          <cell r="F40">
            <v>35.729999999999997</v>
          </cell>
        </row>
        <row r="41">
          <cell r="F41">
            <v>36.99</v>
          </cell>
        </row>
        <row r="42">
          <cell r="F42">
            <v>37.65</v>
          </cell>
        </row>
        <row r="43">
          <cell r="F43">
            <v>37.65</v>
          </cell>
        </row>
        <row r="44">
          <cell r="F44">
            <v>38</v>
          </cell>
        </row>
        <row r="45">
          <cell r="F45">
            <v>39.54</v>
          </cell>
        </row>
        <row r="46">
          <cell r="F46">
            <v>41.13</v>
          </cell>
        </row>
        <row r="47">
          <cell r="F47">
            <v>41.67</v>
          </cell>
        </row>
        <row r="48">
          <cell r="F48">
            <v>44.83</v>
          </cell>
        </row>
        <row r="49">
          <cell r="F49">
            <v>45.24</v>
          </cell>
        </row>
        <row r="50">
          <cell r="F50">
            <v>46.09</v>
          </cell>
        </row>
        <row r="51">
          <cell r="F51">
            <v>51.03</v>
          </cell>
        </row>
        <row r="52">
          <cell r="F52">
            <v>51.79</v>
          </cell>
        </row>
        <row r="53">
          <cell r="F53">
            <v>54.27</v>
          </cell>
        </row>
        <row r="55">
          <cell r="F55">
            <v>55.21</v>
          </cell>
        </row>
        <row r="56">
          <cell r="F56">
            <v>275.70999999999998</v>
          </cell>
        </row>
        <row r="57">
          <cell r="F57">
            <v>274.08</v>
          </cell>
        </row>
        <row r="58">
          <cell r="F58">
            <v>251.64</v>
          </cell>
        </row>
        <row r="59">
          <cell r="F59">
            <v>630.80999999999995</v>
          </cell>
        </row>
        <row r="60">
          <cell r="F60">
            <v>23.68</v>
          </cell>
        </row>
        <row r="61">
          <cell r="F61">
            <v>60.46</v>
          </cell>
        </row>
        <row r="62">
          <cell r="F62">
            <v>24.25</v>
          </cell>
        </row>
        <row r="63">
          <cell r="F63">
            <v>27.86</v>
          </cell>
        </row>
        <row r="64">
          <cell r="F64">
            <v>26.79</v>
          </cell>
        </row>
        <row r="65">
          <cell r="F65">
            <v>27.07</v>
          </cell>
        </row>
        <row r="66">
          <cell r="F66">
            <v>102.38</v>
          </cell>
        </row>
        <row r="67">
          <cell r="F67">
            <v>212.36</v>
          </cell>
        </row>
        <row r="68">
          <cell r="F68">
            <v>59.63</v>
          </cell>
        </row>
        <row r="69">
          <cell r="F69">
            <v>7.92</v>
          </cell>
        </row>
        <row r="70">
          <cell r="F70">
            <v>19.399999999999999</v>
          </cell>
        </row>
        <row r="71">
          <cell r="F71">
            <v>21.23</v>
          </cell>
        </row>
        <row r="72">
          <cell r="F72">
            <v>25.65</v>
          </cell>
        </row>
        <row r="73">
          <cell r="F73">
            <v>26.57</v>
          </cell>
        </row>
        <row r="75">
          <cell r="F75">
            <v>33.56</v>
          </cell>
        </row>
        <row r="76">
          <cell r="F76">
            <v>33.56</v>
          </cell>
        </row>
        <row r="77">
          <cell r="F77">
            <v>34.76</v>
          </cell>
        </row>
        <row r="78">
          <cell r="F78">
            <v>31.48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北京市大兴区永兴路7号院6号楼-101号商业用房房地产市场价值预评估</v>
      </c>
    </row>
    <row r="3" spans="1:2" s="1595" customFormat="1">
      <c r="A3" s="1593" t="s">
        <v>1217</v>
      </c>
      <c r="B3" s="1594" t="str">
        <f>'预评函-封皮'!B40</f>
        <v>北京龙湖兴润置业有限公司</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受贵公司委托，我公司对北京市大兴区永兴路7号院6号楼-101号商业用房房地产市场价值进行了预评估。</v>
      </c>
    </row>
    <row r="7" spans="1:2" s="1595" customFormat="1">
      <c r="A7" s="1593" t="s">
        <v>1260</v>
      </c>
      <c r="B7" s="1594" t="str">
        <f>'预评函-1'!A7</f>
        <v>估价对象为北京市大兴区永兴路7号院6号楼-101号商业用房房地产，为所有。根据，估价对象（分摊）出让国有建设用地使用权面积为2126.73平方米，建筑面积为8622.76平方米。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大兴区永兴路7号院6号楼-101号商业用房房地产,属开发建设的商业项目，该项目尚在开发建设中。根据，估价对象（分摊）出让国有建设用地使用权面积为2126.73平方米，规划建筑面积为8622.76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2018年12月3日（评估专业人员实地查勘之日）</v>
      </c>
    </row>
    <row r="13" spans="1:2" s="1595" customFormat="1">
      <c r="A13" s="1593" t="s">
        <v>1223</v>
      </c>
      <c r="B13" s="1594"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5039</v>
      </c>
    </row>
    <row r="21" spans="1:2" s="1595" customFormat="1">
      <c r="A21" s="1593" t="s">
        <v>1231</v>
      </c>
      <c r="B21" s="1594">
        <f ca="1">'预评函-2'!D7</f>
        <v>10283</v>
      </c>
    </row>
    <row r="22" spans="1:2" s="1595" customFormat="1">
      <c r="A22" s="1593" t="s">
        <v>1232</v>
      </c>
      <c r="B22" s="1594" t="str">
        <f ca="1">'预评函-2'!D6</f>
        <v>伍仟零叁拾玖万元整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5039</v>
      </c>
    </row>
    <row r="31" spans="1:2" s="1595" customFormat="1">
      <c r="A31" s="1593" t="s">
        <v>1270</v>
      </c>
      <c r="B31" s="1594">
        <f ca="1">'预评函-2'!D15</f>
        <v>5844</v>
      </c>
    </row>
    <row r="32" spans="1:2" s="1595" customFormat="1">
      <c r="A32" s="1593" t="s">
        <v>1237</v>
      </c>
      <c r="B32" s="1594" t="str">
        <f ca="1">'预评函-2'!D14</f>
        <v>伍仟零叁拾玖万元整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北京市大兴区永兴路7号院6号楼-101号商业用房房地产</v>
      </c>
    </row>
    <row r="42" spans="1:2" s="1595" customFormat="1">
      <c r="A42" s="1593" t="s">
        <v>1284</v>
      </c>
      <c r="B42" s="1594" t="str">
        <f>'预评函-3'!B2</f>
        <v>建筑面积</v>
      </c>
    </row>
    <row r="43" spans="1:2" s="1595" customFormat="1">
      <c r="A43" s="1593" t="s">
        <v>1285</v>
      </c>
      <c r="B43" s="1594">
        <f>'预评函-3'!B4</f>
        <v>8622.76</v>
      </c>
    </row>
    <row r="44" spans="1:2" s="1595" customFormat="1">
      <c r="A44" s="1593" t="s">
        <v>1269</v>
      </c>
      <c r="B44" s="1594" t="str">
        <f>'预评函-3'!C2</f>
        <v>(分摊)土地面积</v>
      </c>
    </row>
    <row r="45" spans="1:2" s="1595" customFormat="1">
      <c r="A45" s="1593" t="s">
        <v>1241</v>
      </c>
      <c r="B45" s="1594">
        <f>'预评函-3'!C4</f>
        <v>2126.73</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1772</v>
      </c>
      <c r="B1" s="3042" t="str">
        <f>IF(B10="北京市","北京市",C10)&amp;F10&amp;IF('结果表(商业)'!G1="在建","出让国有建设用地使用权及在建建筑物",IF('结果表(商业)'!G1="土地","出让国有建设用地使用权",))&amp;B9&amp;"预评估"</f>
        <v>北京市大兴区永兴路7号院6号楼-101号商业用房房地产市场价值预评估</v>
      </c>
      <c r="C1" s="3043"/>
      <c r="D1" s="3043"/>
      <c r="E1" s="3043"/>
      <c r="F1" s="3043"/>
      <c r="G1" s="3043"/>
      <c r="H1" s="3043"/>
      <c r="I1" s="3044"/>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北京市大兴区永兴路7号院6号楼-101号商业用房房地产市场价值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北京市大兴区永兴路7号院6号楼-101号商业用房房地产</v>
      </c>
    </row>
    <row r="3" spans="1:19" ht="18" customHeight="1">
      <c r="A3" s="2037" t="s">
        <v>1774</v>
      </c>
      <c r="B3" s="2038">
        <v>43437</v>
      </c>
      <c r="C3" s="2039" t="s">
        <v>1775</v>
      </c>
      <c r="D3" s="2038">
        <f>B3</f>
        <v>43437</v>
      </c>
      <c r="E3" s="2028"/>
      <c r="F3" s="2028"/>
      <c r="G3" s="2028"/>
      <c r="H3" s="2028"/>
      <c r="I3" s="2028"/>
      <c r="J3" s="2028"/>
      <c r="K3" s="2029"/>
      <c r="L3" s="2030"/>
      <c r="M3" s="2030"/>
      <c r="N3" s="2031"/>
      <c r="O3" s="2032"/>
      <c r="P3" s="2031"/>
      <c r="Q3" s="2031"/>
      <c r="R3" s="2031"/>
      <c r="S3" s="2033"/>
    </row>
    <row r="4" spans="1:19" ht="18" customHeight="1" thickBot="1">
      <c r="A4" s="2040" t="s">
        <v>1776</v>
      </c>
      <c r="B4" s="2041" t="s">
        <v>3043</v>
      </c>
      <c r="C4" s="1039">
        <f ca="1">SUMIF(注册房地产估价师,B4,估价师及机构信息!B3:B24)</f>
        <v>1419970001</v>
      </c>
      <c r="D4" s="2041" t="s">
        <v>3044</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t="s">
        <v>3045</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3046</v>
      </c>
      <c r="C8" s="2058"/>
      <c r="D8" s="3045" t="s">
        <v>1781</v>
      </c>
      <c r="E8" s="2059"/>
      <c r="F8" s="2060"/>
      <c r="G8" s="2028"/>
      <c r="H8" s="2028"/>
      <c r="I8" s="2028"/>
      <c r="J8" s="2044"/>
      <c r="K8" s="2045"/>
      <c r="L8" s="2030"/>
      <c r="M8" s="2030"/>
      <c r="N8" s="2031"/>
      <c r="O8" s="2032"/>
      <c r="P8" s="2031"/>
      <c r="Q8" s="2031"/>
      <c r="R8" s="2031"/>
    </row>
    <row r="9" spans="1:19" ht="18" customHeight="1" thickBot="1">
      <c r="A9" s="2042" t="s">
        <v>1782</v>
      </c>
      <c r="B9" s="2061" t="s">
        <v>3047</v>
      </c>
      <c r="C9" s="2062"/>
      <c r="D9" s="3046"/>
      <c r="E9" s="2061" t="s">
        <v>70</v>
      </c>
      <c r="F9" s="2063"/>
      <c r="G9" s="2064"/>
      <c r="H9" s="2064"/>
      <c r="I9" s="2064"/>
      <c r="J9" s="2044"/>
      <c r="K9" s="2056"/>
      <c r="L9" s="2030"/>
      <c r="M9" s="2030"/>
      <c r="N9" s="2031"/>
      <c r="O9" s="2032"/>
      <c r="P9" s="2031"/>
      <c r="Q9" s="2031"/>
      <c r="R9" s="2031"/>
    </row>
    <row r="10" spans="1:19" ht="18" customHeight="1" thickTop="1">
      <c r="A10" s="2065" t="s">
        <v>1783</v>
      </c>
      <c r="B10" s="2066" t="s">
        <v>3048</v>
      </c>
      <c r="C10" s="2067"/>
      <c r="D10" s="2049"/>
      <c r="E10" s="2068" t="s">
        <v>1784</v>
      </c>
      <c r="F10" s="2972" t="s">
        <v>3049</v>
      </c>
      <c r="G10" s="2069"/>
      <c r="H10" s="2070"/>
      <c r="I10" s="2049"/>
      <c r="J10" s="2044"/>
      <c r="K10" s="2056"/>
      <c r="L10" s="2030"/>
      <c r="M10" s="2030"/>
      <c r="N10" s="2031"/>
      <c r="O10" s="2032"/>
      <c r="P10" s="2031"/>
      <c r="Q10" s="2031"/>
      <c r="R10" s="2031"/>
    </row>
    <row r="11" spans="1:19" ht="18" customHeight="1">
      <c r="A11" s="2071" t="s">
        <v>1785</v>
      </c>
      <c r="B11" s="2072" t="s">
        <v>3050</v>
      </c>
      <c r="C11" s="2073"/>
      <c r="D11" s="2074"/>
      <c r="E11" s="2044"/>
      <c r="F11" s="2044"/>
      <c r="G11" s="2044"/>
      <c r="H11" s="2044"/>
      <c r="I11" s="2044"/>
      <c r="J11" s="2044"/>
      <c r="K11" s="2056"/>
      <c r="L11" s="2030"/>
      <c r="M11" s="2030"/>
      <c r="N11" s="2031"/>
      <c r="O11" s="2032"/>
      <c r="P11" s="2031"/>
      <c r="Q11" s="2031"/>
      <c r="R11" s="2031"/>
    </row>
    <row r="12" spans="1:19" ht="18" customHeight="1">
      <c r="A12" s="2075" t="s">
        <v>1786</v>
      </c>
      <c r="B12" s="2072" t="s">
        <v>3051</v>
      </c>
      <c r="C12" s="2076" t="s">
        <v>1787</v>
      </c>
      <c r="D12" s="2077" t="s">
        <v>1788</v>
      </c>
      <c r="E12" s="2077" t="s">
        <v>1789</v>
      </c>
      <c r="F12" s="2077" t="s">
        <v>1790</v>
      </c>
      <c r="G12" s="2077" t="s">
        <v>1791</v>
      </c>
      <c r="H12" s="2077" t="s">
        <v>1792</v>
      </c>
      <c r="I12" s="2077" t="s">
        <v>1793</v>
      </c>
      <c r="J12" s="2044"/>
      <c r="K12" s="2056"/>
      <c r="L12" s="2030"/>
      <c r="M12" s="2030"/>
      <c r="N12" s="2031"/>
      <c r="O12" s="2032"/>
      <c r="P12" s="2031"/>
      <c r="Q12" s="2031"/>
      <c r="R12" s="2031"/>
    </row>
    <row r="13" spans="1:19" ht="18" customHeight="1">
      <c r="A13" s="2078"/>
      <c r="B13" s="2079"/>
      <c r="C13" s="2080" t="s">
        <v>1794</v>
      </c>
      <c r="D13" s="2081">
        <v>66119</v>
      </c>
      <c r="E13" s="2081">
        <v>55161</v>
      </c>
      <c r="F13" s="2081">
        <v>58814</v>
      </c>
      <c r="G13" s="2081">
        <v>58814</v>
      </c>
      <c r="H13" s="2081">
        <v>58814</v>
      </c>
      <c r="I13" s="1049">
        <f>H13</f>
        <v>58814</v>
      </c>
      <c r="J13" s="2044"/>
      <c r="K13" s="2056"/>
      <c r="L13" s="2030"/>
      <c r="M13" s="2030"/>
      <c r="N13" s="2031"/>
      <c r="O13" s="2032"/>
      <c r="P13" s="2031"/>
      <c r="Q13" s="2031"/>
      <c r="R13" s="2031"/>
    </row>
    <row r="14" spans="1:19" ht="18" customHeight="1">
      <c r="A14" s="2078"/>
      <c r="B14" s="2079"/>
      <c r="C14" s="2080" t="s">
        <v>1795</v>
      </c>
      <c r="D14" s="1052">
        <v>70</v>
      </c>
      <c r="E14" s="1052">
        <v>40</v>
      </c>
      <c r="F14" s="1052">
        <v>50</v>
      </c>
      <c r="G14" s="1052">
        <v>50</v>
      </c>
      <c r="H14" s="1052">
        <v>50</v>
      </c>
      <c r="I14" s="1052">
        <v>50</v>
      </c>
      <c r="J14" s="2044"/>
      <c r="K14" s="2082"/>
      <c r="L14" s="2030"/>
      <c r="M14" s="2030"/>
      <c r="N14" s="2031"/>
      <c r="O14" s="2032"/>
      <c r="P14" s="2031"/>
      <c r="Q14" s="2031"/>
      <c r="R14" s="2031"/>
    </row>
    <row r="15" spans="1:19" ht="18" customHeight="1">
      <c r="A15" s="2065"/>
      <c r="B15" s="2083"/>
      <c r="C15" s="2080" t="s">
        <v>1796</v>
      </c>
      <c r="D15" s="1051">
        <f>IF(B12="出让",IF(D13="","",ROUNDDOWN(MIN((D13-$D$3)/365,D14),2)),D14)</f>
        <v>62.14</v>
      </c>
      <c r="E15" s="1051">
        <f>IF(B12="出让",IF(E13="","",ROUNDDOWN(MIN((E13-$D$3)/365,E14),2)),E14)</f>
        <v>32.119999999999997</v>
      </c>
      <c r="F15" s="1051">
        <f>IF(B12="出让",IF(F13="","",ROUNDDOWN(MIN((F13-$D$3)/365,F14),2)),F14)</f>
        <v>42.12</v>
      </c>
      <c r="G15" s="1051">
        <f>IF(B12="出让",IF(G13="","",ROUNDDOWN(MIN((G13-$D$3)/365,G14),2)),G14)</f>
        <v>42.12</v>
      </c>
      <c r="H15" s="1051">
        <f>IF(B12="出让",IF(H13="","",ROUNDDOWN(MIN((H13-$D$3)/365,H14),2)),H14)</f>
        <v>42.12</v>
      </c>
      <c r="I15" s="1051">
        <f>IF(B12="出让",IF(I13="","",ROUNDDOWN(MIN((I13-$D$3)/365,I14),2)),I14)</f>
        <v>42.12</v>
      </c>
      <c r="J15" s="2044"/>
      <c r="K15" s="2084"/>
      <c r="L15" s="2085"/>
      <c r="M15" s="2085"/>
      <c r="N15" s="2086"/>
      <c r="O15" s="2085"/>
      <c r="P15" s="2086"/>
      <c r="Q15" s="2031"/>
      <c r="R15" s="2031"/>
    </row>
    <row r="16" spans="1:19" ht="30.75" customHeight="1">
      <c r="A16" s="2068" t="s">
        <v>1797</v>
      </c>
      <c r="B16" s="3052"/>
      <c r="C16" s="3053"/>
      <c r="D16" s="3054"/>
      <c r="E16" s="2087" t="s">
        <v>1798</v>
      </c>
      <c r="F16" s="3055"/>
      <c r="G16" s="3056"/>
      <c r="H16" s="3056"/>
      <c r="I16" s="3057"/>
      <c r="J16" s="2031"/>
      <c r="K16" s="2084"/>
      <c r="L16" s="2085"/>
      <c r="M16" s="2085"/>
      <c r="N16" s="2086"/>
      <c r="O16" s="2085"/>
      <c r="P16" s="2086"/>
      <c r="Q16" s="2031"/>
      <c r="R16" s="2031"/>
    </row>
    <row r="17" spans="1:22" ht="18" customHeight="1">
      <c r="A17" s="2088" t="s">
        <v>1799</v>
      </c>
      <c r="B17" s="2037" t="s">
        <v>1800</v>
      </c>
      <c r="C17" s="1056">
        <f>'数据-汇总表'!E3</f>
        <v>8622.76</v>
      </c>
      <c r="D17" s="2089" t="s">
        <v>1801</v>
      </c>
      <c r="E17" s="3058"/>
      <c r="F17" s="3059"/>
      <c r="G17" s="3059"/>
      <c r="H17" s="3059"/>
      <c r="I17" s="3060"/>
      <c r="J17" s="2031"/>
      <c r="K17" s="2090"/>
      <c r="L17" s="2085"/>
      <c r="M17" s="2085"/>
      <c r="N17" s="2086"/>
      <c r="O17" s="2085"/>
      <c r="P17" s="2086"/>
      <c r="Q17" s="2031"/>
      <c r="R17" s="2031"/>
      <c r="S17" s="2031"/>
      <c r="T17" s="2031"/>
      <c r="U17" s="2031"/>
      <c r="V17" s="2031"/>
    </row>
    <row r="18" spans="1:22" ht="36" customHeight="1" thickBot="1">
      <c r="A18" s="2091" t="s">
        <v>1802</v>
      </c>
      <c r="B18" s="2040" t="s">
        <v>1803</v>
      </c>
      <c r="C18" s="1446">
        <f>'数据-汇总表'!D3</f>
        <v>2126.73</v>
      </c>
      <c r="D18" s="2092" t="s">
        <v>1801</v>
      </c>
      <c r="E18" s="3061"/>
      <c r="F18" s="3062"/>
      <c r="G18" s="3062"/>
      <c r="H18" s="3062"/>
      <c r="I18" s="3063"/>
      <c r="J18" s="2031"/>
      <c r="K18" s="2090"/>
      <c r="L18" s="2085"/>
      <c r="M18" s="2085"/>
      <c r="N18" s="2086"/>
      <c r="O18" s="2085"/>
      <c r="P18" s="2086"/>
      <c r="Q18" s="2031"/>
      <c r="R18" s="2031"/>
      <c r="S18" s="2031"/>
      <c r="T18" s="2031"/>
      <c r="U18" s="2031"/>
      <c r="V18" s="2031"/>
    </row>
    <row r="19" spans="1:22" ht="37.5" customHeight="1" thickTop="1" thickBot="1">
      <c r="A19" s="373" t="s">
        <v>1804</v>
      </c>
      <c r="B19" s="352" t="s">
        <v>1805</v>
      </c>
      <c r="C19" s="2093"/>
      <c r="D19" s="2094" t="s">
        <v>1806</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1807</v>
      </c>
      <c r="B20" s="3048" t="s">
        <v>1808</v>
      </c>
      <c r="C20" s="3049"/>
      <c r="D20" s="3050" t="s">
        <v>1809</v>
      </c>
      <c r="E20" s="3051"/>
      <c r="F20" s="2099" t="s">
        <v>1810</v>
      </c>
      <c r="G20" s="2044"/>
      <c r="H20" s="2044"/>
      <c r="I20" s="2044"/>
      <c r="J20" s="2044"/>
      <c r="K20" s="304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1812</v>
      </c>
      <c r="C21" s="2101" t="s">
        <v>1813</v>
      </c>
      <c r="D21" s="2102" t="s">
        <v>1814</v>
      </c>
      <c r="E21" s="2103" t="s">
        <v>1813</v>
      </c>
      <c r="F21" s="2104"/>
      <c r="G21" s="2044"/>
      <c r="H21" s="2044"/>
      <c r="I21" s="2044"/>
      <c r="J21" s="2044"/>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047"/>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1817</v>
      </c>
      <c r="B23" s="183" t="s">
        <v>1818</v>
      </c>
      <c r="C23" s="2108"/>
      <c r="D23" s="2109" t="s">
        <v>1818</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1819</v>
      </c>
      <c r="C24" s="2113"/>
      <c r="D24" s="2107" t="s">
        <v>1819</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1820</v>
      </c>
      <c r="C25" s="2113"/>
      <c r="D25" s="2107" t="s">
        <v>1820</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1821</v>
      </c>
      <c r="C26" s="2117"/>
      <c r="D26" s="2118" t="s">
        <v>1822</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65" t="s">
        <v>1823</v>
      </c>
      <c r="B27" s="2065" t="s">
        <v>1824</v>
      </c>
      <c r="C27" s="2121" t="s">
        <v>3052</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65"/>
      <c r="B28" s="2037" t="s">
        <v>1825</v>
      </c>
      <c r="C28" s="2123" t="s">
        <v>3053</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65"/>
      <c r="B29" s="2037" t="s">
        <v>1826</v>
      </c>
      <c r="C29" s="2126" t="s">
        <v>3054</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66"/>
      <c r="B30" s="2037" t="s">
        <v>1827</v>
      </c>
      <c r="C30" s="3067"/>
      <c r="D30" s="3068"/>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69" t="s">
        <v>1828</v>
      </c>
      <c r="B31" s="2128" t="s">
        <v>3060</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1829</v>
      </c>
      <c r="B34" s="2135" t="s">
        <v>3055</v>
      </c>
      <c r="C34" s="2135" t="s">
        <v>3056</v>
      </c>
      <c r="D34" s="2135" t="s">
        <v>3057</v>
      </c>
      <c r="E34" s="2135" t="s">
        <v>3058</v>
      </c>
      <c r="F34" s="2135" t="s">
        <v>3059</v>
      </c>
      <c r="G34" s="2135"/>
      <c r="H34" s="2135"/>
      <c r="I34" s="2044"/>
      <c r="J34" s="2044"/>
      <c r="K34" s="1797">
        <f>COUNTIF(B34:H34,"——")</f>
        <v>0</v>
      </c>
      <c r="L34" s="2076" t="s">
        <v>1830</v>
      </c>
      <c r="M34" s="2076" t="s">
        <v>1831</v>
      </c>
      <c r="N34" s="2076" t="s">
        <v>1832</v>
      </c>
      <c r="O34" s="2076" t="s">
        <v>1833</v>
      </c>
      <c r="P34" s="2076" t="s">
        <v>1834</v>
      </c>
      <c r="Q34" s="2076" t="s">
        <v>1835</v>
      </c>
      <c r="R34" s="2076" t="s">
        <v>1836</v>
      </c>
      <c r="S34" s="3064" t="s">
        <v>1837</v>
      </c>
      <c r="T34" s="2136" t="str">
        <f>NUMBERSTRING(7-K34,1)&amp;"通"</f>
        <v>七通</v>
      </c>
      <c r="U34" s="2031"/>
      <c r="V34" s="2031"/>
    </row>
    <row r="35" spans="1:22" ht="18" customHeight="1">
      <c r="A35" s="2137"/>
      <c r="B35" s="3071" t="s">
        <v>1838</v>
      </c>
      <c r="C35" s="3071"/>
      <c r="D35" s="3071"/>
      <c r="E35" s="3071"/>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4"/>
      <c r="T35" s="48" t="str">
        <f>IF(T34="一通",L35,IF(T34="二通",M35,IF(T34="三通",N35,IF(T34="四通",O35,IF(T34="五通",P35,IF(T34="六通",Q35,R35))))))</f>
        <v>通路、通电、通讯、通上水、通下水、、</v>
      </c>
      <c r="U35" s="2031"/>
      <c r="V35" s="2031"/>
    </row>
    <row r="36" spans="1:22" ht="18" customHeight="1">
      <c r="A36" s="2139"/>
      <c r="B36" s="2138" t="s">
        <v>1839</v>
      </c>
      <c r="C36" s="2138" t="s">
        <v>1840</v>
      </c>
      <c r="D36" s="2138" t="s">
        <v>1841</v>
      </c>
      <c r="E36" s="2138" t="s">
        <v>1842</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1843</v>
      </c>
      <c r="B37" s="2142" t="s">
        <v>528</v>
      </c>
      <c r="C37" s="2142"/>
      <c r="D37" s="2142" t="s">
        <v>528</v>
      </c>
      <c r="E37" s="2142" t="s">
        <v>528</v>
      </c>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1844</v>
      </c>
      <c r="B38" s="2144" t="s">
        <v>3061</v>
      </c>
      <c r="C38" s="2144"/>
      <c r="D38" s="2144" t="s">
        <v>3061</v>
      </c>
      <c r="E38" s="2144" t="s">
        <v>3061</v>
      </c>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15" sqref="A1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面积!G75</f>
        <v>2126.7300000000005</v>
      </c>
      <c r="B3" s="14">
        <f>IF(C3="否",G5-AT5,G5)</f>
        <v>8622.76</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5"/>
      <c r="C5" s="1805"/>
      <c r="D5" s="1808"/>
      <c r="E5" s="16" t="s">
        <v>1</v>
      </c>
      <c r="F5" s="16">
        <f>SUM(F13:F587)</f>
        <v>0</v>
      </c>
      <c r="G5" s="16">
        <f>SUM(G13:G587)</f>
        <v>8622.76</v>
      </c>
      <c r="H5" s="16">
        <f t="shared" ref="H5:AT5" si="0">SUM(H13:H656)</f>
        <v>8622.76</v>
      </c>
      <c r="I5" s="16">
        <f t="shared" si="0"/>
        <v>1937.01</v>
      </c>
      <c r="J5" s="16">
        <f t="shared" si="0"/>
        <v>0</v>
      </c>
      <c r="K5" s="16">
        <f t="shared" si="0"/>
        <v>2963.1299999999997</v>
      </c>
      <c r="L5" s="16">
        <f t="shared" si="0"/>
        <v>0</v>
      </c>
      <c r="M5" s="16">
        <f t="shared" si="0"/>
        <v>3174.420000000001</v>
      </c>
      <c r="N5" s="16">
        <f t="shared" si="0"/>
        <v>0</v>
      </c>
      <c r="O5" s="16">
        <f t="shared" si="0"/>
        <v>414.84000000000003</v>
      </c>
      <c r="P5" s="16">
        <f t="shared" si="0"/>
        <v>0</v>
      </c>
      <c r="Q5" s="16">
        <f t="shared" si="0"/>
        <v>133.35999999999999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8622.76</v>
      </c>
      <c r="BA5" s="18">
        <f t="shared" si="1"/>
        <v>8622.76</v>
      </c>
      <c r="BB5" s="18">
        <f t="shared" si="1"/>
        <v>1937.01</v>
      </c>
      <c r="BC5" s="18">
        <f t="shared" si="1"/>
        <v>2963.1299999999997</v>
      </c>
      <c r="BD5" s="18">
        <f t="shared" si="1"/>
        <v>3174.420000000001</v>
      </c>
      <c r="BE5" s="18">
        <f t="shared" si="1"/>
        <v>414.84000000000003</v>
      </c>
      <c r="BF5" s="18">
        <f t="shared" si="1"/>
        <v>133.35999999999999</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2126.73</v>
      </c>
      <c r="F6" s="16" t="s">
        <v>1</v>
      </c>
      <c r="G6" s="16" t="s">
        <v>2</v>
      </c>
      <c r="H6" s="20">
        <f>SUMIF(I$12:AB$12,"总值",I6:AB6)</f>
        <v>2126.73</v>
      </c>
      <c r="I6" s="16">
        <f t="shared" ref="I6:AB6" si="2">ROUND($A$3*I5/$B$3,2)</f>
        <v>477.75</v>
      </c>
      <c r="J6" s="16">
        <f t="shared" si="2"/>
        <v>0</v>
      </c>
      <c r="K6" s="16">
        <f t="shared" si="2"/>
        <v>730.83</v>
      </c>
      <c r="L6" s="16">
        <f t="shared" si="2"/>
        <v>0</v>
      </c>
      <c r="M6" s="16">
        <f t="shared" si="2"/>
        <v>782.94</v>
      </c>
      <c r="N6" s="16">
        <f t="shared" si="2"/>
        <v>0</v>
      </c>
      <c r="O6" s="16">
        <f t="shared" si="2"/>
        <v>102.32</v>
      </c>
      <c r="P6" s="16">
        <f t="shared" si="2"/>
        <v>0</v>
      </c>
      <c r="Q6" s="16">
        <f t="shared" si="2"/>
        <v>32.89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2126.73</v>
      </c>
      <c r="AZ6" s="16" t="s">
        <v>3</v>
      </c>
      <c r="BA6" s="16">
        <f>ROUND($AY$6*BA5/$AZ$5,2)</f>
        <v>2126.73</v>
      </c>
      <c r="BB6" s="16">
        <f>ROUND($AY$6*BB5/$AZ$5,2)</f>
        <v>477.75</v>
      </c>
      <c r="BC6" s="16">
        <f t="shared" ref="BC6:BH6" si="4">ROUND($AY$6*BC5/$AZ$5,2)</f>
        <v>730.83</v>
      </c>
      <c r="BD6" s="16">
        <f t="shared" si="4"/>
        <v>782.94</v>
      </c>
      <c r="BE6" s="16">
        <f t="shared" si="4"/>
        <v>102.32</v>
      </c>
      <c r="BF6" s="16">
        <f t="shared" si="4"/>
        <v>32.89</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1883</v>
      </c>
      <c r="AV7" s="23" t="s">
        <v>1884</v>
      </c>
      <c r="AW7" s="2168" t="s">
        <v>1885</v>
      </c>
      <c r="AX7" s="23" t="s">
        <v>1878</v>
      </c>
      <c r="AY7" s="1805"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0"/>
      <c r="K8" s="1820"/>
      <c r="L8" s="1820"/>
      <c r="M8" s="1820"/>
      <c r="N8" s="1820"/>
      <c r="O8" s="1820"/>
      <c r="P8" s="1820"/>
      <c r="Q8" s="1820"/>
      <c r="R8" s="1820"/>
      <c r="S8" s="1820"/>
      <c r="T8" s="1820"/>
      <c r="U8" s="1820"/>
      <c r="V8" s="2188"/>
      <c r="W8" s="1820"/>
      <c r="X8" s="1820"/>
      <c r="Y8" s="1820"/>
      <c r="Z8" s="1820"/>
      <c r="AA8" s="2188"/>
      <c r="AB8" s="2189"/>
      <c r="AC8" s="983" t="s">
        <v>1889</v>
      </c>
      <c r="AD8" s="2190"/>
      <c r="AE8" s="2182"/>
      <c r="AF8" s="1820"/>
      <c r="AG8" s="1820"/>
      <c r="AH8" s="1820"/>
      <c r="AI8" s="1820"/>
      <c r="AJ8" s="1820"/>
      <c r="AK8" s="1820"/>
      <c r="AL8" s="1820"/>
      <c r="AM8" s="1820"/>
      <c r="AN8" s="1820"/>
      <c r="AO8" s="1820"/>
      <c r="AP8" s="1820"/>
      <c r="AQ8" s="1820"/>
      <c r="AR8" s="1820"/>
      <c r="AS8" s="1820"/>
      <c r="AT8" s="1294" t="s">
        <v>1890</v>
      </c>
      <c r="AU8" s="2184" t="s">
        <v>1891</v>
      </c>
      <c r="AV8" s="1294"/>
      <c r="AW8" s="2167"/>
      <c r="AX8" s="1294"/>
      <c r="AY8" s="2168"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1894</v>
      </c>
      <c r="I9" s="2193" t="s">
        <v>3238</v>
      </c>
      <c r="J9" s="983"/>
      <c r="K9" s="2193" t="s">
        <v>3249</v>
      </c>
      <c r="L9" s="983"/>
      <c r="M9" s="2193" t="s">
        <v>3249</v>
      </c>
      <c r="N9" s="983"/>
      <c r="O9" s="2193" t="s">
        <v>3238</v>
      </c>
      <c r="P9" s="983"/>
      <c r="Q9" s="2193" t="s">
        <v>3249</v>
      </c>
      <c r="R9" s="983"/>
      <c r="S9" s="2193"/>
      <c r="T9" s="983"/>
      <c r="U9" s="2193"/>
      <c r="V9" s="983"/>
      <c r="W9" s="2193"/>
      <c r="X9" s="2194"/>
      <c r="Y9" s="2193"/>
      <c r="Z9" s="983"/>
      <c r="AA9" s="2193"/>
      <c r="AB9" s="983"/>
      <c r="AC9" s="2185"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5"/>
      <c r="AT9" s="2184"/>
      <c r="AU9" s="2184" t="s">
        <v>1897</v>
      </c>
      <c r="AV9" s="1294"/>
      <c r="AW9" s="2167"/>
      <c r="AX9" s="1294"/>
      <c r="AY9" s="28"/>
      <c r="AZ9" s="28" t="s">
        <v>1887</v>
      </c>
      <c r="BA9" s="2196" t="s">
        <v>1898</v>
      </c>
      <c r="BB9" s="2197"/>
      <c r="BC9" s="1340"/>
      <c r="BD9" s="1340"/>
      <c r="BE9" s="1340"/>
      <c r="BF9" s="1340"/>
      <c r="BG9" s="1340"/>
      <c r="BH9" s="1340"/>
      <c r="BI9" s="1340"/>
      <c r="BJ9" s="1340"/>
      <c r="BK9" s="2198"/>
      <c r="BL9" s="15" t="s">
        <v>1899</v>
      </c>
      <c r="BM9" s="1820"/>
      <c r="BN9" s="2187"/>
      <c r="BO9" s="1820"/>
      <c r="BP9" s="1820"/>
      <c r="BQ9" s="1820"/>
      <c r="BR9" s="1820"/>
      <c r="BS9" s="1820"/>
      <c r="BT9" s="26"/>
    </row>
    <row r="10" spans="1:72" s="2191" customFormat="1" ht="12.75">
      <c r="A10" s="2184"/>
      <c r="B10" s="2184"/>
      <c r="C10" s="2184"/>
      <c r="D10" s="2184"/>
      <c r="E10" s="2184"/>
      <c r="F10" s="2184"/>
      <c r="G10" s="1294"/>
      <c r="H10" s="28"/>
      <c r="I10" s="2193" t="s">
        <v>1373</v>
      </c>
      <c r="J10" s="983"/>
      <c r="K10" s="2199" t="s">
        <v>1373</v>
      </c>
      <c r="L10" s="983"/>
      <c r="M10" s="2199" t="s">
        <v>3252</v>
      </c>
      <c r="N10" s="983"/>
      <c r="O10" s="2199" t="s">
        <v>3252</v>
      </c>
      <c r="P10" s="983"/>
      <c r="Q10" s="2199" t="s">
        <v>3260</v>
      </c>
      <c r="R10" s="983"/>
      <c r="S10" s="2199"/>
      <c r="T10" s="983"/>
      <c r="U10" s="2199"/>
      <c r="V10" s="983"/>
      <c r="W10" s="2199"/>
      <c r="X10" s="983"/>
      <c r="Y10" s="2199"/>
      <c r="Z10" s="983"/>
      <c r="AA10" s="2199"/>
      <c r="AB10" s="983"/>
      <c r="AC10" s="1294"/>
      <c r="AD10" s="15" t="s">
        <v>1900</v>
      </c>
      <c r="AE10" s="2200"/>
      <c r="AF10" s="15" t="s">
        <v>1900</v>
      </c>
      <c r="AG10" s="2200"/>
      <c r="AH10" s="15" t="s">
        <v>1901</v>
      </c>
      <c r="AI10" s="2200"/>
      <c r="AJ10" s="15" t="s">
        <v>1901</v>
      </c>
      <c r="AK10" s="2200"/>
      <c r="AL10" s="15" t="s">
        <v>1902</v>
      </c>
      <c r="AM10" s="1300"/>
      <c r="AN10" s="15" t="s">
        <v>1902</v>
      </c>
      <c r="AO10" s="1300"/>
      <c r="AP10" s="15" t="s">
        <v>1903</v>
      </c>
      <c r="AQ10" s="1300"/>
      <c r="AR10" s="15" t="s">
        <v>1903</v>
      </c>
      <c r="AS10" s="1300"/>
      <c r="AT10" s="2184"/>
      <c r="AU10" s="2184"/>
      <c r="AV10" s="1294"/>
      <c r="AW10" s="2167"/>
      <c r="AX10" s="1294"/>
      <c r="AY10" s="28"/>
      <c r="AZ10" s="28"/>
      <c r="BA10" s="2201" t="s">
        <v>1894</v>
      </c>
      <c r="BB10" s="2202" t="str">
        <f>I9</f>
        <v>地上</v>
      </c>
      <c r="BC10" s="29" t="str">
        <f>K9</f>
        <v>地下</v>
      </c>
      <c r="BD10" s="29" t="str">
        <f>M9</f>
        <v>地下</v>
      </c>
      <c r="BE10" s="29" t="str">
        <f>O9</f>
        <v>地上</v>
      </c>
      <c r="BF10" s="29" t="str">
        <f>Q9</f>
        <v>地下</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t="s">
        <v>3251</v>
      </c>
      <c r="J11" s="2205"/>
      <c r="K11" s="2204" t="s">
        <v>3250</v>
      </c>
      <c r="L11" s="2205"/>
      <c r="M11" s="2204" t="s">
        <v>3259</v>
      </c>
      <c r="N11" s="2205"/>
      <c r="O11" s="2204" t="s">
        <v>3259</v>
      </c>
      <c r="P11" s="2205"/>
      <c r="Q11" s="2204" t="s">
        <v>3261</v>
      </c>
      <c r="R11" s="2205"/>
      <c r="S11" s="2204"/>
      <c r="T11" s="2205"/>
      <c r="U11" s="2204"/>
      <c r="V11" s="2205"/>
      <c r="W11" s="2204"/>
      <c r="X11" s="2205"/>
      <c r="Y11" s="2204"/>
      <c r="Z11" s="2205"/>
      <c r="AA11" s="2204"/>
      <c r="AB11" s="2205"/>
      <c r="AC11" s="1294"/>
      <c r="AD11" s="2206" t="s">
        <v>1904</v>
      </c>
      <c r="AE11" s="1821"/>
      <c r="AF11" s="2206" t="s">
        <v>1904</v>
      </c>
      <c r="AG11" s="1821"/>
      <c r="AH11" s="2206" t="s">
        <v>1905</v>
      </c>
      <c r="AI11" s="2207"/>
      <c r="AJ11" s="2206" t="s">
        <v>1905</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t="str">
        <f>K10</f>
        <v>商业</v>
      </c>
      <c r="BD11" s="2189" t="str">
        <f>M10</f>
        <v>仓储</v>
      </c>
      <c r="BE11" s="2189" t="str">
        <f>O10</f>
        <v>仓储</v>
      </c>
      <c r="BF11" s="2189" t="str">
        <f>Q10</f>
        <v>车库—商业</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11"/>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独立商业</v>
      </c>
      <c r="BC12" s="2214" t="str">
        <f>K11</f>
        <v>商业街</v>
      </c>
      <c r="BD12" s="2214" t="str">
        <f>M11</f>
        <v>戊类库房</v>
      </c>
      <c r="BE12" s="2189" t="str">
        <f>O11</f>
        <v>戊类库房</v>
      </c>
      <c r="BF12" s="2189" t="str">
        <f>Q11</f>
        <v>车库</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3237</v>
      </c>
      <c r="E13" s="16">
        <f>IF($C$3="是",ROUND($A$3*G13/$B$3,2),ROUND($A$3*(G13-AT13)/$B$3,2))</f>
        <v>477.75</v>
      </c>
      <c r="F13" s="32"/>
      <c r="G13" s="33">
        <f>H13+AC13+AT13</f>
        <v>1937.01</v>
      </c>
      <c r="H13" s="20">
        <f>SUMIF(I$12:AB$12,"总值",I13:AB13)</f>
        <v>1937.01</v>
      </c>
      <c r="I13" s="2216">
        <f>面积!F7+面积!F9+面积!F10+面积!F11+面积!F12+面积!F13</f>
        <v>1937.01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8">
        <f>ROUND($AY$6*AZ13/$AZ$5,2)</f>
        <v>477.75</v>
      </c>
      <c r="AZ13" s="16">
        <f>BA13+BL13</f>
        <v>1937.01</v>
      </c>
      <c r="BA13" s="16">
        <f>SUM(BB13:BK13)</f>
        <v>1937.01</v>
      </c>
      <c r="BB13" s="16">
        <f>IF($D13="是",I13-J13,0)</f>
        <v>1937.01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c r="D14" s="2215" t="s">
        <v>3237</v>
      </c>
      <c r="E14" s="16">
        <f>IF($C$3="是",ROUND($A$3*G14/$B$3,2),ROUND($A$3*(G14-AT14)/$B$3,2))</f>
        <v>730.83</v>
      </c>
      <c r="F14" s="32"/>
      <c r="G14" s="33">
        <f>H14+AC14+AT14</f>
        <v>2963.1299999999997</v>
      </c>
      <c r="H14" s="20">
        <f>SUMIF(I$12:AB$12,"总值",I14:AB14)</f>
        <v>2963.1299999999997</v>
      </c>
      <c r="I14" s="2216">
        <v>0</v>
      </c>
      <c r="J14" s="2216"/>
      <c r="K14" s="2216">
        <f>面积!F3+面积!F4+面积!F5+面积!F6+面积!F8+面积!F14+面积!F15+面积!F16+面积!F17+面积!F18+面积!F19</f>
        <v>2963.1299999999997</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730.83</v>
      </c>
      <c r="AZ14" s="16">
        <f>BA14+BL14</f>
        <v>2963.1299999999997</v>
      </c>
      <c r="BA14" s="16">
        <f>SUM(BB14:BK14)</f>
        <v>2963.1299999999997</v>
      </c>
      <c r="BB14" s="16">
        <f>IF($D14="是",I14-J14,0)</f>
        <v>0</v>
      </c>
      <c r="BC14" s="16">
        <f>IF($D14="是",K14-L14,0)</f>
        <v>2963.1299999999997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1274"/>
      <c r="D15" s="2215" t="s">
        <v>3237</v>
      </c>
      <c r="E15" s="16">
        <f>IF($C$3="是",ROUND($A$3*G15/$B$3,2),ROUND($A$3*(G15-AT15)/$B$3,2))</f>
        <v>918.15</v>
      </c>
      <c r="F15" s="32"/>
      <c r="G15" s="33">
        <f>H15+AC15+AT15</f>
        <v>3722.6200000000013</v>
      </c>
      <c r="H15" s="20">
        <f>SUMIF(I$12:AB$12,"总值",I15:AB15)</f>
        <v>3722.6200000000013</v>
      </c>
      <c r="I15" s="2216"/>
      <c r="J15" s="2216"/>
      <c r="K15" s="2216"/>
      <c r="L15" s="2216"/>
      <c r="M15" s="2216">
        <f>面积!F22+面积!F23+面积!F24+面积!F25+面积!F26+面积!F27+面积!F28+面积!F29+面积!F30+面积!F31+面积!F32+面积!F33+面积!F34+面积!F35+面积!F36+面积!F37+面积!F38+面积!F39+面积!F40+面积!F41+面积!F42+面积!F43+面积!F44+面积!F45+面积!F46+面积!F47+面积!F48+面积!F49+面积!F50+面积!F51+面积!F52+面积!F53+面积!F54+面积!F55+面积!F56+面积!F57+面积!F58+面积!F59+面积!F60+面积!F61+面积!F62+面积!F63+面积!F64+面积!F65+面积!F66+面积!F67+面积!F68+面积!F69+面积!F70</f>
        <v>3174.420000000001</v>
      </c>
      <c r="N15" s="2216"/>
      <c r="O15" s="2216">
        <f>面积!F20+面积!F21</f>
        <v>414.84000000000003</v>
      </c>
      <c r="P15" s="2216"/>
      <c r="Q15" s="2216">
        <f>面积!F71+面积!F72+面积!F73+面积!F74</f>
        <v>133.35999999999999</v>
      </c>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918.15</v>
      </c>
      <c r="AZ15" s="16">
        <f>BA15+BL15</f>
        <v>3722.6200000000013</v>
      </c>
      <c r="BA15" s="16">
        <f>SUM(BB15:BK15)</f>
        <v>3722.6200000000013</v>
      </c>
      <c r="BB15" s="16">
        <f>IF($D15="是",I15-J15,0)</f>
        <v>0</v>
      </c>
      <c r="BC15" s="16">
        <f>IF($D15="是",K15-L15,0)</f>
        <v>0</v>
      </c>
      <c r="BD15" s="16">
        <f>IF($D15="是",M15-N15,0)</f>
        <v>3174.420000000001</v>
      </c>
      <c r="BE15" s="16">
        <f>IF($D15="是",O15-P15,0)</f>
        <v>414.84000000000003</v>
      </c>
      <c r="BF15" s="16">
        <f>IF($D15="是",Q15-R15,0)</f>
        <v>133.35999999999999</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1274"/>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4"/>
      <c r="C1" s="1394"/>
      <c r="D1" s="1394"/>
      <c r="E1" s="1394"/>
      <c r="F1" s="1394"/>
      <c r="G1" s="1394"/>
      <c r="H1" s="1394"/>
      <c r="I1" s="1394"/>
      <c r="J1" s="1394"/>
      <c r="K1" s="1394"/>
      <c r="L1" s="1394"/>
      <c r="M1" s="1394"/>
      <c r="N1" s="1394"/>
      <c r="O1" s="1394"/>
      <c r="P1" s="1394"/>
    </row>
    <row r="2" spans="1:16" ht="15">
      <c r="A2" s="3083" t="s">
        <v>1934</v>
      </c>
      <c r="B2" s="3083"/>
      <c r="C2" s="3083"/>
      <c r="D2" s="969" t="s">
        <v>1910</v>
      </c>
      <c r="E2" s="2229" t="s">
        <v>1911</v>
      </c>
      <c r="F2" s="1394"/>
      <c r="G2" s="2230"/>
      <c r="H2" s="2231"/>
      <c r="I2" s="2232" t="s">
        <v>1935</v>
      </c>
      <c r="J2" s="1394"/>
      <c r="K2" s="1394"/>
      <c r="L2" s="1394"/>
      <c r="M2" s="1394"/>
      <c r="N2" s="1429"/>
      <c r="O2" s="1394"/>
      <c r="P2" s="1394"/>
    </row>
    <row r="3" spans="1:16" ht="15.75" thickBot="1">
      <c r="A3" s="3084" t="s">
        <v>1908</v>
      </c>
      <c r="B3" s="3084"/>
      <c r="C3" s="3084"/>
      <c r="D3" s="46">
        <f>'数据-基础表'!AY6</f>
        <v>2126.73</v>
      </c>
      <c r="E3" s="46">
        <f>'数据-基础表'!AZ5</f>
        <v>8622.76</v>
      </c>
      <c r="F3" s="1394"/>
      <c r="G3" s="1401"/>
      <c r="H3" s="1249" t="s">
        <v>1909</v>
      </c>
      <c r="I3" s="55">
        <f>ROUND('数据-基础表'!B3/'数据-基础表'!A3,2)</f>
        <v>4.05</v>
      </c>
      <c r="J3" s="1394"/>
      <c r="K3" s="1394"/>
      <c r="L3" s="1394"/>
      <c r="M3" s="1394"/>
      <c r="N3" s="1429"/>
      <c r="O3" s="1394"/>
      <c r="P3" s="1394"/>
    </row>
    <row r="4" spans="1:16" ht="15">
      <c r="A4" s="3085"/>
      <c r="B4" s="3086"/>
      <c r="C4" s="3087"/>
      <c r="D4" s="2233" t="s">
        <v>1910</v>
      </c>
      <c r="E4" s="2234" t="s">
        <v>1911</v>
      </c>
      <c r="F4" s="1394"/>
      <c r="G4" s="2235" t="s">
        <v>1936</v>
      </c>
      <c r="H4" s="1249" t="s">
        <v>1916</v>
      </c>
      <c r="I4" s="55">
        <f>ROUND(SUMIF('数据-基础表'!I9:AS9,"地上",'数据-基础表'!I5:AS5)/'数据-基础表'!A3,2)</f>
        <v>1.1100000000000001</v>
      </c>
      <c r="J4" s="1394"/>
      <c r="K4" s="1394"/>
      <c r="L4" s="1394"/>
      <c r="M4" s="1394"/>
      <c r="N4" s="1429"/>
      <c r="O4" s="1394"/>
      <c r="P4" s="1394"/>
    </row>
    <row r="5" spans="1:16">
      <c r="A5" s="47" t="s">
        <v>1912</v>
      </c>
      <c r="B5" s="3088" t="s">
        <v>1913</v>
      </c>
      <c r="C5" s="3088"/>
      <c r="D5" s="48">
        <f>ROUND($D$3*E5/$E$3,2)</f>
        <v>0</v>
      </c>
      <c r="E5" s="49">
        <f>SUMIF('数据-基础表'!$11:$11,"住宅",'数据-基础表'!$5:$5)</f>
        <v>0</v>
      </c>
      <c r="F5" s="1394"/>
      <c r="G5" s="1401"/>
      <c r="H5" s="1249" t="s">
        <v>1909</v>
      </c>
      <c r="I5" s="55">
        <f>ROUND(E31/D31,2)</f>
        <v>4.05</v>
      </c>
      <c r="J5" s="1394"/>
      <c r="K5" s="1394"/>
      <c r="L5" s="1394"/>
      <c r="M5" s="1394"/>
      <c r="N5" s="1394"/>
      <c r="O5" s="1394"/>
      <c r="P5" s="1394"/>
    </row>
    <row r="6" spans="1:16" ht="15" thickBot="1">
      <c r="A6" s="2236"/>
      <c r="B6" s="3088" t="s">
        <v>1914</v>
      </c>
      <c r="C6" s="3088"/>
      <c r="D6" s="48">
        <f>ROUND($D$3*E6/$E$3,2)</f>
        <v>2126.73</v>
      </c>
      <c r="E6" s="49">
        <f>E3-E5</f>
        <v>8622.76</v>
      </c>
      <c r="F6" s="1394"/>
      <c r="G6" s="2237" t="s">
        <v>1915</v>
      </c>
      <c r="H6" s="1401" t="s">
        <v>1916</v>
      </c>
      <c r="I6" s="941">
        <f>ROUND(F31/D31,2)</f>
        <v>1.1100000000000001</v>
      </c>
      <c r="J6" s="1394"/>
      <c r="K6" s="1394"/>
      <c r="L6" s="1394"/>
      <c r="M6" s="1394"/>
      <c r="N6" s="1394"/>
      <c r="O6" s="1394"/>
      <c r="P6" s="1394"/>
    </row>
    <row r="7" spans="1:16" ht="15">
      <c r="A7" s="3080"/>
      <c r="B7" s="3081"/>
      <c r="C7" s="3082"/>
      <c r="D7" s="2233" t="s">
        <v>1910</v>
      </c>
      <c r="E7" s="2238" t="s">
        <v>1917</v>
      </c>
      <c r="F7" s="1394"/>
      <c r="G7" s="2230" t="s">
        <v>1918</v>
      </c>
      <c r="H7" s="64"/>
      <c r="I7" s="420">
        <v>4.05</v>
      </c>
      <c r="J7" s="1394"/>
      <c r="K7" s="1394"/>
      <c r="L7" s="1394"/>
      <c r="M7" s="1394"/>
      <c r="N7" s="1394"/>
      <c r="O7" s="1394"/>
      <c r="P7" s="1394"/>
    </row>
    <row r="8" spans="1:16">
      <c r="A8" s="47" t="s">
        <v>1919</v>
      </c>
      <c r="B8" s="50" t="s">
        <v>1920</v>
      </c>
      <c r="C8" s="48" t="s">
        <v>1921</v>
      </c>
      <c r="D8" s="48">
        <f t="shared" ref="D8:D15" si="0">ROUND($D$3*E8/$E$3,2)</f>
        <v>580.05999999999995</v>
      </c>
      <c r="E8" s="51">
        <f>SUMIF('数据-基础表'!BB10:BK10,"地上",'数据-基础表'!BB5:BK5)</f>
        <v>2351.85</v>
      </c>
      <c r="F8" s="1394"/>
      <c r="G8" s="2239"/>
      <c r="H8" s="2239"/>
      <c r="I8" s="1394"/>
      <c r="J8" s="1394"/>
      <c r="K8" s="1394"/>
      <c r="L8" s="1394"/>
      <c r="M8" s="1394"/>
      <c r="N8" s="1394"/>
      <c r="O8" s="1394"/>
      <c r="P8" s="1394"/>
    </row>
    <row r="9" spans="1:16">
      <c r="A9" s="2240"/>
      <c r="B9" s="2241"/>
      <c r="C9" s="48" t="s">
        <v>1922</v>
      </c>
      <c r="D9" s="48">
        <f t="shared" si="0"/>
        <v>0</v>
      </c>
      <c r="E9" s="52">
        <v>0</v>
      </c>
      <c r="F9" s="1394"/>
      <c r="G9" s="2239"/>
      <c r="H9" s="2239"/>
      <c r="I9" s="1394"/>
      <c r="J9" s="1394"/>
      <c r="K9" s="1394"/>
      <c r="L9" s="1394"/>
      <c r="M9" s="1394"/>
      <c r="N9" s="1394"/>
      <c r="O9" s="1394"/>
      <c r="P9" s="1394"/>
    </row>
    <row r="10" spans="1:16">
      <c r="A10" s="2240"/>
      <c r="B10" s="2241"/>
      <c r="C10" s="48" t="s">
        <v>1931</v>
      </c>
      <c r="D10" s="48">
        <f t="shared" si="0"/>
        <v>730.83</v>
      </c>
      <c r="E10" s="51">
        <f>SUMPRODUCT(('数据-基础表'!BB10:BK10="地下")*('数据-基础表'!BB11:BK11="商业")*('数据-基础表'!BB5:BK5))</f>
        <v>2963.1299999999997</v>
      </c>
      <c r="F10" s="1394"/>
      <c r="G10" s="2239"/>
      <c r="H10" s="2239"/>
      <c r="I10" s="1394"/>
      <c r="J10" s="1394"/>
      <c r="K10" s="1394"/>
      <c r="L10" s="1394"/>
      <c r="M10" s="1394"/>
      <c r="N10" s="1394"/>
      <c r="O10" s="1394"/>
      <c r="P10" s="1394"/>
    </row>
    <row r="11" spans="1:16">
      <c r="A11" s="2240"/>
      <c r="B11" s="2241"/>
      <c r="C11" s="48" t="s">
        <v>1923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1924</v>
      </c>
      <c r="D12" s="48">
        <f t="shared" si="0"/>
        <v>782.94</v>
      </c>
      <c r="E12" s="51">
        <f>SUMPRODUCT(('数据-基础表'!BB10:BK10="地下")*('数据-基础表'!BB11:BK11="仓储")*('数据-基础表'!BB5:BK5))</f>
        <v>3174.420000000001</v>
      </c>
      <c r="F12" s="1394"/>
      <c r="G12" s="2239"/>
      <c r="H12" s="2239"/>
      <c r="I12" s="1394"/>
      <c r="J12" s="1394"/>
      <c r="K12" s="1394"/>
      <c r="L12" s="1394"/>
      <c r="M12" s="1394"/>
      <c r="N12" s="1394"/>
      <c r="O12" s="1394"/>
      <c r="P12" s="1394"/>
    </row>
    <row r="13" spans="1:16">
      <c r="A13" s="2240"/>
      <c r="B13" s="2241"/>
      <c r="C13" s="48" t="s">
        <v>1925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1937</v>
      </c>
      <c r="D14" s="48">
        <f t="shared" si="0"/>
        <v>32.89</v>
      </c>
      <c r="E14" s="51">
        <f>SUMPRODUCT(('数据-基础表'!BB10:BK10="地下")*('数据-基础表'!BB11:BK11="车库—商业")*('数据-基础表'!BB5:BK5))</f>
        <v>133.35999999999999</v>
      </c>
      <c r="F14" s="1394"/>
      <c r="G14" s="2239"/>
      <c r="H14" s="2239"/>
      <c r="I14" s="1394"/>
      <c r="J14" s="1394"/>
      <c r="K14" s="1394"/>
      <c r="L14" s="1394"/>
      <c r="M14" s="1394"/>
      <c r="N14" s="1394"/>
      <c r="O14" s="1394"/>
      <c r="P14" s="1394"/>
    </row>
    <row r="15" spans="1:16" ht="15" thickBot="1">
      <c r="A15" s="2240"/>
      <c r="B15" s="2241"/>
      <c r="C15" s="48" t="s">
        <v>1932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1926</v>
      </c>
      <c r="D16" s="50">
        <f>SUM(D8:D15)</f>
        <v>2126.7199999999998</v>
      </c>
      <c r="E16" s="53">
        <f>SUM(E8:E15)</f>
        <v>8622.760000000002</v>
      </c>
      <c r="F16" s="1394"/>
      <c r="G16" s="2239"/>
      <c r="H16" s="2242" t="s">
        <v>1938</v>
      </c>
      <c r="I16" s="2243"/>
      <c r="J16" s="1394"/>
      <c r="K16" s="3077" t="s">
        <v>1938</v>
      </c>
      <c r="L16" s="3078"/>
      <c r="M16" s="3078"/>
      <c r="N16" s="3078"/>
      <c r="O16" s="3078"/>
      <c r="P16" s="3079"/>
    </row>
    <row r="17" spans="1:19" ht="15">
      <c r="A17" s="2244" t="s">
        <v>1939</v>
      </c>
      <c r="B17" s="2245" t="s">
        <v>1940</v>
      </c>
      <c r="C17" s="2246" t="s">
        <v>1941</v>
      </c>
      <c r="D17" s="2247" t="s">
        <v>1929</v>
      </c>
      <c r="E17" s="2248" t="s">
        <v>1930</v>
      </c>
      <c r="F17" s="2249"/>
      <c r="G17" s="2250"/>
      <c r="H17" s="2251" t="s">
        <v>1942</v>
      </c>
      <c r="I17" s="2252" t="s">
        <v>1927</v>
      </c>
      <c r="J17" s="1394"/>
      <c r="K17" s="3074" t="s">
        <v>1943</v>
      </c>
      <c r="L17" s="3075"/>
      <c r="M17" s="3076"/>
      <c r="N17" s="3074" t="s">
        <v>1944</v>
      </c>
      <c r="O17" s="3075"/>
      <c r="P17" s="3076"/>
      <c r="R17" s="2230" t="s">
        <v>1945</v>
      </c>
      <c r="S17" s="64"/>
    </row>
    <row r="18" spans="1:19" ht="15">
      <c r="A18" s="2240"/>
      <c r="B18" s="2253"/>
      <c r="C18" s="2254"/>
      <c r="D18" s="2255"/>
      <c r="E18" s="2256" t="s">
        <v>1946</v>
      </c>
      <c r="F18" s="2257" t="s">
        <v>1947</v>
      </c>
      <c r="G18" s="2258" t="s">
        <v>1948</v>
      </c>
      <c r="H18" s="1264" t="s">
        <v>1949</v>
      </c>
      <c r="I18" s="2259" t="s">
        <v>1950</v>
      </c>
      <c r="J18" s="1394"/>
      <c r="K18" s="1264" t="s">
        <v>1951</v>
      </c>
      <c r="L18" s="2260" t="s">
        <v>1952</v>
      </c>
      <c r="M18" s="1048" t="s">
        <v>1953</v>
      </c>
      <c r="N18" s="1264" t="s">
        <v>1951</v>
      </c>
      <c r="O18" s="2260" t="s">
        <v>1952</v>
      </c>
      <c r="P18" s="1048" t="s">
        <v>1953</v>
      </c>
      <c r="R18" s="1249" t="s">
        <v>1954</v>
      </c>
      <c r="S18" s="1249" t="s">
        <v>1955</v>
      </c>
    </row>
    <row r="19" spans="1:19">
      <c r="A19" s="2261"/>
      <c r="B19" s="50" t="s">
        <v>1928</v>
      </c>
      <c r="C19" s="2994" t="s">
        <v>3253</v>
      </c>
      <c r="D19" s="48">
        <f>ROUND($D$3*E19/$E$3,2)</f>
        <v>1208.58</v>
      </c>
      <c r="E19" s="56">
        <f t="shared" ref="E19:E26" si="1">SUM(F19:G19)</f>
        <v>4900.1399999999994</v>
      </c>
      <c r="F19" s="57">
        <f>'数据-基础表'!I13</f>
        <v>1937.01</v>
      </c>
      <c r="G19" s="58">
        <f>'数据-基础表'!K14</f>
        <v>2963.1299999999997</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1208.58</v>
      </c>
      <c r="S19" s="1250">
        <f t="shared" si="5"/>
        <v>4900.1399999999994</v>
      </c>
    </row>
    <row r="20" spans="1:19">
      <c r="A20" s="2264"/>
      <c r="B20" s="50" t="s">
        <v>1956</v>
      </c>
      <c r="C20" s="2994" t="s">
        <v>3267</v>
      </c>
      <c r="D20" s="48">
        <f t="shared" ref="D20:D26" si="6">ROUND($D$3*E20/$E$3,2)</f>
        <v>885.26</v>
      </c>
      <c r="E20" s="56">
        <f t="shared" si="1"/>
        <v>3589.2600000000011</v>
      </c>
      <c r="F20" s="57">
        <f>'数据-基础表'!O15</f>
        <v>414.84000000000003</v>
      </c>
      <c r="G20" s="58">
        <f>'数据-基础表'!M15</f>
        <v>3174.420000000001</v>
      </c>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885.26</v>
      </c>
      <c r="S20" s="1250">
        <f t="shared" si="5"/>
        <v>3589.2600000000011</v>
      </c>
    </row>
    <row r="21" spans="1:19">
      <c r="A21" s="2264"/>
      <c r="B21" s="50" t="s">
        <v>1956</v>
      </c>
      <c r="C21" s="2994" t="s">
        <v>3268</v>
      </c>
      <c r="D21" s="48">
        <f t="shared" si="6"/>
        <v>32.89</v>
      </c>
      <c r="E21" s="56">
        <f t="shared" si="1"/>
        <v>133.35999999999999</v>
      </c>
      <c r="F21" s="57"/>
      <c r="G21" s="58">
        <f>'数据-基础表'!Q15</f>
        <v>133.35999999999999</v>
      </c>
      <c r="H21" s="723">
        <f t="shared" si="7"/>
        <v>0</v>
      </c>
      <c r="I21" s="51">
        <f t="shared" si="2"/>
        <v>0</v>
      </c>
      <c r="J21" s="1394"/>
      <c r="K21" s="1393">
        <f t="shared" si="3"/>
        <v>0</v>
      </c>
      <c r="L21" s="1249">
        <f t="shared" si="4"/>
        <v>0</v>
      </c>
      <c r="M21" s="1405">
        <f t="shared" si="8"/>
        <v>0</v>
      </c>
      <c r="N21" s="2262"/>
      <c r="O21" s="2263"/>
      <c r="P21" s="1405">
        <f t="shared" si="9"/>
        <v>0</v>
      </c>
      <c r="R21" s="1249">
        <f t="shared" si="5"/>
        <v>32.89</v>
      </c>
      <c r="S21" s="1250">
        <f t="shared" si="5"/>
        <v>133.35999999999999</v>
      </c>
    </row>
    <row r="22" spans="1:19">
      <c r="A22" s="2264"/>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1957</v>
      </c>
      <c r="D27" s="1395">
        <f>SUM(D19:D26)</f>
        <v>2126.73</v>
      </c>
      <c r="E27" s="1396">
        <f>IF(SUM(E19:E26)='数据-基础表'!BA5,SUM(E19:E26),IF(F27="地上面积有误","面积有误","地下面积有误"))</f>
        <v>8622.760000000002</v>
      </c>
      <c r="F27" s="1395">
        <f>IF(SUM(F19:F26)=E8,SUM(F19:F26),"地上面积有误")</f>
        <v>2351.85</v>
      </c>
      <c r="G27" s="1397">
        <f>SUM(G19:G26)</f>
        <v>6270.9100000000008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2126.73</v>
      </c>
      <c r="S27" s="1249">
        <f>IF(SUM(S19:S26)=$E$3,SUM(S19:S26),SUM(S19:S26)&amp;"误差"&amp;ROUND(SUM(S19:S26)-E3,2))</f>
        <v>8622.760000000002</v>
      </c>
    </row>
    <row r="28" spans="1:19">
      <c r="A28" s="2264"/>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1958</v>
      </c>
      <c r="C29" s="2268"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1961</v>
      </c>
      <c r="D31" s="729">
        <f>D27+D30</f>
        <v>2126.73</v>
      </c>
      <c r="E31" s="729">
        <f>E27+E30</f>
        <v>8622.760000000002</v>
      </c>
      <c r="F31" s="730">
        <f>F27+F30</f>
        <v>2351.85</v>
      </c>
      <c r="G31" s="731">
        <f>G27+G30</f>
        <v>6270.9100000000008</v>
      </c>
      <c r="H31" s="1394"/>
      <c r="I31" s="1394"/>
      <c r="J31" s="1394"/>
      <c r="K31" s="1394"/>
      <c r="L31" s="1394"/>
      <c r="M31" s="1394"/>
      <c r="N31" s="1394"/>
      <c r="O31" s="1394"/>
      <c r="P31" s="1394"/>
    </row>
    <row r="32" spans="1:19">
      <c r="A32" s="2235"/>
      <c r="B32" s="2235" t="s">
        <v>1962</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topLeftCell="B49" zoomScaleNormal="100" workbookViewId="0">
      <selection activeCell="I62" sqref="I62"/>
    </sheetView>
  </sheetViews>
  <sheetFormatPr defaultRowHeight="13.5"/>
  <cols>
    <col min="1" max="1" width="9" style="2974"/>
    <col min="2" max="2" width="7.75" style="2974" customWidth="1"/>
    <col min="3" max="3" width="19.125" style="2974" customWidth="1"/>
    <col min="4" max="4" width="16.375" style="2974" customWidth="1"/>
    <col min="5" max="5" width="27.25" style="2974" customWidth="1"/>
    <col min="6" max="7" width="9" style="2974"/>
    <col min="8" max="8" width="10.25" style="2974" customWidth="1"/>
    <col min="9" max="10" width="10.625" style="2974" customWidth="1"/>
    <col min="11" max="11" width="10.625" style="2992" customWidth="1"/>
    <col min="12" max="12" width="10.625" style="2974" customWidth="1"/>
    <col min="13" max="16384" width="9" style="2974"/>
  </cols>
  <sheetData>
    <row r="1" spans="1:12" ht="29.25" customHeight="1">
      <c r="A1" s="2973"/>
      <c r="B1" s="2977"/>
      <c r="C1" s="2978"/>
      <c r="D1" s="2978"/>
      <c r="E1" s="2977"/>
      <c r="F1" s="2977"/>
      <c r="G1" s="2979"/>
      <c r="H1" s="2979"/>
      <c r="I1" s="3089" t="s">
        <v>3065</v>
      </c>
      <c r="J1" s="3089"/>
      <c r="K1" s="3091"/>
      <c r="L1" s="3092"/>
    </row>
    <row r="2" spans="1:12" ht="29.25" customHeight="1">
      <c r="A2" s="2973"/>
      <c r="B2" s="2977" t="s">
        <v>3066</v>
      </c>
      <c r="C2" s="2977" t="s">
        <v>3067</v>
      </c>
      <c r="D2" s="2977" t="s">
        <v>3068</v>
      </c>
      <c r="E2" s="2977" t="s">
        <v>3062</v>
      </c>
      <c r="F2" s="2977" t="s">
        <v>3063</v>
      </c>
      <c r="G2" s="2979" t="s">
        <v>3064</v>
      </c>
      <c r="H2" s="2980" t="s">
        <v>3069</v>
      </c>
      <c r="I2" s="2977" t="s">
        <v>3070</v>
      </c>
      <c r="J2" s="2977" t="s">
        <v>3071</v>
      </c>
    </row>
    <row r="3" spans="1:12" ht="29.25" customHeight="1">
      <c r="A3" s="2975"/>
      <c r="B3" s="2979">
        <v>1</v>
      </c>
      <c r="C3" s="2981" t="s">
        <v>3072</v>
      </c>
      <c r="D3" s="2978" t="s">
        <v>3073</v>
      </c>
      <c r="E3" s="2981" t="s">
        <v>3074</v>
      </c>
      <c r="F3" s="2978">
        <v>316.94</v>
      </c>
      <c r="G3" s="2978">
        <f>ROUND('[1]数据-基础表'!$A$3*[1]Sheet2!F3/'[1]数据-基础表'!$H$5,2)</f>
        <v>78.17</v>
      </c>
      <c r="H3" s="2982" t="s">
        <v>3075</v>
      </c>
      <c r="I3" s="2983">
        <v>318</v>
      </c>
      <c r="J3" s="2983">
        <v>10030</v>
      </c>
      <c r="K3" s="2993" t="s">
        <v>3239</v>
      </c>
    </row>
    <row r="4" spans="1:12" ht="29.25" customHeight="1">
      <c r="A4" s="2975"/>
      <c r="B4" s="2979">
        <v>2</v>
      </c>
      <c r="C4" s="2981" t="s">
        <v>3072</v>
      </c>
      <c r="D4" s="2978" t="s">
        <v>3076</v>
      </c>
      <c r="E4" s="2981" t="s">
        <v>3077</v>
      </c>
      <c r="F4" s="2978">
        <v>260.20999999999998</v>
      </c>
      <c r="G4" s="2978">
        <f>ROUND('[1]数据-基础表'!$A$3*[1]Sheet2!F4/'[1]数据-基础表'!$H$5,2)</f>
        <v>64.180000000000007</v>
      </c>
      <c r="H4" s="2982" t="s">
        <v>3078</v>
      </c>
      <c r="I4" s="2983">
        <v>261</v>
      </c>
      <c r="J4" s="2983">
        <v>10030</v>
      </c>
      <c r="K4" s="2993" t="s">
        <v>3240</v>
      </c>
    </row>
    <row r="5" spans="1:12" ht="29.25" customHeight="1">
      <c r="A5" s="2975"/>
      <c r="B5" s="2979">
        <v>3</v>
      </c>
      <c r="C5" s="2981" t="s">
        <v>3079</v>
      </c>
      <c r="D5" s="2978" t="s">
        <v>3080</v>
      </c>
      <c r="E5" s="2981" t="s">
        <v>3081</v>
      </c>
      <c r="F5" s="2978">
        <v>243.62</v>
      </c>
      <c r="G5" s="2978">
        <f>ROUND('[1]数据-基础表'!$A$3*[1]Sheet2!F5/'[1]数据-基础表'!$H$5,2)</f>
        <v>60.09</v>
      </c>
      <c r="H5" s="2982" t="s">
        <v>3082</v>
      </c>
      <c r="I5" s="2983">
        <v>244</v>
      </c>
      <c r="J5" s="2983">
        <v>10030</v>
      </c>
      <c r="K5" s="2993" t="s">
        <v>3240</v>
      </c>
    </row>
    <row r="6" spans="1:12" ht="29.25" customHeight="1">
      <c r="A6" s="2975"/>
      <c r="B6" s="2979">
        <v>4</v>
      </c>
      <c r="C6" s="2981" t="s">
        <v>3079</v>
      </c>
      <c r="D6" s="2978" t="s">
        <v>3083</v>
      </c>
      <c r="E6" s="2981" t="s">
        <v>3084</v>
      </c>
      <c r="F6" s="2978">
        <v>233.62</v>
      </c>
      <c r="G6" s="2978">
        <f>ROUND('[1]数据-基础表'!$A$3*[1]Sheet2!F6/'[1]数据-基础表'!$H$5,2)</f>
        <v>57.62</v>
      </c>
      <c r="H6" s="2982" t="s">
        <v>3075</v>
      </c>
      <c r="I6" s="2983">
        <v>234</v>
      </c>
      <c r="J6" s="2983">
        <v>10030</v>
      </c>
      <c r="K6" s="2993" t="s">
        <v>3241</v>
      </c>
    </row>
    <row r="7" spans="1:12" ht="29.25" customHeight="1">
      <c r="A7" s="2975"/>
      <c r="B7" s="2979">
        <v>5</v>
      </c>
      <c r="C7" s="2981" t="s">
        <v>3079</v>
      </c>
      <c r="D7" s="2978" t="s">
        <v>3085</v>
      </c>
      <c r="E7" s="2981" t="s">
        <v>3086</v>
      </c>
      <c r="F7" s="2978">
        <v>402.43</v>
      </c>
      <c r="G7" s="2978">
        <f>ROUND('[1]数据-基础表'!$A$3*[1]Sheet2!F7/'[1]数据-基础表'!$H$5,2)</f>
        <v>99.26</v>
      </c>
      <c r="H7" s="2982" t="s">
        <v>3075</v>
      </c>
      <c r="I7" s="2983">
        <v>484</v>
      </c>
      <c r="J7" s="2983">
        <v>12036</v>
      </c>
      <c r="K7" s="2993" t="s">
        <v>3242</v>
      </c>
    </row>
    <row r="8" spans="1:12" ht="29.25" customHeight="1">
      <c r="A8" s="2975"/>
      <c r="B8" s="2979">
        <v>6</v>
      </c>
      <c r="C8" s="2981" t="s">
        <v>3088</v>
      </c>
      <c r="D8" s="2978" t="s">
        <v>3089</v>
      </c>
      <c r="E8" s="2981" t="s">
        <v>3090</v>
      </c>
      <c r="F8" s="2978">
        <v>276.27999999999997</v>
      </c>
      <c r="G8" s="2978">
        <f>ROUND('[1]数据-基础表'!$A$3*[1]Sheet2!F9/'[1]数据-基础表'!$H$5,2)</f>
        <v>68.14</v>
      </c>
      <c r="H8" s="2982" t="s">
        <v>3075</v>
      </c>
      <c r="I8" s="2984">
        <v>277.10883999999999</v>
      </c>
      <c r="J8" s="2984">
        <v>10030</v>
      </c>
      <c r="K8" s="2993" t="s">
        <v>3240</v>
      </c>
    </row>
    <row r="9" spans="1:12" ht="29.25" customHeight="1">
      <c r="A9" s="2975"/>
      <c r="B9" s="2979">
        <v>7</v>
      </c>
      <c r="C9" s="2981" t="s">
        <v>3092</v>
      </c>
      <c r="D9" s="2978" t="s">
        <v>3093</v>
      </c>
      <c r="E9" s="2981" t="s">
        <v>3254</v>
      </c>
      <c r="F9" s="2978">
        <v>363.49</v>
      </c>
      <c r="G9" s="2978">
        <f>ROUND('[1]数据-基础表'!$A$3*[1]Sheet2!F10/'[1]数据-基础表'!$H$5,2)</f>
        <v>89.65</v>
      </c>
      <c r="H9" s="2982" t="s">
        <v>3075</v>
      </c>
      <c r="I9" s="2985">
        <v>365</v>
      </c>
      <c r="J9" s="2985">
        <v>10030</v>
      </c>
      <c r="K9" s="2993" t="s">
        <v>3243</v>
      </c>
    </row>
    <row r="10" spans="1:12" ht="29.25" customHeight="1">
      <c r="A10" s="2975"/>
      <c r="B10" s="2979">
        <v>8</v>
      </c>
      <c r="C10" s="2981" t="s">
        <v>3091</v>
      </c>
      <c r="D10" s="2978" t="s">
        <v>3094</v>
      </c>
      <c r="E10" s="2981" t="s">
        <v>3255</v>
      </c>
      <c r="F10" s="2978">
        <v>300.04000000000002</v>
      </c>
      <c r="G10" s="2978">
        <f>ROUND('[1]数据-基础表'!$A$3*[1]Sheet2!F11/'[1]数据-基础表'!$H$5,2)</f>
        <v>74</v>
      </c>
      <c r="H10" s="2982" t="s">
        <v>3075</v>
      </c>
      <c r="I10" s="2985">
        <v>301</v>
      </c>
      <c r="J10" s="2985">
        <v>10030</v>
      </c>
      <c r="K10" s="2993" t="s">
        <v>3244</v>
      </c>
    </row>
    <row r="11" spans="1:12" ht="29.25" customHeight="1">
      <c r="A11" s="2975"/>
      <c r="B11" s="2979">
        <v>9</v>
      </c>
      <c r="C11" s="2981" t="s">
        <v>3092</v>
      </c>
      <c r="D11" s="2978" t="s">
        <v>3095</v>
      </c>
      <c r="E11" s="2981" t="s">
        <v>3256</v>
      </c>
      <c r="F11" s="2978">
        <v>296.39</v>
      </c>
      <c r="G11" s="2978">
        <f>ROUND('[1]数据-基础表'!$A$3*[1]Sheet2!F12/'[1]数据-基础表'!$H$5,2)</f>
        <v>73.099999999999994</v>
      </c>
      <c r="H11" s="2982" t="s">
        <v>3075</v>
      </c>
      <c r="I11" s="2985">
        <v>297</v>
      </c>
      <c r="J11" s="2985">
        <v>10030</v>
      </c>
      <c r="K11" s="2993" t="s">
        <v>3244</v>
      </c>
    </row>
    <row r="12" spans="1:12" ht="29.25" customHeight="1">
      <c r="A12" s="2975"/>
      <c r="B12" s="2979">
        <v>10</v>
      </c>
      <c r="C12" s="2981" t="s">
        <v>3091</v>
      </c>
      <c r="D12" s="2978" t="s">
        <v>3096</v>
      </c>
      <c r="E12" s="2981" t="s">
        <v>3257</v>
      </c>
      <c r="F12" s="2978">
        <v>278.2</v>
      </c>
      <c r="G12" s="2978">
        <f>ROUND('[1]数据-基础表'!$A$3*[1]Sheet2!F13/'[1]数据-基础表'!$H$5,2)</f>
        <v>68.62</v>
      </c>
      <c r="H12" s="2982" t="s">
        <v>3075</v>
      </c>
      <c r="I12" s="2985">
        <v>279</v>
      </c>
      <c r="J12" s="2985">
        <v>10030</v>
      </c>
      <c r="K12" s="2993" t="s">
        <v>3244</v>
      </c>
    </row>
    <row r="13" spans="1:12" ht="29.25" customHeight="1">
      <c r="A13" s="2975"/>
      <c r="B13" s="2979">
        <v>11</v>
      </c>
      <c r="C13" s="2981" t="s">
        <v>3097</v>
      </c>
      <c r="D13" s="2978" t="s">
        <v>3098</v>
      </c>
      <c r="E13" s="2981" t="s">
        <v>3258</v>
      </c>
      <c r="F13" s="2978">
        <v>296.45999999999998</v>
      </c>
      <c r="G13" s="2978">
        <f>ROUND('[1]数据-基础表'!$A$3*[1]Sheet2!F14/'[1]数据-基础表'!$H$5,2)</f>
        <v>73.12</v>
      </c>
      <c r="H13" s="2982" t="s">
        <v>3075</v>
      </c>
      <c r="I13" s="2985">
        <v>297</v>
      </c>
      <c r="J13" s="2985">
        <v>10030</v>
      </c>
      <c r="K13" s="2993" t="s">
        <v>3244</v>
      </c>
    </row>
    <row r="14" spans="1:12" ht="29.25" customHeight="1">
      <c r="B14" s="2979">
        <v>12</v>
      </c>
      <c r="C14" s="2981" t="s">
        <v>3099</v>
      </c>
      <c r="D14" s="2978" t="s">
        <v>3100</v>
      </c>
      <c r="E14" s="2981" t="s">
        <v>3101</v>
      </c>
      <c r="F14" s="2978">
        <v>427.32</v>
      </c>
      <c r="G14" s="2978">
        <f>ROUND('[1]数据-基础表'!$A$3*[1]Sheet2!F16/'[1]数据-基础表'!$H$5,2)</f>
        <v>105.39</v>
      </c>
      <c r="H14" s="2982" t="s">
        <v>3075</v>
      </c>
      <c r="I14" s="2986">
        <v>429</v>
      </c>
      <c r="J14" s="2986">
        <v>10030</v>
      </c>
      <c r="K14" s="2993" t="s">
        <v>3240</v>
      </c>
    </row>
    <row r="15" spans="1:12" ht="29.25" customHeight="1">
      <c r="B15" s="2979">
        <v>13</v>
      </c>
      <c r="C15" s="2981" t="s">
        <v>3099</v>
      </c>
      <c r="D15" s="2978" t="s">
        <v>3102</v>
      </c>
      <c r="E15" s="2981" t="s">
        <v>3103</v>
      </c>
      <c r="F15" s="2978">
        <v>352.93</v>
      </c>
      <c r="G15" s="2978">
        <f>ROUND('[1]数据-基础表'!$A$3*[1]Sheet2!F17/'[1]数据-基础表'!$H$5,2)</f>
        <v>87.05</v>
      </c>
      <c r="H15" s="2982" t="s">
        <v>3075</v>
      </c>
      <c r="I15" s="2986">
        <v>354</v>
      </c>
      <c r="J15" s="2986">
        <v>10030</v>
      </c>
      <c r="K15" s="2993" t="s">
        <v>3245</v>
      </c>
    </row>
    <row r="16" spans="1:12" ht="29.25" customHeight="1">
      <c r="B16" s="2979">
        <v>14</v>
      </c>
      <c r="C16" s="2981" t="s">
        <v>3099</v>
      </c>
      <c r="D16" s="2978" t="s">
        <v>3104</v>
      </c>
      <c r="E16" s="2981" t="s">
        <v>3105</v>
      </c>
      <c r="F16" s="2978">
        <v>384.45</v>
      </c>
      <c r="G16" s="2978">
        <f>ROUND('[1]数据-基础表'!$A$3*[1]Sheet2!F18/'[1]数据-基础表'!$H$5,2)</f>
        <v>94.82</v>
      </c>
      <c r="H16" s="2982" t="s">
        <v>3075</v>
      </c>
      <c r="I16" s="2986">
        <v>386</v>
      </c>
      <c r="J16" s="2986">
        <v>10030</v>
      </c>
      <c r="K16" s="2993" t="s">
        <v>3246</v>
      </c>
    </row>
    <row r="17" spans="2:12" ht="29.25" customHeight="1">
      <c r="B17" s="2979">
        <v>15</v>
      </c>
      <c r="C17" s="2981" t="s">
        <v>3099</v>
      </c>
      <c r="D17" s="2978" t="s">
        <v>3106</v>
      </c>
      <c r="E17" s="2981" t="s">
        <v>3107</v>
      </c>
      <c r="F17" s="2978">
        <v>239.89</v>
      </c>
      <c r="G17" s="2978">
        <f>ROUND('[1]数据-基础表'!$A$3*[1]Sheet2!F19/'[1]数据-基础表'!$H$5,2)</f>
        <v>59.17</v>
      </c>
      <c r="H17" s="2982" t="s">
        <v>3075</v>
      </c>
      <c r="I17" s="2986">
        <v>241</v>
      </c>
      <c r="J17" s="2986">
        <v>10030</v>
      </c>
      <c r="K17" s="2993" t="s">
        <v>3240</v>
      </c>
    </row>
    <row r="18" spans="2:12" ht="29.25" customHeight="1">
      <c r="B18" s="2979">
        <v>16</v>
      </c>
      <c r="C18" s="2981" t="s">
        <v>3108</v>
      </c>
      <c r="D18" s="2978" t="s">
        <v>3109</v>
      </c>
      <c r="E18" s="2981" t="s">
        <v>3110</v>
      </c>
      <c r="F18" s="2978">
        <v>136.03</v>
      </c>
      <c r="G18" s="2978">
        <f>ROUND('[1]数据-基础表'!$A$3*[1]Sheet2!F20/'[1]数据-基础表'!$H$5,2)</f>
        <v>33.549999999999997</v>
      </c>
      <c r="H18" s="2982" t="s">
        <v>3075</v>
      </c>
      <c r="I18" s="2987">
        <v>123</v>
      </c>
      <c r="J18" s="2987">
        <v>9027</v>
      </c>
      <c r="K18" s="2993" t="s">
        <v>3247</v>
      </c>
    </row>
    <row r="19" spans="2:12" ht="29.25" customHeight="1">
      <c r="B19" s="2979">
        <v>17</v>
      </c>
      <c r="C19" s="2981" t="s">
        <v>3111</v>
      </c>
      <c r="D19" s="2978" t="s">
        <v>3112</v>
      </c>
      <c r="E19" s="2981" t="s">
        <v>3113</v>
      </c>
      <c r="F19" s="2978">
        <v>91.84</v>
      </c>
      <c r="G19" s="2978">
        <f>ROUND('[1]数据-基础表'!$A$3*[1]Sheet2!F21/'[1]数据-基础表'!$H$5,2)</f>
        <v>22.65</v>
      </c>
      <c r="H19" s="2982" t="s">
        <v>3075</v>
      </c>
      <c r="I19" s="2987">
        <v>81.891160000000127</v>
      </c>
      <c r="J19" s="2987">
        <v>8917</v>
      </c>
      <c r="K19" s="2993" t="s">
        <v>3248</v>
      </c>
    </row>
    <row r="20" spans="2:12" ht="29.25" customHeight="1">
      <c r="B20" s="2979">
        <v>18</v>
      </c>
      <c r="C20" s="2981" t="s">
        <v>3087</v>
      </c>
      <c r="D20" s="2978" t="s">
        <v>3114</v>
      </c>
      <c r="E20" s="2981" t="s">
        <v>3115</v>
      </c>
      <c r="F20" s="2978">
        <v>145.99</v>
      </c>
      <c r="G20" s="2978">
        <f>ROUND('[1]数据-基础表'!$A$3*[1]Sheet2!F22/'[1]数据-基础表'!$H$5,2)</f>
        <v>36.01</v>
      </c>
      <c r="H20" s="2978" t="s">
        <v>3116</v>
      </c>
      <c r="I20" s="2983">
        <v>67.277597760947927</v>
      </c>
      <c r="J20" s="2983">
        <v>4608.3702829610193</v>
      </c>
      <c r="K20" s="2993"/>
      <c r="L20" s="2995"/>
    </row>
    <row r="21" spans="2:12" ht="29.25" customHeight="1">
      <c r="B21" s="2979">
        <v>19</v>
      </c>
      <c r="C21" s="2981" t="s">
        <v>3087</v>
      </c>
      <c r="D21" s="2978" t="s">
        <v>3117</v>
      </c>
      <c r="E21" s="2981" t="s">
        <v>3118</v>
      </c>
      <c r="F21" s="2978">
        <v>268.85000000000002</v>
      </c>
      <c r="G21" s="2978">
        <f>ROUND('[1]数据-基础表'!$A$3*[1]Sheet2!F23/'[1]数据-基础表'!$H$5,2)</f>
        <v>66.31</v>
      </c>
      <c r="H21" s="2978" t="s">
        <v>3116</v>
      </c>
      <c r="I21" s="2983">
        <v>123.89603505740702</v>
      </c>
      <c r="J21" s="2983">
        <v>4608.3702829610193</v>
      </c>
      <c r="K21" s="2993"/>
      <c r="L21" s="2995"/>
    </row>
    <row r="22" spans="2:12" ht="29.25" customHeight="1">
      <c r="B22" s="2979">
        <v>20</v>
      </c>
      <c r="C22" s="2981" t="s">
        <v>3119</v>
      </c>
      <c r="D22" s="2978" t="s">
        <v>3120</v>
      </c>
      <c r="E22" s="2981" t="s">
        <v>3121</v>
      </c>
      <c r="F22" s="2978">
        <v>15.23</v>
      </c>
      <c r="G22" s="2978">
        <f>ROUND('[1]数据-基础表'!$A$3*[1]Sheet2!F24/'[1]数据-基础表'!$H$5,2)</f>
        <v>3.76</v>
      </c>
      <c r="H22" s="2978" t="s">
        <v>3116</v>
      </c>
      <c r="I22" s="2984">
        <v>7.0185479409496327</v>
      </c>
      <c r="J22" s="2984">
        <v>4608.3702829610193</v>
      </c>
      <c r="K22" s="2993"/>
    </row>
    <row r="23" spans="2:12" ht="29.25" customHeight="1">
      <c r="B23" s="2979">
        <v>21</v>
      </c>
      <c r="C23" s="2981" t="s">
        <v>3119</v>
      </c>
      <c r="D23" s="2978" t="s">
        <v>3122</v>
      </c>
      <c r="E23" s="2981" t="s">
        <v>3123</v>
      </c>
      <c r="F23" s="2978">
        <v>20.239999999999998</v>
      </c>
      <c r="G23" s="2978">
        <f>ROUND('[1]数据-基础表'!$A$3*[1]Sheet2!F25/'[1]数据-基础表'!$H$5,2)</f>
        <v>4.99</v>
      </c>
      <c r="H23" s="2978" t="s">
        <v>3116</v>
      </c>
      <c r="I23" s="2984">
        <v>9.3273414527131031</v>
      </c>
      <c r="J23" s="2984">
        <v>4608.3702829610193</v>
      </c>
      <c r="K23" s="2993"/>
    </row>
    <row r="24" spans="2:12" ht="29.25" customHeight="1">
      <c r="B24" s="2979">
        <v>22</v>
      </c>
      <c r="C24" s="2981" t="s">
        <v>3124</v>
      </c>
      <c r="D24" s="2978" t="s">
        <v>3125</v>
      </c>
      <c r="E24" s="2981" t="s">
        <v>3126</v>
      </c>
      <c r="F24" s="2978">
        <v>22.2</v>
      </c>
      <c r="G24" s="2978">
        <f>ROUND('[1]数据-基础表'!$A$3*[1]Sheet2!F26/'[1]数据-基础表'!$H$5,2)</f>
        <v>5.48</v>
      </c>
      <c r="H24" s="2978" t="s">
        <v>3116</v>
      </c>
      <c r="I24" s="2984">
        <v>10.230582028173462</v>
      </c>
      <c r="J24" s="2984">
        <v>4608.3702829610193</v>
      </c>
      <c r="K24" s="2993"/>
    </row>
    <row r="25" spans="2:12" ht="29.25" customHeight="1">
      <c r="B25" s="2979">
        <v>23</v>
      </c>
      <c r="C25" s="2981" t="s">
        <v>3124</v>
      </c>
      <c r="D25" s="2978" t="s">
        <v>3127</v>
      </c>
      <c r="E25" s="2981" t="s">
        <v>3128</v>
      </c>
      <c r="F25" s="2978">
        <v>22.26</v>
      </c>
      <c r="G25" s="2978">
        <f>ROUND('[1]数据-基础表'!$A$3*[1]Sheet2!F27/'[1]数据-基础表'!$H$5,2)</f>
        <v>5.49</v>
      </c>
      <c r="H25" s="2978" t="s">
        <v>3116</v>
      </c>
      <c r="I25" s="2984">
        <v>10.258232249871229</v>
      </c>
      <c r="J25" s="2984">
        <v>4608.3702829610193</v>
      </c>
      <c r="K25" s="2993"/>
    </row>
    <row r="26" spans="2:12" ht="29.25" customHeight="1">
      <c r="B26" s="2979">
        <v>24</v>
      </c>
      <c r="C26" s="2981" t="s">
        <v>3124</v>
      </c>
      <c r="D26" s="2978" t="s">
        <v>3129</v>
      </c>
      <c r="E26" s="2981" t="s">
        <v>3130</v>
      </c>
      <c r="F26" s="2978">
        <v>22.26</v>
      </c>
      <c r="G26" s="2978">
        <f>ROUND('[1]数据-基础表'!$A$3*[1]Sheet2!F28/'[1]数据-基础表'!$H$5,2)</f>
        <v>5.49</v>
      </c>
      <c r="H26" s="2978" t="s">
        <v>3116</v>
      </c>
      <c r="I26" s="2984">
        <v>10.258232249871229</v>
      </c>
      <c r="J26" s="2984">
        <v>4608.3702829610193</v>
      </c>
    </row>
    <row r="27" spans="2:12" ht="29.25" customHeight="1">
      <c r="B27" s="2979">
        <v>25</v>
      </c>
      <c r="C27" s="2981" t="s">
        <v>3124</v>
      </c>
      <c r="D27" s="2978" t="s">
        <v>3131</v>
      </c>
      <c r="E27" s="2981" t="s">
        <v>3132</v>
      </c>
      <c r="F27" s="2978">
        <v>23.61</v>
      </c>
      <c r="G27" s="2978">
        <f>ROUND('[1]数据-基础表'!$A$3*[1]Sheet2!F29/'[1]数据-基础表'!$H$5,2)</f>
        <v>5.82</v>
      </c>
      <c r="H27" s="2978" t="s">
        <v>3116</v>
      </c>
      <c r="I27" s="2984">
        <v>10.880362238070967</v>
      </c>
      <c r="J27" s="2984">
        <v>4608.3702829610193</v>
      </c>
    </row>
    <row r="28" spans="2:12" ht="29.25" customHeight="1">
      <c r="B28" s="2979">
        <v>26</v>
      </c>
      <c r="C28" s="2981" t="s">
        <v>3124</v>
      </c>
      <c r="D28" s="2978" t="s">
        <v>3133</v>
      </c>
      <c r="E28" s="2981" t="s">
        <v>3134</v>
      </c>
      <c r="F28" s="2978">
        <v>24.96</v>
      </c>
      <c r="G28" s="2978">
        <f>ROUND('[1]数据-基础表'!$A$3*[1]Sheet2!F31/'[1]数据-基础表'!$H$5,2)</f>
        <v>6.16</v>
      </c>
      <c r="H28" s="2978" t="s">
        <v>3116</v>
      </c>
      <c r="I28" s="2984">
        <v>11.502492226270704</v>
      </c>
      <c r="J28" s="2984">
        <v>4608.3702829610193</v>
      </c>
    </row>
    <row r="29" spans="2:12" ht="29.25" customHeight="1">
      <c r="B29" s="2979">
        <v>27</v>
      </c>
      <c r="C29" s="2981" t="s">
        <v>3124</v>
      </c>
      <c r="D29" s="2978" t="s">
        <v>3135</v>
      </c>
      <c r="E29" s="2981" t="s">
        <v>3136</v>
      </c>
      <c r="F29" s="2978">
        <v>24.96</v>
      </c>
      <c r="G29" s="2978">
        <f>ROUND('[1]数据-基础表'!$A$3*[1]Sheet2!F32/'[1]数据-基础表'!$H$5,2)</f>
        <v>6.16</v>
      </c>
      <c r="H29" s="2978" t="s">
        <v>3116</v>
      </c>
      <c r="I29" s="2984">
        <v>11.502492226270704</v>
      </c>
      <c r="J29" s="2984">
        <v>4608.3702829610193</v>
      </c>
    </row>
    <row r="30" spans="2:12" ht="29.25" customHeight="1">
      <c r="B30" s="2979">
        <v>28</v>
      </c>
      <c r="C30" s="2981" t="s">
        <v>3124</v>
      </c>
      <c r="D30" s="2978" t="s">
        <v>3137</v>
      </c>
      <c r="E30" s="2981" t="s">
        <v>3138</v>
      </c>
      <c r="F30" s="2978">
        <v>24.96</v>
      </c>
      <c r="G30" s="2978">
        <f>ROUND('[1]数据-基础表'!$A$3*[1]Sheet2!F33/'[1]数据-基础表'!$H$5,2)</f>
        <v>6.16</v>
      </c>
      <c r="H30" s="2978" t="s">
        <v>3116</v>
      </c>
      <c r="I30" s="2984">
        <v>11.502492226270704</v>
      </c>
      <c r="J30" s="2984">
        <v>4608.3702829610193</v>
      </c>
    </row>
    <row r="31" spans="2:12" ht="29.25" customHeight="1">
      <c r="B31" s="2979">
        <v>29</v>
      </c>
      <c r="C31" s="2981" t="s">
        <v>3124</v>
      </c>
      <c r="D31" s="2978" t="s">
        <v>3139</v>
      </c>
      <c r="E31" s="2981" t="s">
        <v>3140</v>
      </c>
      <c r="F31" s="2978">
        <v>24.96</v>
      </c>
      <c r="G31" s="2978">
        <f>ROUND('[1]数据-基础表'!$A$3*[1]Sheet2!F34/'[1]数据-基础表'!$H$5,2)</f>
        <v>6.16</v>
      </c>
      <c r="H31" s="2978" t="s">
        <v>3116</v>
      </c>
      <c r="I31" s="2984">
        <v>11.502492226270704</v>
      </c>
      <c r="J31" s="2984">
        <v>4608.3702829610193</v>
      </c>
    </row>
    <row r="32" spans="2:12" ht="29.25" customHeight="1">
      <c r="B32" s="2979">
        <v>30</v>
      </c>
      <c r="C32" s="2981" t="s">
        <v>3124</v>
      </c>
      <c r="D32" s="2978" t="s">
        <v>3141</v>
      </c>
      <c r="E32" s="2981" t="s">
        <v>3142</v>
      </c>
      <c r="F32" s="2978">
        <v>25.03</v>
      </c>
      <c r="G32" s="2978">
        <f>ROUND('[1]数据-基础表'!$A$3*[1]Sheet2!F35/'[1]数据-基础表'!$H$5,2)</f>
        <v>6.17</v>
      </c>
      <c r="H32" s="2978" t="s">
        <v>3116</v>
      </c>
      <c r="I32" s="2984">
        <v>11.534750818251432</v>
      </c>
      <c r="J32" s="2984">
        <v>4608.3702829610193</v>
      </c>
    </row>
    <row r="33" spans="2:10" ht="29.25" customHeight="1">
      <c r="B33" s="2979">
        <v>31</v>
      </c>
      <c r="C33" s="2981" t="s">
        <v>3124</v>
      </c>
      <c r="D33" s="2978" t="s">
        <v>3143</v>
      </c>
      <c r="E33" s="2981" t="s">
        <v>3144</v>
      </c>
      <c r="F33" s="2978">
        <v>26.03</v>
      </c>
      <c r="G33" s="2978">
        <f>ROUND('[1]数据-基础表'!$A$3*[1]Sheet2!F36/'[1]数据-基础表'!$H$5,2)</f>
        <v>6.42</v>
      </c>
      <c r="H33" s="2978" t="s">
        <v>3116</v>
      </c>
      <c r="I33" s="2984">
        <v>11.995587846547535</v>
      </c>
      <c r="J33" s="2984">
        <v>4608.3702829610193</v>
      </c>
    </row>
    <row r="34" spans="2:10" ht="29.25" customHeight="1">
      <c r="B34" s="2979">
        <v>32</v>
      </c>
      <c r="C34" s="2981" t="s">
        <v>3124</v>
      </c>
      <c r="D34" s="2978" t="s">
        <v>3145</v>
      </c>
      <c r="E34" s="2981" t="s">
        <v>3146</v>
      </c>
      <c r="F34" s="2978">
        <v>27.38</v>
      </c>
      <c r="G34" s="2978">
        <f>ROUND('[1]数据-基础表'!$A$3*[1]Sheet2!F37/'[1]数据-基础表'!$H$5,2)</f>
        <v>6.75</v>
      </c>
      <c r="H34" s="2978" t="s">
        <v>3116</v>
      </c>
      <c r="I34" s="2984">
        <v>12.617717834747269</v>
      </c>
      <c r="J34" s="2984">
        <v>4608.3702829610193</v>
      </c>
    </row>
    <row r="35" spans="2:10" ht="29.25" customHeight="1">
      <c r="B35" s="2979">
        <v>33</v>
      </c>
      <c r="C35" s="2981" t="s">
        <v>3124</v>
      </c>
      <c r="D35" s="2978" t="s">
        <v>3147</v>
      </c>
      <c r="E35" s="2981" t="s">
        <v>3148</v>
      </c>
      <c r="F35" s="2978">
        <v>34.75</v>
      </c>
      <c r="G35" s="2978">
        <f>ROUND('[1]数据-基础表'!$A$3*[1]Sheet2!F38/'[1]数据-基础表'!$H$5,2)</f>
        <v>8.57</v>
      </c>
      <c r="H35" s="2978" t="s">
        <v>3116</v>
      </c>
      <c r="I35" s="2984">
        <v>16.014086733289542</v>
      </c>
      <c r="J35" s="2984">
        <v>4608.3702829610193</v>
      </c>
    </row>
    <row r="36" spans="2:10" ht="29.25" customHeight="1">
      <c r="B36" s="2979">
        <v>34</v>
      </c>
      <c r="C36" s="2981" t="s">
        <v>3124</v>
      </c>
      <c r="D36" s="2978" t="s">
        <v>3149</v>
      </c>
      <c r="E36" s="2981" t="s">
        <v>3150</v>
      </c>
      <c r="F36" s="2978">
        <v>34.75</v>
      </c>
      <c r="G36" s="2978">
        <f>ROUND('[1]数据-基础表'!$A$3*[1]Sheet2!F39/'[1]数据-基础表'!$H$5,2)</f>
        <v>8.57</v>
      </c>
      <c r="H36" s="2978" t="s">
        <v>3116</v>
      </c>
      <c r="I36" s="2984">
        <v>16.014086733289542</v>
      </c>
      <c r="J36" s="2984">
        <v>4608.3702829610193</v>
      </c>
    </row>
    <row r="37" spans="2:10" ht="29.25" customHeight="1">
      <c r="B37" s="2979">
        <v>35</v>
      </c>
      <c r="C37" s="2981" t="s">
        <v>3124</v>
      </c>
      <c r="D37" s="2978" t="s">
        <v>3151</v>
      </c>
      <c r="E37" s="2981" t="s">
        <v>3152</v>
      </c>
      <c r="F37" s="2978">
        <v>35.729999999999997</v>
      </c>
      <c r="G37" s="2978">
        <f>ROUND('[1]数据-基础表'!$A$3*[1]Sheet2!F40/'[1]数据-基础表'!$H$5,2)</f>
        <v>8.81</v>
      </c>
      <c r="H37" s="2978" t="s">
        <v>3116</v>
      </c>
      <c r="I37" s="2984">
        <v>16.465707021019721</v>
      </c>
      <c r="J37" s="2984">
        <v>4608.3702829610193</v>
      </c>
    </row>
    <row r="38" spans="2:10" ht="29.25" customHeight="1">
      <c r="B38" s="2979">
        <v>36</v>
      </c>
      <c r="C38" s="2981" t="s">
        <v>3124</v>
      </c>
      <c r="D38" s="2978" t="s">
        <v>3153</v>
      </c>
      <c r="E38" s="2981" t="s">
        <v>3154</v>
      </c>
      <c r="F38" s="2978">
        <v>36.99</v>
      </c>
      <c r="G38" s="2978">
        <f>ROUND('[1]数据-基础表'!$A$3*[1]Sheet2!F41/'[1]数据-基础表'!$H$5,2)</f>
        <v>9.1199999999999992</v>
      </c>
      <c r="H38" s="2978" t="s">
        <v>3116</v>
      </c>
      <c r="I38" s="2984">
        <v>17.046361676672809</v>
      </c>
      <c r="J38" s="2984">
        <v>4608.3702829610193</v>
      </c>
    </row>
    <row r="39" spans="2:10" ht="29.25" customHeight="1">
      <c r="B39" s="2979">
        <v>37</v>
      </c>
      <c r="C39" s="2981" t="s">
        <v>3124</v>
      </c>
      <c r="D39" s="2978" t="s">
        <v>3155</v>
      </c>
      <c r="E39" s="2981" t="s">
        <v>3156</v>
      </c>
      <c r="F39" s="2978">
        <v>37.65</v>
      </c>
      <c r="G39" s="2978">
        <f>ROUND('[1]数据-基础表'!$A$3*[1]Sheet2!F42/'[1]数据-基础表'!$H$5,2)</f>
        <v>9.2899999999999991</v>
      </c>
      <c r="H39" s="2978" t="s">
        <v>3116</v>
      </c>
      <c r="I39" s="2984">
        <v>17.350514115348236</v>
      </c>
      <c r="J39" s="2984">
        <v>4608.3702829610193</v>
      </c>
    </row>
    <row r="40" spans="2:10" ht="29.25" customHeight="1">
      <c r="B40" s="2979">
        <v>38</v>
      </c>
      <c r="C40" s="2981" t="s">
        <v>3124</v>
      </c>
      <c r="D40" s="2978" t="s">
        <v>3157</v>
      </c>
      <c r="E40" s="2981" t="s">
        <v>3158</v>
      </c>
      <c r="F40" s="2978">
        <v>37.65</v>
      </c>
      <c r="G40" s="2978">
        <f>ROUND('[1]数据-基础表'!$A$3*[1]Sheet2!F43/'[1]数据-基础表'!$H$5,2)</f>
        <v>9.2899999999999991</v>
      </c>
      <c r="H40" s="2978" t="s">
        <v>3116</v>
      </c>
      <c r="I40" s="2984">
        <v>17.350514115348236</v>
      </c>
      <c r="J40" s="2984">
        <v>4608.3702829610193</v>
      </c>
    </row>
    <row r="41" spans="2:10" ht="29.25" customHeight="1">
      <c r="B41" s="2979">
        <v>39</v>
      </c>
      <c r="C41" s="2981" t="s">
        <v>3124</v>
      </c>
      <c r="D41" s="2978" t="s">
        <v>3159</v>
      </c>
      <c r="E41" s="2981" t="s">
        <v>3160</v>
      </c>
      <c r="F41" s="2978">
        <v>38</v>
      </c>
      <c r="G41" s="2978">
        <f>ROUND('[1]数据-基础表'!$A$3*[1]Sheet2!F44/'[1]数据-基础表'!$H$5,2)</f>
        <v>9.3699999999999992</v>
      </c>
      <c r="H41" s="2978" t="s">
        <v>3116</v>
      </c>
      <c r="I41" s="2984">
        <v>17.511807075251873</v>
      </c>
      <c r="J41" s="2984">
        <v>4608.3702829610193</v>
      </c>
    </row>
    <row r="42" spans="2:10" ht="29.25" customHeight="1">
      <c r="B42" s="2979">
        <v>40</v>
      </c>
      <c r="C42" s="2981" t="s">
        <v>3124</v>
      </c>
      <c r="D42" s="2978" t="s">
        <v>3161</v>
      </c>
      <c r="E42" s="2981" t="s">
        <v>3162</v>
      </c>
      <c r="F42" s="2978">
        <v>39.54</v>
      </c>
      <c r="G42" s="2978">
        <f>ROUND('[1]数据-基础表'!$A$3*[1]Sheet2!F45/'[1]数据-基础表'!$H$5,2)</f>
        <v>9.75</v>
      </c>
      <c r="H42" s="2978" t="s">
        <v>3116</v>
      </c>
      <c r="I42" s="2984">
        <v>18.22149609882787</v>
      </c>
      <c r="J42" s="2984">
        <v>4608.3702829610193</v>
      </c>
    </row>
    <row r="43" spans="2:10" ht="29.25" customHeight="1">
      <c r="B43" s="2979">
        <v>41</v>
      </c>
      <c r="C43" s="2981" t="s">
        <v>3124</v>
      </c>
      <c r="D43" s="2978" t="s">
        <v>3163</v>
      </c>
      <c r="E43" s="2981" t="s">
        <v>3164</v>
      </c>
      <c r="F43" s="2978">
        <v>41.13</v>
      </c>
      <c r="G43" s="2978">
        <f>ROUND('[1]数据-基础表'!$A$3*[1]Sheet2!F46/'[1]数据-基础表'!$H$5,2)</f>
        <v>10.14</v>
      </c>
      <c r="H43" s="2978" t="s">
        <v>3116</v>
      </c>
      <c r="I43" s="2984">
        <v>18.954226973818674</v>
      </c>
      <c r="J43" s="2984">
        <v>4608.3702829610193</v>
      </c>
    </row>
    <row r="44" spans="2:10" ht="29.25" customHeight="1">
      <c r="B44" s="2979">
        <v>42</v>
      </c>
      <c r="C44" s="2981" t="s">
        <v>3124</v>
      </c>
      <c r="D44" s="2978" t="s">
        <v>3165</v>
      </c>
      <c r="E44" s="2981" t="s">
        <v>3166</v>
      </c>
      <c r="F44" s="2978">
        <v>41.67</v>
      </c>
      <c r="G44" s="2978">
        <f>ROUND('[1]数据-基础表'!$A$3*[1]Sheet2!F47/'[1]数据-基础表'!$H$5,2)</f>
        <v>10.28</v>
      </c>
      <c r="H44" s="2978" t="s">
        <v>3116</v>
      </c>
      <c r="I44" s="2984">
        <v>19.20307896909857</v>
      </c>
      <c r="J44" s="2984">
        <v>4608.3702829610193</v>
      </c>
    </row>
    <row r="45" spans="2:10" ht="29.25" customHeight="1">
      <c r="B45" s="2979">
        <v>43</v>
      </c>
      <c r="C45" s="2981" t="s">
        <v>3124</v>
      </c>
      <c r="D45" s="2978" t="s">
        <v>3167</v>
      </c>
      <c r="E45" s="2981" t="s">
        <v>3168</v>
      </c>
      <c r="F45" s="2978">
        <v>44.83</v>
      </c>
      <c r="G45" s="2978">
        <f>ROUND('[1]数据-基础表'!$A$3*[1]Sheet2!F48/'[1]数据-基础表'!$H$5,2)</f>
        <v>11.06</v>
      </c>
      <c r="H45" s="2978" t="s">
        <v>3116</v>
      </c>
      <c r="I45" s="2984">
        <v>20.659323978514248</v>
      </c>
      <c r="J45" s="2984">
        <v>4608.3702829610193</v>
      </c>
    </row>
    <row r="46" spans="2:10" ht="29.25" customHeight="1">
      <c r="B46" s="2979">
        <v>44</v>
      </c>
      <c r="C46" s="2981" t="s">
        <v>3124</v>
      </c>
      <c r="D46" s="2978" t="s">
        <v>3169</v>
      </c>
      <c r="E46" s="2981" t="s">
        <v>3170</v>
      </c>
      <c r="F46" s="2978">
        <v>45.24</v>
      </c>
      <c r="G46" s="2978">
        <f>ROUND('[1]数据-基础表'!$A$3*[1]Sheet2!F49/'[1]数据-基础表'!$H$5,2)</f>
        <v>11.16</v>
      </c>
      <c r="H46" s="2978" t="s">
        <v>3116</v>
      </c>
      <c r="I46" s="2984">
        <v>20.848267160115654</v>
      </c>
      <c r="J46" s="2984">
        <v>4608.3702829610193</v>
      </c>
    </row>
    <row r="47" spans="2:10" ht="29.25" customHeight="1">
      <c r="B47" s="2979">
        <v>45</v>
      </c>
      <c r="C47" s="2981" t="s">
        <v>3124</v>
      </c>
      <c r="D47" s="2978" t="s">
        <v>3171</v>
      </c>
      <c r="E47" s="2981" t="s">
        <v>3172</v>
      </c>
      <c r="F47" s="2978">
        <v>46.09</v>
      </c>
      <c r="G47" s="2978">
        <f>ROUND('[1]数据-基础表'!$A$3*[1]Sheet2!F50/'[1]数据-基础表'!$H$5,2)</f>
        <v>11.37</v>
      </c>
      <c r="H47" s="2978" t="s">
        <v>3116</v>
      </c>
      <c r="I47" s="2984">
        <v>21.23997863416734</v>
      </c>
      <c r="J47" s="2984">
        <v>4608.3702829610193</v>
      </c>
    </row>
    <row r="48" spans="2:10" ht="29.25" customHeight="1">
      <c r="B48" s="2979">
        <v>46</v>
      </c>
      <c r="C48" s="2981" t="s">
        <v>3124</v>
      </c>
      <c r="D48" s="2978" t="s">
        <v>3173</v>
      </c>
      <c r="E48" s="2981" t="s">
        <v>3174</v>
      </c>
      <c r="F48" s="2978">
        <v>51.03</v>
      </c>
      <c r="G48" s="2978">
        <f>ROUND('[1]数据-基础表'!$A$3*[1]Sheet2!F51/'[1]数据-基础表'!$H$5,2)</f>
        <v>12.59</v>
      </c>
      <c r="H48" s="2978" t="s">
        <v>3116</v>
      </c>
      <c r="I48" s="2984">
        <v>23.516513553950084</v>
      </c>
      <c r="J48" s="2984">
        <v>4608.3702829610193</v>
      </c>
    </row>
    <row r="49" spans="2:10" ht="29.25" customHeight="1">
      <c r="B49" s="2979">
        <v>47</v>
      </c>
      <c r="C49" s="2981" t="s">
        <v>3124</v>
      </c>
      <c r="D49" s="2978" t="s">
        <v>3175</v>
      </c>
      <c r="E49" s="2981" t="s">
        <v>3176</v>
      </c>
      <c r="F49" s="2978">
        <v>51.79</v>
      </c>
      <c r="G49" s="2978">
        <f>ROUND('[1]数据-基础表'!$A$3*[1]Sheet2!F52/'[1]数据-基础表'!$H$5,2)</f>
        <v>12.77</v>
      </c>
      <c r="H49" s="2978" t="s">
        <v>3116</v>
      </c>
      <c r="I49" s="2984">
        <v>23.866749695455116</v>
      </c>
      <c r="J49" s="2984">
        <v>4608.3702829610193</v>
      </c>
    </row>
    <row r="50" spans="2:10" ht="29.25" customHeight="1">
      <c r="B50" s="2979">
        <v>48</v>
      </c>
      <c r="C50" s="2981" t="s">
        <v>3124</v>
      </c>
      <c r="D50" s="2978" t="s">
        <v>3177</v>
      </c>
      <c r="E50" s="2981" t="s">
        <v>3178</v>
      </c>
      <c r="F50" s="2978">
        <v>54.27</v>
      </c>
      <c r="G50" s="2978">
        <f>ROUND('[1]数据-基础表'!$A$3*[1]Sheet2!F53/'[1]数据-基础表'!$H$5,2)</f>
        <v>13.39</v>
      </c>
      <c r="H50" s="2978" t="s">
        <v>3116</v>
      </c>
      <c r="I50" s="2984">
        <v>25.009625525629453</v>
      </c>
      <c r="J50" s="2984">
        <v>4608.3702829610193</v>
      </c>
    </row>
    <row r="51" spans="2:10" ht="29.25" customHeight="1">
      <c r="B51" s="2979">
        <v>49</v>
      </c>
      <c r="C51" s="2981" t="s">
        <v>3179</v>
      </c>
      <c r="D51" s="2978" t="s">
        <v>3180</v>
      </c>
      <c r="E51" s="2981" t="s">
        <v>3181</v>
      </c>
      <c r="F51" s="2978">
        <v>55.21</v>
      </c>
      <c r="G51" s="2978">
        <f>ROUND('[1]数据-基础表'!$A$3*[1]Sheet2!F55/'[1]数据-基础表'!$H$5,2)</f>
        <v>13.62</v>
      </c>
      <c r="H51" s="2978" t="s">
        <v>3116</v>
      </c>
      <c r="I51" s="2984">
        <v>25.442812332227788</v>
      </c>
      <c r="J51" s="2984">
        <v>4608.3702829610193</v>
      </c>
    </row>
    <row r="52" spans="2:10" ht="29.25" customHeight="1">
      <c r="B52" s="2979">
        <v>50</v>
      </c>
      <c r="C52" s="2981" t="s">
        <v>3182</v>
      </c>
      <c r="D52" s="2978" t="s">
        <v>3183</v>
      </c>
      <c r="E52" s="2981" t="s">
        <v>3184</v>
      </c>
      <c r="F52" s="2978">
        <v>275.70999999999998</v>
      </c>
      <c r="G52" s="2978">
        <f>ROUND('[1]数据-基础表'!$A$3*[1]Sheet2!F56/'[1]数据-基础表'!$H$5,2)</f>
        <v>68</v>
      </c>
      <c r="H52" s="2978" t="s">
        <v>3116</v>
      </c>
      <c r="I52" s="2988">
        <v>127.05737707151825</v>
      </c>
      <c r="J52" s="2988">
        <v>4608.3702829610193</v>
      </c>
    </row>
    <row r="53" spans="2:10" ht="29.25" customHeight="1">
      <c r="B53" s="2979">
        <v>51</v>
      </c>
      <c r="C53" s="2981" t="s">
        <v>3182</v>
      </c>
      <c r="D53" s="2978" t="s">
        <v>3185</v>
      </c>
      <c r="E53" s="2981" t="s">
        <v>3186</v>
      </c>
      <c r="F53" s="2978">
        <v>274.08</v>
      </c>
      <c r="G53" s="2978">
        <f>ROUND('[1]数据-基础表'!$A$3*[1]Sheet2!F57/'[1]数据-基础表'!$H$5,2)</f>
        <v>67.599999999999994</v>
      </c>
      <c r="H53" s="2978" t="s">
        <v>3116</v>
      </c>
      <c r="I53" s="2988">
        <v>126.30621271539562</v>
      </c>
      <c r="J53" s="2988">
        <v>4608.3702829610193</v>
      </c>
    </row>
    <row r="54" spans="2:10" ht="29.25" customHeight="1">
      <c r="B54" s="2979">
        <v>52</v>
      </c>
      <c r="C54" s="2981" t="s">
        <v>3182</v>
      </c>
      <c r="D54" s="2978" t="s">
        <v>3187</v>
      </c>
      <c r="E54" s="2981" t="s">
        <v>3188</v>
      </c>
      <c r="F54" s="2978">
        <v>251.64</v>
      </c>
      <c r="G54" s="2978">
        <f>ROUND('[1]数据-基础表'!$A$3*[1]Sheet2!F58/'[1]数据-基础表'!$H$5,2)</f>
        <v>62.06</v>
      </c>
      <c r="H54" s="2978" t="s">
        <v>3116</v>
      </c>
      <c r="I54" s="2988">
        <v>115.96502980043108</v>
      </c>
      <c r="J54" s="2988">
        <v>4608.3702829610193</v>
      </c>
    </row>
    <row r="55" spans="2:10" ht="29.25" customHeight="1">
      <c r="B55" s="2979">
        <v>53</v>
      </c>
      <c r="C55" s="2981" t="s">
        <v>3189</v>
      </c>
      <c r="D55" s="2989" t="s">
        <v>3190</v>
      </c>
      <c r="E55" s="2981" t="s">
        <v>3191</v>
      </c>
      <c r="F55" s="2978">
        <v>630.80999999999995</v>
      </c>
      <c r="G55" s="2978">
        <f>ROUND('[1]数据-基础表'!$A$3*[1]Sheet2!F59/'[1]数据-基础表'!$H$5,2)</f>
        <v>155.58000000000001</v>
      </c>
      <c r="H55" s="2978" t="s">
        <v>3116</v>
      </c>
      <c r="I55" s="2984">
        <v>290.70060581946399</v>
      </c>
      <c r="J55" s="2984">
        <v>4608.3702829610193</v>
      </c>
    </row>
    <row r="56" spans="2:10" ht="29.25" customHeight="1">
      <c r="B56" s="2979">
        <v>54</v>
      </c>
      <c r="C56" s="2981" t="s">
        <v>3182</v>
      </c>
      <c r="D56" s="2989" t="s">
        <v>3192</v>
      </c>
      <c r="E56" s="2981" t="s">
        <v>3193</v>
      </c>
      <c r="F56" s="2978">
        <v>23.68</v>
      </c>
      <c r="G56" s="2978">
        <f>ROUND('[1]数据-基础表'!$A$3*[1]Sheet2!F60/'[1]数据-基础表'!$H$5,2)</f>
        <v>5.84</v>
      </c>
      <c r="H56" s="2978" t="s">
        <v>3116</v>
      </c>
      <c r="I56" s="2988">
        <v>10.912620830051694</v>
      </c>
      <c r="J56" s="2988">
        <v>4608.3702829610193</v>
      </c>
    </row>
    <row r="57" spans="2:10" ht="29.25" customHeight="1">
      <c r="B57" s="2979">
        <v>55</v>
      </c>
      <c r="C57" s="2981" t="s">
        <v>3182</v>
      </c>
      <c r="D57" s="2989" t="s">
        <v>3194</v>
      </c>
      <c r="E57" s="2981" t="s">
        <v>3195</v>
      </c>
      <c r="F57" s="2978">
        <v>60.46</v>
      </c>
      <c r="G57" s="2978">
        <f>ROUND('[1]数据-基础表'!$A$3*[1]Sheet2!F61/'[1]数据-基础表'!$H$5,2)</f>
        <v>14.91</v>
      </c>
      <c r="H57" s="2978" t="s">
        <v>3116</v>
      </c>
      <c r="I57" s="2988">
        <v>27.862206730782322</v>
      </c>
      <c r="J57" s="2988">
        <v>4608.3702829610193</v>
      </c>
    </row>
    <row r="58" spans="2:10" ht="29.25" customHeight="1">
      <c r="B58" s="2979">
        <v>56</v>
      </c>
      <c r="C58" s="2981" t="s">
        <v>3196</v>
      </c>
      <c r="D58" s="2989" t="s">
        <v>3197</v>
      </c>
      <c r="E58" s="2981" t="s">
        <v>3198</v>
      </c>
      <c r="F58" s="2978">
        <v>24.25</v>
      </c>
      <c r="G58" s="2978">
        <f>ROUND('[1]数据-基础表'!$A$3*[1]Sheet2!F62/'[1]数据-基础表'!$H$5,2)</f>
        <v>5.98</v>
      </c>
      <c r="H58" s="2978" t="s">
        <v>3116</v>
      </c>
      <c r="I58" s="2988">
        <v>11.175297936180471</v>
      </c>
      <c r="J58" s="2988">
        <v>4608.3702829610193</v>
      </c>
    </row>
    <row r="59" spans="2:10" ht="29.25" customHeight="1">
      <c r="B59" s="2979">
        <v>57</v>
      </c>
      <c r="C59" s="2981" t="s">
        <v>3199</v>
      </c>
      <c r="D59" s="2989" t="s">
        <v>3200</v>
      </c>
      <c r="E59" s="2981" t="s">
        <v>3201</v>
      </c>
      <c r="F59" s="2978">
        <v>27.86</v>
      </c>
      <c r="G59" s="2978">
        <f>ROUND('[1]数据-基础表'!$A$3*[1]Sheet2!F63/'[1]数据-基础表'!$H$5,2)</f>
        <v>6.87</v>
      </c>
      <c r="H59" s="2978" t="s">
        <v>3116</v>
      </c>
      <c r="I59" s="2988">
        <v>12.8389196083294</v>
      </c>
      <c r="J59" s="2988">
        <v>4608.3702829610193</v>
      </c>
    </row>
    <row r="60" spans="2:10" ht="29.25" customHeight="1">
      <c r="B60" s="2979">
        <v>58</v>
      </c>
      <c r="C60" s="2981" t="s">
        <v>3196</v>
      </c>
      <c r="D60" s="2989" t="s">
        <v>3202</v>
      </c>
      <c r="E60" s="2981" t="s">
        <v>3203</v>
      </c>
      <c r="F60" s="2978">
        <v>26.79</v>
      </c>
      <c r="G60" s="2978">
        <f>ROUND('[1]数据-基础表'!$A$3*[1]Sheet2!F64/'[1]数据-基础表'!$H$5,2)</f>
        <v>6.61</v>
      </c>
      <c r="H60" s="2978" t="s">
        <v>3116</v>
      </c>
      <c r="I60" s="2988">
        <v>12.345823988052569</v>
      </c>
      <c r="J60" s="2988">
        <v>4608.3702829610193</v>
      </c>
    </row>
    <row r="61" spans="2:10" ht="29.25" customHeight="1">
      <c r="B61" s="2979">
        <v>59</v>
      </c>
      <c r="C61" s="2981" t="s">
        <v>3196</v>
      </c>
      <c r="D61" s="2989" t="s">
        <v>3204</v>
      </c>
      <c r="E61" s="2981" t="s">
        <v>3205</v>
      </c>
      <c r="F61" s="2978">
        <v>27.07</v>
      </c>
      <c r="G61" s="2978">
        <f>ROUND('[1]数据-基础表'!$A$3*[1]Sheet2!F65/'[1]数据-基础表'!$H$5,2)</f>
        <v>6.68</v>
      </c>
      <c r="H61" s="2978" t="s">
        <v>3116</v>
      </c>
      <c r="I61" s="2988">
        <v>12.47485835597548</v>
      </c>
      <c r="J61" s="2988">
        <v>4608.3702829610193</v>
      </c>
    </row>
    <row r="62" spans="2:10" ht="29.25" customHeight="1">
      <c r="B62" s="2979">
        <v>60</v>
      </c>
      <c r="C62" s="2981" t="s">
        <v>3182</v>
      </c>
      <c r="D62" s="2989" t="s">
        <v>3206</v>
      </c>
      <c r="E62" s="2981" t="s">
        <v>3207</v>
      </c>
      <c r="F62" s="2978">
        <v>102.38</v>
      </c>
      <c r="G62" s="2978">
        <f>ROUND('[1]数据-基础表'!$A$3*[1]Sheet2!F66/'[1]数据-基础表'!$H$5,2)</f>
        <v>25.25</v>
      </c>
      <c r="H62" s="2978" t="s">
        <v>3116</v>
      </c>
      <c r="I62" s="2988">
        <v>47.180494956954909</v>
      </c>
      <c r="J62" s="2988">
        <v>4608.3702829610193</v>
      </c>
    </row>
    <row r="63" spans="2:10" ht="29.25" customHeight="1">
      <c r="B63" s="2979">
        <v>61</v>
      </c>
      <c r="C63" s="2981" t="s">
        <v>3182</v>
      </c>
      <c r="D63" s="2989" t="s">
        <v>3208</v>
      </c>
      <c r="E63" s="2981" t="s">
        <v>3209</v>
      </c>
      <c r="F63" s="2978">
        <v>212.36</v>
      </c>
      <c r="G63" s="2978">
        <f>ROUND('[1]数据-基础表'!$A$3*[1]Sheet2!F67/'[1]数据-基础表'!$H$5,2)</f>
        <v>52.38</v>
      </c>
      <c r="H63" s="2978" t="s">
        <v>3116</v>
      </c>
      <c r="I63" s="2988">
        <v>97.863351328960206</v>
      </c>
      <c r="J63" s="2988">
        <v>4608.3702829610193</v>
      </c>
    </row>
    <row r="64" spans="2:10" ht="29.25" customHeight="1">
      <c r="B64" s="2979">
        <v>62</v>
      </c>
      <c r="C64" s="2981" t="s">
        <v>3182</v>
      </c>
      <c r="D64" s="2989" t="s">
        <v>3210</v>
      </c>
      <c r="E64" s="2981" t="s">
        <v>3211</v>
      </c>
      <c r="F64" s="2978">
        <v>59.63</v>
      </c>
      <c r="G64" s="2978">
        <f>ROUND('[1]数据-基础表'!$A$3*[1]Sheet2!F68/'[1]数据-基础表'!$H$5,2)</f>
        <v>14.71</v>
      </c>
      <c r="H64" s="2978" t="s">
        <v>3116</v>
      </c>
      <c r="I64" s="2988">
        <v>27.479711997296555</v>
      </c>
      <c r="J64" s="2988">
        <v>4608.3702829610193</v>
      </c>
    </row>
    <row r="65" spans="2:10" ht="29.25" customHeight="1">
      <c r="B65" s="2979">
        <v>63</v>
      </c>
      <c r="C65" s="2981" t="s">
        <v>3182</v>
      </c>
      <c r="D65" s="2989" t="s">
        <v>3212</v>
      </c>
      <c r="E65" s="2981" t="s">
        <v>3213</v>
      </c>
      <c r="F65" s="2978">
        <v>7.92</v>
      </c>
      <c r="G65" s="2978">
        <f>ROUND('[1]数据-基础表'!$A$3*[1]Sheet2!F69/'[1]数据-基础表'!$H$5,2)</f>
        <v>1.95</v>
      </c>
      <c r="H65" s="2978" t="s">
        <v>3116</v>
      </c>
      <c r="I65" s="2988">
        <v>3.6498292641051275</v>
      </c>
      <c r="J65" s="2988">
        <v>4608.3702829610193</v>
      </c>
    </row>
    <row r="66" spans="2:10" ht="29.25" customHeight="1">
      <c r="B66" s="2979">
        <v>64</v>
      </c>
      <c r="C66" s="2981" t="s">
        <v>3182</v>
      </c>
      <c r="D66" s="2989" t="s">
        <v>3214</v>
      </c>
      <c r="E66" s="2981" t="s">
        <v>3215</v>
      </c>
      <c r="F66" s="2978">
        <v>19.399999999999999</v>
      </c>
      <c r="G66" s="2978">
        <f>ROUND('[1]数据-基础表'!$A$3*[1]Sheet2!F70/'[1]数据-基础表'!$H$5,2)</f>
        <v>4.78</v>
      </c>
      <c r="H66" s="2978" t="s">
        <v>3116</v>
      </c>
      <c r="I66" s="2988">
        <v>8.9402383489443764</v>
      </c>
      <c r="J66" s="2988">
        <v>4608.3702829610193</v>
      </c>
    </row>
    <row r="67" spans="2:10" ht="29.25" customHeight="1">
      <c r="B67" s="2979">
        <v>65</v>
      </c>
      <c r="C67" s="2981" t="s">
        <v>3182</v>
      </c>
      <c r="D67" s="2989" t="s">
        <v>3216</v>
      </c>
      <c r="E67" s="2981" t="s">
        <v>3217</v>
      </c>
      <c r="F67" s="2978">
        <v>21.23</v>
      </c>
      <c r="G67" s="2978">
        <f>ROUND('[1]数据-基础表'!$A$3*[1]Sheet2!F71/'[1]数据-基础表'!$H$5,2)</f>
        <v>5.24</v>
      </c>
      <c r="H67" s="2978" t="s">
        <v>3116</v>
      </c>
      <c r="I67" s="2988">
        <v>9.7835701107262452</v>
      </c>
      <c r="J67" s="2988">
        <v>4608.3702829610193</v>
      </c>
    </row>
    <row r="68" spans="2:10" ht="29.25" customHeight="1">
      <c r="B68" s="2979">
        <v>66</v>
      </c>
      <c r="C68" s="2981" t="s">
        <v>3182</v>
      </c>
      <c r="D68" s="2989" t="s">
        <v>3218</v>
      </c>
      <c r="E68" s="2981" t="s">
        <v>3219</v>
      </c>
      <c r="F68" s="2978">
        <v>25.65</v>
      </c>
      <c r="G68" s="2978">
        <f>ROUND('[1]数据-基础表'!$A$3*[1]Sheet2!F72/'[1]数据-基础表'!$H$5,2)</f>
        <v>6.33</v>
      </c>
      <c r="H68" s="2978" t="s">
        <v>3116</v>
      </c>
      <c r="I68" s="2988">
        <v>11.820469775795013</v>
      </c>
      <c r="J68" s="2988">
        <v>4608.3702829610193</v>
      </c>
    </row>
    <row r="69" spans="2:10" ht="29.25" customHeight="1">
      <c r="B69" s="2979">
        <v>67</v>
      </c>
      <c r="C69" s="2981" t="s">
        <v>3220</v>
      </c>
      <c r="D69" s="2989" t="s">
        <v>3221</v>
      </c>
      <c r="E69" s="2981" t="s">
        <v>3222</v>
      </c>
      <c r="F69" s="2978">
        <v>26.57</v>
      </c>
      <c r="G69" s="2978">
        <f>ROUND('[1]数据-基础表'!$A$3*[1]Sheet2!F73/'[1]数据-基础表'!$H$5,2)</f>
        <v>6.55</v>
      </c>
      <c r="H69" s="2978" t="s">
        <v>3116</v>
      </c>
      <c r="I69" s="2988">
        <v>12.244439841827429</v>
      </c>
      <c r="J69" s="2988">
        <v>4608.3702829610193</v>
      </c>
    </row>
    <row r="70" spans="2:10" ht="29.25" customHeight="1">
      <c r="B70" s="2979">
        <v>68</v>
      </c>
      <c r="C70" s="2981" t="s">
        <v>3182</v>
      </c>
      <c r="D70" s="2989" t="s">
        <v>3223</v>
      </c>
      <c r="E70" s="2981" t="s">
        <v>3224</v>
      </c>
      <c r="F70" s="2978">
        <v>46.53</v>
      </c>
      <c r="G70" s="2978">
        <v>11.46</v>
      </c>
      <c r="H70" s="2978" t="s">
        <v>3116</v>
      </c>
      <c r="I70" s="2988">
        <v>21.442746926617623</v>
      </c>
      <c r="J70" s="2988">
        <v>4608.3702829610193</v>
      </c>
    </row>
    <row r="71" spans="2:10" ht="29.25" customHeight="1">
      <c r="B71" s="2979">
        <v>69</v>
      </c>
      <c r="C71" s="2981" t="s">
        <v>3225</v>
      </c>
      <c r="D71" s="2989" t="s">
        <v>3226</v>
      </c>
      <c r="E71" s="2981" t="s">
        <v>3227</v>
      </c>
      <c r="F71" s="2978">
        <v>33.56</v>
      </c>
      <c r="G71" s="2978">
        <f>ROUND('[1]数据-基础表'!$A$3*[1]Sheet2!F75/'[1]数据-基础表'!$H$5,2)</f>
        <v>8.2799999999999994</v>
      </c>
      <c r="H71" s="2982" t="s">
        <v>3228</v>
      </c>
      <c r="I71" s="2990">
        <v>10</v>
      </c>
      <c r="J71" s="2991">
        <v>2849.4301139772047</v>
      </c>
    </row>
    <row r="72" spans="2:10" ht="29.25" customHeight="1">
      <c r="B72" s="2979">
        <v>70</v>
      </c>
      <c r="C72" s="2981" t="s">
        <v>3229</v>
      </c>
      <c r="D72" s="2989" t="s">
        <v>3230</v>
      </c>
      <c r="E72" s="2981" t="s">
        <v>3231</v>
      </c>
      <c r="F72" s="2978">
        <v>33.56</v>
      </c>
      <c r="G72" s="2978">
        <f>ROUND('[1]数据-基础表'!$A$3*[1]Sheet2!F76/'[1]数据-基础表'!$H$5,2)</f>
        <v>8.2799999999999994</v>
      </c>
      <c r="H72" s="2982" t="s">
        <v>3228</v>
      </c>
      <c r="I72" s="2990">
        <v>10</v>
      </c>
      <c r="J72" s="2991">
        <v>2849.4301139772047</v>
      </c>
    </row>
    <row r="73" spans="2:10" ht="29.25" customHeight="1">
      <c r="B73" s="2979">
        <v>71</v>
      </c>
      <c r="C73" s="2981" t="s">
        <v>3229</v>
      </c>
      <c r="D73" s="2989" t="s">
        <v>3232</v>
      </c>
      <c r="E73" s="2981" t="s">
        <v>3233</v>
      </c>
      <c r="F73" s="2978">
        <v>34.76</v>
      </c>
      <c r="G73" s="2978">
        <f>ROUND('[1]数据-基础表'!$A$3*[1]Sheet2!F77/'[1]数据-基础表'!$H$5,2)</f>
        <v>8.57</v>
      </c>
      <c r="H73" s="2982" t="s">
        <v>3228</v>
      </c>
      <c r="I73" s="2990">
        <v>10</v>
      </c>
      <c r="J73" s="2991">
        <v>2849.4301139772047</v>
      </c>
    </row>
    <row r="74" spans="2:10" ht="29.25" customHeight="1">
      <c r="B74" s="2979">
        <v>72</v>
      </c>
      <c r="C74" s="2981" t="s">
        <v>3225</v>
      </c>
      <c r="D74" s="2989" t="s">
        <v>3234</v>
      </c>
      <c r="E74" s="2981" t="s">
        <v>3235</v>
      </c>
      <c r="F74" s="2978">
        <v>31.48</v>
      </c>
      <c r="G74" s="2978">
        <f>ROUND('[1]数据-基础表'!$A$3*[1]Sheet2!F78/'[1]数据-基础表'!$H$5,2)</f>
        <v>7.76</v>
      </c>
      <c r="H74" s="2982" t="s">
        <v>3228</v>
      </c>
      <c r="I74" s="2990">
        <v>8</v>
      </c>
      <c r="J74" s="2991">
        <v>2541.2960609911056</v>
      </c>
    </row>
    <row r="75" spans="2:10" ht="29.25" customHeight="1">
      <c r="B75" s="3090" t="s">
        <v>3236</v>
      </c>
      <c r="C75" s="3090"/>
      <c r="D75" s="3090"/>
      <c r="E75" s="3090"/>
      <c r="F75" s="2978">
        <f>SUM(F3:F74)</f>
        <v>8622.7599999999966</v>
      </c>
      <c r="G75" s="2978">
        <f>SUM(G3:G74)</f>
        <v>2126.7300000000005</v>
      </c>
      <c r="H75" s="2978"/>
      <c r="I75" s="2978">
        <f>SUM(I3:I74)</f>
        <v>6664.063912182065</v>
      </c>
      <c r="J75" s="2978">
        <f>ROUND(I75*10000/F75,0)</f>
        <v>7728</v>
      </c>
    </row>
    <row r="76" spans="2:10" ht="29.25" customHeight="1">
      <c r="I76" s="2976"/>
    </row>
    <row r="78" spans="2:10">
      <c r="G78" s="2995" t="s">
        <v>3262</v>
      </c>
      <c r="H78" s="2995" t="s">
        <v>3263</v>
      </c>
      <c r="I78" s="2995" t="s">
        <v>3266</v>
      </c>
    </row>
    <row r="79" spans="2:10">
      <c r="C79" s="2974">
        <v>5039</v>
      </c>
      <c r="F79" s="2995" t="s">
        <v>3075</v>
      </c>
      <c r="G79" s="2974">
        <f>F7+F9+F10+F11+F12+F13</f>
        <v>1937.01</v>
      </c>
      <c r="H79" s="2974">
        <f>F3+F4+F5+F6+F8+F14+F15+F16+F17+F18+F19</f>
        <v>2963.1299999999997</v>
      </c>
      <c r="I79" s="2974">
        <f>G79+H79</f>
        <v>4900.1399999999994</v>
      </c>
      <c r="J79" s="2974">
        <f>SUM(G3:G19)</f>
        <v>1208.5800000000002</v>
      </c>
    </row>
    <row r="80" spans="2:10">
      <c r="C80" s="2974">
        <v>1587</v>
      </c>
      <c r="F80" s="2995" t="s">
        <v>3264</v>
      </c>
      <c r="G80" s="2974">
        <f>F20+F21</f>
        <v>414.84000000000003</v>
      </c>
      <c r="H80" s="2974">
        <f>SUM(F22:F70)</f>
        <v>3174.420000000001</v>
      </c>
      <c r="I80" s="2974">
        <f>G80+H80</f>
        <v>3589.2600000000011</v>
      </c>
      <c r="J80" s="2974">
        <f>SUM(G20:G70)</f>
        <v>885.26</v>
      </c>
    </row>
    <row r="81" spans="3:10">
      <c r="C81" s="2974">
        <v>38</v>
      </c>
      <c r="F81" s="2995" t="s">
        <v>3265</v>
      </c>
      <c r="G81" s="2974">
        <v>0</v>
      </c>
      <c r="H81" s="2974">
        <f>F71+F72+F73+F74</f>
        <v>133.35999999999999</v>
      </c>
      <c r="I81" s="2974">
        <f>G81+H81</f>
        <v>133.35999999999999</v>
      </c>
      <c r="J81" s="2974">
        <f>G71+G72+G73+G74</f>
        <v>32.89</v>
      </c>
    </row>
    <row r="82" spans="3:10">
      <c r="C82" s="2974">
        <f>SUM(C79:C81)</f>
        <v>6664</v>
      </c>
      <c r="F82" s="2995" t="s">
        <v>3266</v>
      </c>
      <c r="G82" s="2974">
        <f>SUM(G79:G81)</f>
        <v>2351.85</v>
      </c>
      <c r="H82" s="2974">
        <f>SUM(H79:H81)</f>
        <v>6270.9100000000008</v>
      </c>
      <c r="I82" s="2974">
        <f>SUM(I79:I81)</f>
        <v>8622.760000000002</v>
      </c>
    </row>
    <row r="87" spans="3:10">
      <c r="C87" s="2978"/>
      <c r="D87" s="2978"/>
      <c r="E87" s="2978"/>
      <c r="F87" s="2978"/>
      <c r="G87" s="2978"/>
      <c r="H87" s="2978"/>
    </row>
    <row r="88" spans="3:10">
      <c r="C88" s="2978"/>
      <c r="D88" s="2982" t="s">
        <v>3270</v>
      </c>
      <c r="E88" s="2982" t="s">
        <v>3271</v>
      </c>
      <c r="F88" s="2982"/>
      <c r="G88" s="2982" t="s">
        <v>3272</v>
      </c>
      <c r="H88" s="2982" t="s">
        <v>3273</v>
      </c>
    </row>
    <row r="89" spans="3:10">
      <c r="C89" s="2982" t="s">
        <v>3075</v>
      </c>
      <c r="D89" s="2978">
        <v>-2</v>
      </c>
      <c r="E89" s="2978">
        <v>0.45</v>
      </c>
      <c r="F89" s="2978"/>
      <c r="G89" s="2978">
        <f>$G$91*E89</f>
        <v>2.25</v>
      </c>
      <c r="H89" s="2978">
        <f>F18+F19</f>
        <v>227.87</v>
      </c>
    </row>
    <row r="90" spans="3:10">
      <c r="C90" s="2978"/>
      <c r="D90" s="2978">
        <v>-1</v>
      </c>
      <c r="E90" s="2978">
        <v>0.5</v>
      </c>
      <c r="F90" s="2978"/>
      <c r="G90" s="2978">
        <f>$G$91*E90</f>
        <v>2.5</v>
      </c>
      <c r="H90" s="2978">
        <f>F3+F4+F5+F6+F8+F14+F15+F16+F17</f>
        <v>2735.2599999999993</v>
      </c>
    </row>
    <row r="91" spans="3:10">
      <c r="C91" s="2978"/>
      <c r="D91" s="2978">
        <v>1</v>
      </c>
      <c r="E91" s="2978">
        <v>1</v>
      </c>
      <c r="F91" s="2978"/>
      <c r="G91" s="2978">
        <v>5</v>
      </c>
      <c r="H91" s="2978"/>
    </row>
    <row r="92" spans="3:10">
      <c r="C92" s="2978"/>
      <c r="D92" s="2978">
        <v>2</v>
      </c>
      <c r="E92" s="2978">
        <v>0.65</v>
      </c>
      <c r="F92" s="2978"/>
      <c r="G92" s="2978">
        <f>$G$91*E92</f>
        <v>3.25</v>
      </c>
      <c r="H92" s="2978"/>
    </row>
    <row r="93" spans="3:10">
      <c r="C93" s="2978"/>
      <c r="D93" s="2978">
        <v>3</v>
      </c>
      <c r="E93" s="2978">
        <v>0.6</v>
      </c>
      <c r="F93" s="2978"/>
      <c r="G93" s="2978">
        <f t="shared" ref="G93:G96" si="0">$G$91*E93</f>
        <v>3</v>
      </c>
      <c r="H93" s="2978">
        <f>F7</f>
        <v>402.43</v>
      </c>
    </row>
    <row r="94" spans="3:10">
      <c r="C94" s="2978"/>
      <c r="D94" s="2978">
        <v>4</v>
      </c>
      <c r="E94" s="2978">
        <v>0.6</v>
      </c>
      <c r="F94" s="2978"/>
      <c r="G94" s="2978">
        <f t="shared" si="0"/>
        <v>3</v>
      </c>
      <c r="H94" s="2978"/>
    </row>
    <row r="95" spans="3:10">
      <c r="C95" s="2978"/>
      <c r="D95" s="2978">
        <v>5</v>
      </c>
      <c r="E95" s="2978">
        <v>0.5</v>
      </c>
      <c r="F95" s="2978"/>
      <c r="G95" s="2978">
        <f t="shared" si="0"/>
        <v>2.5</v>
      </c>
      <c r="H95" s="2978"/>
    </row>
    <row r="96" spans="3:10">
      <c r="C96" s="2978"/>
      <c r="D96" s="2978">
        <v>6</v>
      </c>
      <c r="E96" s="2978">
        <v>0.5</v>
      </c>
      <c r="F96" s="2978"/>
      <c r="G96" s="2978">
        <f t="shared" si="0"/>
        <v>2.5</v>
      </c>
      <c r="H96" s="2978"/>
    </row>
    <row r="97" spans="3:8">
      <c r="C97" s="2978"/>
      <c r="D97" s="2978">
        <v>7</v>
      </c>
      <c r="E97" s="2978">
        <v>0.25</v>
      </c>
      <c r="F97" s="2978"/>
      <c r="G97" s="2978">
        <f>$G$91*E97</f>
        <v>1.25</v>
      </c>
      <c r="H97" s="2978">
        <f>F9+F10+F11+F12+F13</f>
        <v>1534.58</v>
      </c>
    </row>
    <row r="98" spans="3:8">
      <c r="C98" s="2978"/>
      <c r="D98" s="2982" t="s">
        <v>3236</v>
      </c>
      <c r="E98" s="2978"/>
      <c r="F98" s="2978"/>
      <c r="G98" s="2978"/>
      <c r="H98" s="2978">
        <f>SUM(H89:H97)</f>
        <v>4900.1399999999994</v>
      </c>
    </row>
    <row r="99" spans="3:8">
      <c r="C99" s="2978"/>
      <c r="D99" s="2982" t="s">
        <v>3274</v>
      </c>
      <c r="E99" s="2978"/>
      <c r="F99" s="2978"/>
      <c r="G99" s="2978"/>
      <c r="H99" s="2978">
        <f>ROUND((H93*G93+H97*G97+H90*G90+H89*G89)/H98,2)</f>
        <v>2.14</v>
      </c>
    </row>
  </sheetData>
  <mergeCells count="3">
    <mergeCell ref="I1:J1"/>
    <mergeCell ref="B75:E75"/>
    <mergeCell ref="K1:L1"/>
  </mergeCells>
  <phoneticPr fontId="143" type="noConversion"/>
  <pageMargins left="0.7" right="0.7" top="0.75" bottom="0.75" header="0.3" footer="0.3"/>
  <pageSetup paperSize="9" scale="69" fitToHeight="0" orientation="portrait" horizontalDpi="4294967295" verticalDpi="4294967295" r:id="rId1"/>
  <rowBreaks count="1" manualBreakCount="1">
    <brk id="34" max="9"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1964</v>
      </c>
      <c r="B2" s="1268">
        <f>项目基本情况!D3</f>
        <v>43437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6" t="s">
        <v>1969</v>
      </c>
      <c r="AA4" s="2246"/>
      <c r="AB4" s="2246"/>
      <c r="AC4" s="2246"/>
      <c r="AD4" s="2246"/>
      <c r="AE4" s="2244" t="s">
        <v>1970</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1971</v>
      </c>
      <c r="B5" s="2291" t="s">
        <v>1972</v>
      </c>
      <c r="C5" s="2292" t="s">
        <v>1973</v>
      </c>
      <c r="D5" s="2293" t="s">
        <v>1974</v>
      </c>
      <c r="E5" s="1270" t="s">
        <v>1975</v>
      </c>
      <c r="F5" s="2294" t="s">
        <v>1976</v>
      </c>
      <c r="G5" s="1270" t="s">
        <v>1977</v>
      </c>
      <c r="H5" s="1270" t="s">
        <v>1978</v>
      </c>
      <c r="I5" s="1270" t="s">
        <v>1979</v>
      </c>
      <c r="J5" s="2295" t="s">
        <v>1980</v>
      </c>
      <c r="K5" s="2296" t="s">
        <v>1981</v>
      </c>
      <c r="L5" s="2297" t="s">
        <v>1982</v>
      </c>
      <c r="M5" s="2298" t="s">
        <v>1983</v>
      </c>
      <c r="N5" s="2299" t="s">
        <v>3269</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6" t="s">
        <v>2004</v>
      </c>
      <c r="AP5" s="1251" t="s">
        <v>2005</v>
      </c>
      <c r="AQ5" s="2306" t="s">
        <v>2006</v>
      </c>
      <c r="AR5" s="2306"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商业</v>
      </c>
      <c r="B6" s="2308" t="str">
        <f>IF(A6=0,"","经营性")</f>
        <v>经营性</v>
      </c>
      <c r="C6" s="2309" t="s">
        <v>1373</v>
      </c>
      <c r="D6" s="1053">
        <f>SUMIF(项目基本情况!D$12:I$12,C6,项目基本情况!D$14:I$14)</f>
        <v>40</v>
      </c>
      <c r="E6" s="1050">
        <f>IF(B6="","",SUMIF(项目基本情况!D$12:I$12,C6,项目基本情况!D$13:I$13))</f>
        <v>55161</v>
      </c>
      <c r="F6" s="72">
        <f>SUMIF(项目基本情况!D$12:I$12,C6,项目基本情况!D$15:I$15)</f>
        <v>32.119999999999997</v>
      </c>
      <c r="G6" s="73">
        <f>IF(ISERROR(ROUND(POWER(1+H6,D6-F6)*(POWER(1+H6,F6)-1)/(POWER(1+H6,D6)-1),3)),0,ROUND(POWER(1+H6,D6-F6)*(POWER(1+H6,F6)-1)/(POWER(1+H6,D6)-1),3))</f>
        <v>0.91400000000000003</v>
      </c>
      <c r="H6" s="802">
        <v>4.4999999999999998E-2</v>
      </c>
      <c r="I6" s="802">
        <v>0.05</v>
      </c>
      <c r="J6" s="74">
        <v>0.08</v>
      </c>
      <c r="K6" s="1253">
        <f>SUMIF('数据-汇总表'!C$19:C$33,A6,'数据-汇总表'!E$19:E$33)</f>
        <v>4900.1399999999994</v>
      </c>
      <c r="L6" s="803">
        <v>2500</v>
      </c>
      <c r="M6" s="75">
        <f t="shared" ref="M6:M14" si="0">ROUND(K6*L6/10000,0)</f>
        <v>1225</v>
      </c>
      <c r="N6" s="801">
        <f>ROUND((95%+96%)/2,3)</f>
        <v>0.95499999999999996</v>
      </c>
      <c r="O6" s="75" t="str">
        <f>IF($N$5="成新度","——",ROUND(M6*N6,0))</f>
        <v>——</v>
      </c>
      <c r="P6" s="76" t="str">
        <f>IF($N$5="成新度","——",M6-O6)</f>
        <v>——</v>
      </c>
      <c r="Q6" s="804">
        <v>0.15</v>
      </c>
      <c r="R6" s="77">
        <f ca="1">SUMIF('数据-汇总表'!C$19:C$33,A6,'数据-汇总表'!R$19:R$27)</f>
        <v>1208.58</v>
      </c>
      <c r="S6" s="54">
        <f>IF('数据-汇总表'!$I$17="按面积比例",SUMIF('数据-汇总表'!C$19:C$33,A6,'数据-汇总表'!K$19:K$33),SUMIF('数据-汇总表'!C$19:C$33,A6,'数据-汇总表'!N$19:N$33))</f>
        <v>0</v>
      </c>
      <c r="T6" s="1445">
        <f>ROUND($L$14*S6/10000,0)</f>
        <v>0</v>
      </c>
      <c r="U6" s="78">
        <f>面积!H99</f>
        <v>2.14</v>
      </c>
      <c r="V6" s="79">
        <v>2.5000000000000001E-2</v>
      </c>
      <c r="W6" s="79">
        <v>0.12</v>
      </c>
      <c r="X6" s="1263"/>
      <c r="Y6" s="80">
        <f>N6</f>
        <v>0.95499999999999996</v>
      </c>
      <c r="Z6" s="81"/>
      <c r="AA6" s="74"/>
      <c r="AB6" s="74"/>
      <c r="AC6" s="1263"/>
      <c r="AD6" s="82"/>
      <c r="AE6" s="1264">
        <f ca="1">IF(AN6="",0,SUMIF(INDIRECT("'"&amp;AN6&amp;"'"&amp;"!E:E"),$AE$5,INDIRECT("'"&amp;AN6&amp;"'"&amp;"!F:F")))</f>
        <v>32.119999999999997</v>
      </c>
      <c r="AF6" s="1806"/>
      <c r="AG6" s="147">
        <f>IF(AF6="",0,AE6-AF6)</f>
        <v>0</v>
      </c>
      <c r="AH6" s="83"/>
      <c r="AI6" s="85">
        <v>365</v>
      </c>
      <c r="AJ6" s="86"/>
      <c r="AK6" s="87">
        <v>0.02</v>
      </c>
      <c r="AL6" s="88">
        <v>2E-3</v>
      </c>
      <c r="AM6" s="89">
        <v>0.02</v>
      </c>
      <c r="AN6" s="2310" t="s">
        <v>3283</v>
      </c>
      <c r="AO6" s="55">
        <f ca="1">SUMIF(INDIRECT("'"&amp;AN6&amp;"'"&amp;"!A:A"),"总价",INDIRECT("'"&amp;AN6&amp;"'"&amp;"!B:B"))</f>
        <v>5035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仓储</v>
      </c>
      <c r="B7" s="2308" t="str">
        <f t="shared" ref="B7:B13" si="1">IF(A7=0,"","经营性")</f>
        <v>经营性</v>
      </c>
      <c r="C7" s="2309" t="s">
        <v>3252</v>
      </c>
      <c r="D7" s="1053">
        <f>SUMIF(项目基本情况!D$12:I$12,C7,项目基本情况!D$14:I$14)</f>
        <v>50</v>
      </c>
      <c r="E7" s="1050">
        <f>IF(B7="","",SUMIF(项目基本情况!D$12:I$12,C7,项目基本情况!D$13:I$13))</f>
        <v>58814</v>
      </c>
      <c r="F7" s="72">
        <f>SUMIF(项目基本情况!D$12:I$12,C7,项目基本情况!D$15:I$15)</f>
        <v>42.12</v>
      </c>
      <c r="G7" s="73">
        <f t="shared" ref="G7:G11" si="2">IF(ISERROR(ROUND(POWER(1+H7,D7-F7)*(POWER(1+H7,F7)-1)/(POWER(1+H7,D7)-1),3)),0,ROUND(POWER(1+H7,D7-F7)*(POWER(1+H7,F7)-1)/(POWER(1+H7,D7)-1),3))</f>
        <v>0.94099999999999995</v>
      </c>
      <c r="H7" s="802">
        <v>0.04</v>
      </c>
      <c r="I7" s="802">
        <v>4.4999999999999998E-2</v>
      </c>
      <c r="J7" s="74">
        <v>0.08</v>
      </c>
      <c r="K7" s="1253">
        <f>SUMIF('数据-汇总表'!C$19:C$33,A7,'数据-汇总表'!E$19:E$33)</f>
        <v>3589.2600000000011</v>
      </c>
      <c r="L7" s="803">
        <v>2200</v>
      </c>
      <c r="M7" s="75">
        <f t="shared" si="0"/>
        <v>790</v>
      </c>
      <c r="N7" s="801">
        <f>N6</f>
        <v>0.95499999999999996</v>
      </c>
      <c r="O7" s="75" t="str">
        <f t="shared" ref="O7:O14" si="3">IF($N$5="成新度","——",ROUND(M7*N7,0))</f>
        <v>——</v>
      </c>
      <c r="P7" s="76" t="str">
        <f t="shared" ref="P7:P14" si="4">IF($N$5="成新度","——",M7-O7)</f>
        <v>——</v>
      </c>
      <c r="Q7" s="804">
        <v>0.05</v>
      </c>
      <c r="R7" s="77">
        <f ca="1">SUMIF('数据-汇总表'!C$19:C$33,A7,'数据-汇总表'!R$19:R$27)</f>
        <v>885.26</v>
      </c>
      <c r="S7" s="54">
        <f>IF('数据-汇总表'!$I$17="按面积比例",SUMIF('数据-汇总表'!C$19:C$33,A7,'数据-汇总表'!K$19:K$33),SUMIF('数据-汇总表'!C$19:C$33,A7,'数据-汇总表'!N$19:N$33))</f>
        <v>0</v>
      </c>
      <c r="T7" s="1445">
        <f t="shared" ref="T7:T13" si="5">ROUND($L$14*S7/10000,0)</f>
        <v>0</v>
      </c>
      <c r="U7" s="78">
        <v>1</v>
      </c>
      <c r="V7" s="79">
        <v>0</v>
      </c>
      <c r="W7" s="79">
        <v>0.15</v>
      </c>
      <c r="X7" s="1263"/>
      <c r="Y7" s="80">
        <f>N7</f>
        <v>0.95499999999999996</v>
      </c>
      <c r="Z7" s="81"/>
      <c r="AA7" s="74"/>
      <c r="AB7" s="74"/>
      <c r="AC7" s="1263"/>
      <c r="AD7" s="82"/>
      <c r="AE7" s="1264">
        <f t="shared" ref="AE7:AE13" ca="1" si="6">IF(AN7="",0,SUMIF(INDIRECT("'"&amp;AN7&amp;"'"&amp;"!E:E"),$AE$5,INDIRECT("'"&amp;AN7&amp;"'"&amp;"!F:F")))</f>
        <v>42.12</v>
      </c>
      <c r="AF7" s="1806"/>
      <c r="AG7" s="147">
        <f t="shared" ref="AG7:AG13" si="7">IF(AF7="",0,AE7-AF7)</f>
        <v>0</v>
      </c>
      <c r="AH7" s="83"/>
      <c r="AI7" s="85">
        <v>365</v>
      </c>
      <c r="AJ7" s="86"/>
      <c r="AK7" s="87">
        <v>0.02</v>
      </c>
      <c r="AL7" s="88">
        <v>2E-3</v>
      </c>
      <c r="AM7" s="89">
        <v>0.02</v>
      </c>
      <c r="AN7" s="2310" t="s">
        <v>3304</v>
      </c>
      <c r="AO7" s="55">
        <f t="shared" ref="AO7:AO13" ca="1" si="8">SUMIF(INDIRECT("'"&amp;AN7&amp;"'"&amp;"!A:A"),"总价",INDIRECT("'"&amp;AN7&amp;"'"&amp;"!B:B"))</f>
        <v>1239</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t="str">
        <f>'数据-汇总表'!C21</f>
        <v>地下车库</v>
      </c>
      <c r="B8" s="2308" t="str">
        <f t="shared" si="1"/>
        <v>经营性</v>
      </c>
      <c r="C8" s="2309" t="s">
        <v>3261</v>
      </c>
      <c r="D8" s="1053">
        <f>SUMIF(项目基本情况!D$12:I$12,C8,项目基本情况!D$14:I$14)</f>
        <v>50</v>
      </c>
      <c r="E8" s="1050">
        <f>IF(B8="","",SUMIF(项目基本情况!D$12:I$12,C8,项目基本情况!D$13:I$13))</f>
        <v>58814</v>
      </c>
      <c r="F8" s="72">
        <f>SUMIF(项目基本情况!D$12:I$12,C8,项目基本情况!D$15:I$15)</f>
        <v>42.12</v>
      </c>
      <c r="G8" s="73">
        <f t="shared" si="2"/>
        <v>0.94099999999999995</v>
      </c>
      <c r="H8" s="802">
        <v>0.04</v>
      </c>
      <c r="I8" s="802">
        <v>4.4999999999999998E-2</v>
      </c>
      <c r="J8" s="74">
        <v>0.08</v>
      </c>
      <c r="K8" s="1253">
        <f>SUMIF('数据-汇总表'!C$19:C$33,A8,'数据-汇总表'!E$19:E$33)</f>
        <v>133.35999999999999</v>
      </c>
      <c r="L8" s="803">
        <v>2200</v>
      </c>
      <c r="M8" s="75">
        <f>ROUND(K8*L8/10000,0)</f>
        <v>29</v>
      </c>
      <c r="N8" s="801">
        <f>N6</f>
        <v>0.95499999999999996</v>
      </c>
      <c r="O8" s="75" t="str">
        <f t="shared" si="3"/>
        <v>——</v>
      </c>
      <c r="P8" s="76" t="str">
        <f t="shared" si="4"/>
        <v>——</v>
      </c>
      <c r="Q8" s="804">
        <v>0.05</v>
      </c>
      <c r="R8" s="77">
        <f ca="1">SUMIF('数据-汇总表'!C$19:C$33,A8,'数据-汇总表'!R$19:R$27)</f>
        <v>32.89</v>
      </c>
      <c r="S8" s="54">
        <f>IF('数据-汇总表'!$I$17="按面积比例",SUMIF('数据-汇总表'!C$19:C$33,A8,'数据-汇总表'!K$19:K$33),SUMIF('数据-汇总表'!C$19:C$33,A8,'数据-汇总表'!N$19:N$33))</f>
        <v>0</v>
      </c>
      <c r="T8" s="1445">
        <f t="shared" si="5"/>
        <v>0</v>
      </c>
      <c r="U8" s="805">
        <v>0.6</v>
      </c>
      <c r="V8" s="806">
        <v>0</v>
      </c>
      <c r="W8" s="806">
        <v>0.15</v>
      </c>
      <c r="X8" s="1263"/>
      <c r="Y8" s="80">
        <f>N8</f>
        <v>0.95499999999999996</v>
      </c>
      <c r="Z8" s="81"/>
      <c r="AA8" s="74"/>
      <c r="AB8" s="74"/>
      <c r="AC8" s="1263"/>
      <c r="AD8" s="82"/>
      <c r="AE8" s="1264">
        <f t="shared" ca="1" si="6"/>
        <v>42.12</v>
      </c>
      <c r="AF8" s="1806"/>
      <c r="AG8" s="147">
        <f t="shared" si="7"/>
        <v>0</v>
      </c>
      <c r="AH8" s="807"/>
      <c r="AI8" s="85">
        <v>365</v>
      </c>
      <c r="AJ8" s="86"/>
      <c r="AK8" s="808">
        <v>0.02</v>
      </c>
      <c r="AL8" s="809">
        <v>2E-3</v>
      </c>
      <c r="AM8" s="810">
        <v>0.02</v>
      </c>
      <c r="AN8" s="2310" t="s">
        <v>3308</v>
      </c>
      <c r="AO8" s="55">
        <f t="shared" ca="1" si="8"/>
        <v>21</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t="s">
        <v>6</v>
      </c>
      <c r="D9" s="1053">
        <f>SUMIF(项目基本情况!D$12:I$12,C9,项目基本情况!D$14:I$14)</f>
        <v>50</v>
      </c>
      <c r="E9" s="1050" t="str">
        <f>IF(B9="","",SUMIF(项目基本情况!D$12:I$12,C9,项目基本情况!D$13:I$13))</f>
        <v/>
      </c>
      <c r="F9" s="72">
        <f>SUMIF(项目基本情况!D$12:I$12,C9,项目基本情况!D$15:I$15)</f>
        <v>42.12</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7"/>
      <c r="D16" s="2315"/>
      <c r="E16" s="97"/>
      <c r="F16" s="97"/>
      <c r="G16" s="98">
        <f>ROUND(SUMPRODUCT(G6:G13,K6:K13)/SUMPRODUCT((G6:G13&gt;0)*(K6:K13)),3)</f>
        <v>0.92600000000000005</v>
      </c>
      <c r="H16" s="99">
        <f>ROUND(SUMPRODUCT(H6:H13,K6:K13)/SUMPRODUCT((H6:H13&gt;0)*(K6:K13)),3)</f>
        <v>4.2999999999999997E-2</v>
      </c>
      <c r="I16" s="100"/>
      <c r="J16" s="100"/>
      <c r="K16" s="101">
        <f>SUM(K6:K15)</f>
        <v>8622.760000000002</v>
      </c>
      <c r="L16" s="102">
        <f>ROUND(M16*10000/SUM(K6:K14),0)</f>
        <v>2370</v>
      </c>
      <c r="M16" s="102">
        <f>SUM(M6:M14)</f>
        <v>2044</v>
      </c>
      <c r="N16" s="103">
        <f>ROUND(SUMPRODUCT(M6:M14,N6:N14)/M16,3)</f>
        <v>0.95499999999999996</v>
      </c>
      <c r="O16" s="102">
        <f>SUM(O6:O14)</f>
        <v>0</v>
      </c>
      <c r="P16" s="102">
        <f>SUM(P6:P14)</f>
        <v>0</v>
      </c>
      <c r="Q16" s="104">
        <f>ROUND(SUMPRODUCT(Q6:Q13,K6:K13)/SUMPRODUCT((Q6:Q13&gt;0)*(K6:K13)),2)</f>
        <v>0.11</v>
      </c>
      <c r="R16" s="1257">
        <f ca="1">SUM(R6:R13)</f>
        <v>2126.73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2014</v>
      </c>
      <c r="B19" s="112">
        <v>0</v>
      </c>
      <c r="C19" s="2278" t="s">
        <v>2015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3</v>
      </c>
      <c r="C20" s="2278" t="s">
        <v>2017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3</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3</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3</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150</v>
      </c>
      <c r="C27" s="1766" t="s">
        <v>2026</v>
      </c>
      <c r="D27" s="2324"/>
      <c r="E27" s="1429"/>
      <c r="F27" s="1429"/>
      <c r="G27" s="2278"/>
      <c r="H27" s="2278"/>
      <c r="I27" s="2278"/>
      <c r="J27" s="2278"/>
      <c r="K27" s="168"/>
      <c r="L27" s="168"/>
      <c r="M27" s="1583"/>
      <c r="N27" s="1583"/>
      <c r="O27" s="1583"/>
      <c r="P27" s="1583"/>
      <c r="Q27" s="1583">
        <f ca="1">系统读取表!D14</f>
        <v>5039</v>
      </c>
      <c r="R27" s="1583"/>
      <c r="S27" s="1583">
        <f>面积!C79</f>
        <v>5039</v>
      </c>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2027</v>
      </c>
      <c r="B28" s="119">
        <v>190</v>
      </c>
      <c r="C28" s="2327"/>
      <c r="D28" s="2324"/>
      <c r="E28" s="1429"/>
      <c r="F28" s="1429"/>
      <c r="G28" s="2278"/>
      <c r="H28" s="2278"/>
      <c r="I28" s="2278"/>
      <c r="J28" s="2278"/>
      <c r="K28" s="168"/>
      <c r="L28" s="168"/>
      <c r="M28" s="1583"/>
      <c r="N28" s="1583"/>
      <c r="O28" s="1583"/>
      <c r="P28" s="1583"/>
      <c r="Q28" s="1583">
        <f ca="1">系统读取表!D15</f>
        <v>1587</v>
      </c>
      <c r="R28" s="1583"/>
      <c r="S28" s="1583">
        <f>面积!C80</f>
        <v>1587</v>
      </c>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2028</v>
      </c>
      <c r="B29" s="121"/>
      <c r="C29" s="1766" t="s">
        <v>2029</v>
      </c>
      <c r="D29" s="2324"/>
      <c r="E29" s="1429"/>
      <c r="F29" s="1429"/>
      <c r="G29" s="2278"/>
      <c r="H29" s="2278"/>
      <c r="I29" s="2278"/>
      <c r="J29" s="2278"/>
      <c r="K29" s="168"/>
      <c r="L29" s="168"/>
      <c r="M29" s="1583"/>
      <c r="N29" s="1583"/>
      <c r="O29" s="1583"/>
      <c r="P29" s="1583"/>
      <c r="Q29" s="1583">
        <f ca="1">系统读取表!D16</f>
        <v>38</v>
      </c>
      <c r="R29" s="1583"/>
      <c r="S29" s="1583">
        <f>面积!C81</f>
        <v>38</v>
      </c>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2030</v>
      </c>
      <c r="B30" s="724">
        <v>100</v>
      </c>
      <c r="C30" s="2327"/>
      <c r="D30" s="2324"/>
      <c r="E30" s="1429"/>
      <c r="F30" s="1429"/>
      <c r="G30" s="2278"/>
      <c r="H30" s="2278"/>
      <c r="I30" s="2278"/>
      <c r="J30" s="2278"/>
      <c r="K30" s="168"/>
      <c r="L30" s="168"/>
      <c r="M30" s="1583"/>
      <c r="N30" s="1583"/>
      <c r="O30" s="1583"/>
      <c r="P30" s="1583"/>
      <c r="Q30" s="1583">
        <f ca="1">Q27+Q28+Q29</f>
        <v>6664</v>
      </c>
      <c r="R30" s="1583">
        <f ca="1">Q30-S30</f>
        <v>0</v>
      </c>
      <c r="S30" s="1583">
        <f>S27+S28+S29</f>
        <v>6664</v>
      </c>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2031</v>
      </c>
      <c r="B31" s="120">
        <f>B30-B32</f>
        <v>100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2033</v>
      </c>
      <c r="B33" s="726">
        <v>3.5000000000000003E-2</v>
      </c>
      <c r="C33" s="1765" t="s">
        <v>2034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2035</v>
      </c>
      <c r="B34" s="122">
        <v>0.05</v>
      </c>
      <c r="C34" s="1765" t="s">
        <v>2036</v>
      </c>
      <c r="D34" s="2279" t="s">
        <v>2037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2038</v>
      </c>
      <c r="B35" s="119">
        <v>200</v>
      </c>
      <c r="C35" s="1765" t="s">
        <v>2039</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2040</v>
      </c>
      <c r="B36" s="123">
        <v>1.4999999999999999E-2</v>
      </c>
      <c r="C36" s="1765" t="s">
        <v>2041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0.02</v>
      </c>
      <c r="C37" s="1765" t="s">
        <v>2043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122">
        <v>0.02</v>
      </c>
      <c r="C38" s="1765" t="s">
        <v>2043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128">
        <v>0.05</v>
      </c>
      <c r="C44" s="1765" t="s">
        <v>2052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9"/>
      <c r="C47" s="1766" t="s">
        <v>2058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30">
        <v>0.03</v>
      </c>
      <c r="C48" s="1773" t="s">
        <v>2060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3">
        <f>SUMIF(A54:A63,B53,B54:B63)</f>
        <v>3</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2066</v>
      </c>
      <c r="B53" s="2337" t="s">
        <v>523</v>
      </c>
      <c r="C53" s="1429" t="s">
        <v>2067</v>
      </c>
      <c r="D53" s="2338" t="s">
        <v>2068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v>3</v>
      </c>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3" t="s">
        <v>2079</v>
      </c>
      <c r="B1" s="3094"/>
      <c r="C1" s="3094"/>
      <c r="D1" s="3094"/>
      <c r="E1" s="3094"/>
      <c r="F1" s="3094"/>
      <c r="G1" s="309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27">
      <c r="A3" s="415" t="s">
        <v>2082</v>
      </c>
      <c r="B3" s="1270" t="s">
        <v>2083</v>
      </c>
      <c r="C3" s="2996" t="s">
        <v>3280</v>
      </c>
      <c r="D3" s="2371"/>
      <c r="E3" s="431" t="s">
        <v>2082</v>
      </c>
      <c r="F3" s="2372" t="s">
        <v>2084</v>
      </c>
      <c r="G3" s="2373"/>
      <c r="H3" s="2369"/>
      <c r="I3" s="2369"/>
      <c r="J3" s="2369"/>
      <c r="K3" s="2369"/>
      <c r="L3" s="2369"/>
      <c r="M3" s="2369"/>
      <c r="N3" s="2369"/>
      <c r="O3" s="2369"/>
      <c r="P3" s="2369"/>
      <c r="Q3" s="2369"/>
      <c r="R3" s="2369"/>
    </row>
    <row r="4" spans="1:29" ht="15">
      <c r="A4" s="431"/>
      <c r="B4" s="1797" t="s">
        <v>2085</v>
      </c>
      <c r="C4" s="2997" t="s">
        <v>3277</v>
      </c>
      <c r="D4" s="2371"/>
      <c r="E4" s="2375"/>
      <c r="F4" s="42" t="s">
        <v>2086</v>
      </c>
      <c r="G4" s="2376"/>
      <c r="H4" s="2369"/>
      <c r="I4" s="2369"/>
      <c r="J4" s="2369"/>
      <c r="K4" s="2369"/>
      <c r="L4" s="2369"/>
      <c r="M4" s="2369"/>
      <c r="N4" s="2369"/>
      <c r="O4" s="2369"/>
      <c r="P4" s="2369"/>
      <c r="Q4" s="2369"/>
      <c r="R4" s="2369"/>
    </row>
    <row r="5" spans="1:29" ht="15">
      <c r="A5" s="431"/>
      <c r="B5" s="1797" t="s">
        <v>2087</v>
      </c>
      <c r="C5" s="2374"/>
      <c r="D5" s="2371"/>
      <c r="E5" s="2375"/>
      <c r="F5" s="1797" t="s">
        <v>2088</v>
      </c>
      <c r="G5" s="2376"/>
      <c r="H5" s="2369"/>
      <c r="I5" s="2369"/>
      <c r="J5" s="2369"/>
      <c r="K5" s="2369"/>
      <c r="L5" s="2369"/>
      <c r="M5" s="2369"/>
      <c r="N5" s="2369"/>
      <c r="O5" s="2369"/>
      <c r="P5" s="2369"/>
      <c r="Q5" s="2369"/>
      <c r="R5" s="2369"/>
    </row>
    <row r="6" spans="1:29" ht="15">
      <c r="A6" s="431"/>
      <c r="B6" s="1797" t="s">
        <v>2089</v>
      </c>
      <c r="C6" s="2998" t="s">
        <v>3277</v>
      </c>
      <c r="D6" s="2371"/>
      <c r="E6" s="2375"/>
      <c r="F6" s="1797" t="s">
        <v>2090</v>
      </c>
      <c r="G6" s="2376"/>
      <c r="H6" s="2369"/>
      <c r="I6" s="2369"/>
      <c r="J6" s="2369"/>
      <c r="K6" s="2369"/>
      <c r="L6" s="2369"/>
      <c r="M6" s="2369"/>
      <c r="N6" s="2369"/>
      <c r="O6" s="2369"/>
      <c r="P6" s="2369"/>
      <c r="Q6" s="2369"/>
      <c r="R6" s="2369"/>
    </row>
    <row r="7" spans="1:29" ht="15.75" thickBot="1">
      <c r="A7" s="431"/>
      <c r="B7" s="1797" t="s">
        <v>2088</v>
      </c>
      <c r="C7" s="2998" t="s">
        <v>3277</v>
      </c>
      <c r="D7" s="2377"/>
      <c r="E7" s="2378"/>
      <c r="F7" s="2379" t="s">
        <v>2091</v>
      </c>
      <c r="G7" s="2380"/>
      <c r="H7" s="2369"/>
      <c r="I7" s="2369"/>
      <c r="J7" s="2369"/>
      <c r="K7" s="2369"/>
      <c r="L7" s="2369"/>
      <c r="M7" s="2369"/>
      <c r="N7" s="2369"/>
      <c r="O7" s="2369"/>
      <c r="P7" s="2369"/>
      <c r="Q7" s="2369"/>
      <c r="R7" s="2369"/>
    </row>
    <row r="8" spans="1:29" ht="15">
      <c r="A8" s="431"/>
      <c r="B8" s="1797" t="s">
        <v>2090</v>
      </c>
      <c r="C8" s="2998" t="s">
        <v>3279</v>
      </c>
      <c r="D8" s="2377"/>
      <c r="E8" s="2377"/>
      <c r="F8" s="1135"/>
      <c r="G8" s="1135"/>
      <c r="H8" s="2369"/>
      <c r="I8" s="2369"/>
      <c r="J8" s="2369"/>
      <c r="K8" s="2369"/>
      <c r="L8" s="2369"/>
      <c r="M8" s="2369"/>
      <c r="N8" s="2369"/>
      <c r="O8" s="2369"/>
      <c r="P8" s="2369"/>
      <c r="Q8" s="2369"/>
      <c r="R8" s="2369"/>
    </row>
    <row r="9" spans="1:29" ht="15">
      <c r="A9" s="431"/>
      <c r="B9" s="1797" t="s">
        <v>2092</v>
      </c>
      <c r="C9" s="2997" t="s">
        <v>3278</v>
      </c>
      <c r="D9" s="2371"/>
      <c r="E9" s="2377"/>
      <c r="F9" s="1135"/>
      <c r="G9" s="1135"/>
      <c r="H9" s="2369"/>
      <c r="I9" s="2369"/>
      <c r="J9" s="2369"/>
      <c r="K9" s="2369"/>
      <c r="L9" s="2369"/>
      <c r="M9" s="2369"/>
      <c r="N9" s="2369"/>
      <c r="O9" s="2369"/>
      <c r="P9" s="2369"/>
      <c r="Q9" s="2369"/>
      <c r="R9" s="2369"/>
    </row>
    <row r="10" spans="1:29" s="117" customFormat="1" ht="15.75" thickBot="1">
      <c r="A10" s="2381"/>
      <c r="B10" s="2382" t="s">
        <v>2093</v>
      </c>
      <c r="C10" s="2383"/>
      <c r="D10" s="2371"/>
      <c r="E10" s="2371"/>
      <c r="F10" s="1135"/>
      <c r="G10" s="1135"/>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3"/>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6" t="s">
        <v>2096</v>
      </c>
    </row>
    <row r="15" spans="1:29" ht="27">
      <c r="A15" s="68" t="s">
        <v>2097</v>
      </c>
      <c r="B15" s="1269" t="s">
        <v>2083</v>
      </c>
      <c r="C15" s="2403" t="str">
        <f>C3</f>
        <v>较好</v>
      </c>
      <c r="D15" s="2371"/>
      <c r="E15" s="2404" t="s">
        <v>2098</v>
      </c>
      <c r="F15" s="1269" t="s">
        <v>2099</v>
      </c>
      <c r="G15" s="135">
        <f>G3</f>
        <v>0</v>
      </c>
    </row>
    <row r="16" spans="1:29" ht="15">
      <c r="A16" s="645"/>
      <c r="B16" s="2405" t="s">
        <v>2085</v>
      </c>
      <c r="C16" s="2406" t="str">
        <f>C4</f>
        <v>较好</v>
      </c>
      <c r="D16" s="2371"/>
      <c r="E16" s="2407"/>
      <c r="F16" s="2408" t="s">
        <v>2086</v>
      </c>
      <c r="G16" s="136">
        <f>G4</f>
        <v>0</v>
      </c>
    </row>
    <row r="17" spans="1:18" ht="15">
      <c r="A17" s="645"/>
      <c r="B17" s="2405" t="s">
        <v>2087</v>
      </c>
      <c r="C17" s="2406">
        <f>C5</f>
        <v>0</v>
      </c>
      <c r="D17" s="2377"/>
      <c r="E17" s="2407"/>
      <c r="F17" s="2408" t="s">
        <v>2100</v>
      </c>
      <c r="G17" s="1571"/>
    </row>
    <row r="18" spans="1:18" ht="15">
      <c r="A18" s="645"/>
      <c r="B18" s="2408" t="s">
        <v>2089</v>
      </c>
      <c r="C18" s="136" t="str">
        <f>C6</f>
        <v>较好</v>
      </c>
      <c r="D18" s="2377"/>
      <c r="E18" s="2407"/>
      <c r="F18" s="2408" t="s">
        <v>2091</v>
      </c>
      <c r="G18" s="136">
        <f>G7</f>
        <v>0</v>
      </c>
    </row>
    <row r="19" spans="1:18" ht="15">
      <c r="A19" s="645"/>
      <c r="B19" s="2408" t="s">
        <v>2101</v>
      </c>
      <c r="C19" s="1571"/>
      <c r="D19" s="2371"/>
      <c r="E19" s="2407"/>
      <c r="F19" s="1797" t="s">
        <v>2088</v>
      </c>
      <c r="G19" s="136">
        <f>G5</f>
        <v>0</v>
      </c>
    </row>
    <row r="20" spans="1:18" ht="15">
      <c r="A20" s="645"/>
      <c r="B20" s="2408" t="s">
        <v>2102</v>
      </c>
      <c r="C20" s="2406" t="str">
        <f>C9</f>
        <v>一般</v>
      </c>
      <c r="D20" s="2377"/>
      <c r="E20" s="2407"/>
      <c r="F20" s="1797" t="s">
        <v>2103</v>
      </c>
      <c r="G20" s="136">
        <f>G6</f>
        <v>0</v>
      </c>
    </row>
    <row r="21" spans="1:18" ht="15">
      <c r="A21" s="645"/>
      <c r="B21" s="1797" t="s">
        <v>2088</v>
      </c>
      <c r="C21" s="136" t="str">
        <f>C7</f>
        <v>较好</v>
      </c>
      <c r="D21" s="2371"/>
      <c r="E21" s="2407"/>
      <c r="F21" s="2408" t="s">
        <v>2104</v>
      </c>
      <c r="G21" s="2409"/>
    </row>
    <row r="22" spans="1:18" ht="13.5" customHeight="1">
      <c r="A22" s="645"/>
      <c r="B22" s="1797" t="s">
        <v>2090</v>
      </c>
      <c r="C22" s="136" t="str">
        <f>C8</f>
        <v>七通</v>
      </c>
      <c r="D22" s="2371"/>
      <c r="E22" s="2407"/>
      <c r="F22" s="2408" t="s">
        <v>2093</v>
      </c>
      <c r="G22" s="1571"/>
    </row>
    <row r="23" spans="1:18" s="2369"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9"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RowHeight="13.5"/>
  <cols>
    <col min="1" max="1" width="23.375" style="1740" customWidth="1"/>
    <col min="2" max="9" width="15.75" style="1740" customWidth="1"/>
    <col min="10" max="16384" width="9" style="1740"/>
  </cols>
  <sheetData>
    <row r="1" spans="1:10" ht="16.5">
      <c r="A1" s="1745" t="s">
        <v>1361</v>
      </c>
      <c r="B1" s="1745">
        <f>SUM(B14:B23)</f>
        <v>8622.760000000002</v>
      </c>
      <c r="C1" s="1744"/>
      <c r="D1" s="1744"/>
      <c r="E1" s="1744"/>
      <c r="F1" s="1744"/>
      <c r="G1" s="1742"/>
    </row>
    <row r="2" spans="1:10" ht="16.5">
      <c r="A2" s="1745" t="s">
        <v>1349</v>
      </c>
      <c r="B2" s="1745">
        <f>SUM(C14:C23)</f>
        <v>2126.73</v>
      </c>
      <c r="C2" s="1744"/>
      <c r="D2" s="1744"/>
      <c r="E2" s="1744"/>
      <c r="F2" s="1744"/>
      <c r="G2" s="1742"/>
    </row>
    <row r="3" spans="1:10" ht="16.5">
      <c r="A3" s="1745" t="s">
        <v>1358</v>
      </c>
      <c r="B3" s="1746">
        <f>项目基本情况!D3</f>
        <v>43437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6664</v>
      </c>
      <c r="C5" s="1745">
        <f ca="1">ROUND(B5*10000/$B$1,0)</f>
        <v>7728</v>
      </c>
      <c r="D5" s="1745">
        <f ca="1">ROUND(B5*10000/$B$2,0)</f>
        <v>31334</v>
      </c>
      <c r="E5" s="1744"/>
      <c r="F5" s="1742"/>
      <c r="G5" s="1742"/>
    </row>
    <row r="6" spans="1:10" ht="16.5">
      <c r="A6" s="1745" t="s">
        <v>1352</v>
      </c>
      <c r="B6" s="1745">
        <f ca="1">SUM(G14:G23)</f>
        <v>5039</v>
      </c>
      <c r="C6" s="1745">
        <f ca="1">ROUND(B6*10000/$B$1,0)</f>
        <v>5844</v>
      </c>
      <c r="D6" s="1745">
        <f ca="1">ROUND(B6*10000/$B$2,0)</f>
        <v>23694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'结果表(商业)'!B118</f>
        <v>4900.1399999999994</v>
      </c>
      <c r="C14" s="1743">
        <f>'结果表(商业)'!C118</f>
        <v>1208.58</v>
      </c>
      <c r="D14" s="1743">
        <f ca="1">'结果表(商业)'!H118</f>
        <v>5039</v>
      </c>
      <c r="E14" s="1743">
        <f ca="1">ROUND(D14*10000/B14,0)</f>
        <v>10283</v>
      </c>
      <c r="F14" s="1743">
        <f ca="1">ROUND(D14*10000/C14,0)</f>
        <v>41694</v>
      </c>
      <c r="G14" s="1743">
        <f ca="1">'结果表(商业)'!D122</f>
        <v>5039</v>
      </c>
      <c r="H14" s="1743" t="str">
        <f>'结果表(商业)'!D124</f>
        <v>——</v>
      </c>
      <c r="I14" s="1743" t="str">
        <f>'结果表(商业)'!D126</f>
        <v>——</v>
      </c>
      <c r="J14" s="1742"/>
    </row>
    <row r="15" spans="1:10" ht="16.5">
      <c r="A15" s="1741" t="s">
        <v>1345</v>
      </c>
      <c r="B15" s="1748">
        <f>'数据-汇总表'!E20</f>
        <v>3589.2600000000011</v>
      </c>
      <c r="C15" s="1748">
        <f>'数据-汇总表'!D20</f>
        <v>885.26</v>
      </c>
      <c r="D15" s="1748">
        <f ca="1">'结果表(地下仓储)'!G19</f>
        <v>1587</v>
      </c>
      <c r="E15" s="1743">
        <f t="shared" ref="E15:E23" ca="1" si="0">ROUND(D15*10000/B15,0)</f>
        <v>4422</v>
      </c>
      <c r="F15" s="1743">
        <f t="shared" ref="F15:F23" ca="1" si="1">ROUND(D15*10000/C15,0)</f>
        <v>17927</v>
      </c>
      <c r="G15" s="1749"/>
      <c r="H15" s="1749"/>
      <c r="I15" s="1748"/>
      <c r="J15" s="1742"/>
    </row>
    <row r="16" spans="1:10" ht="16.5">
      <c r="A16" s="1741" t="s">
        <v>1344</v>
      </c>
      <c r="B16" s="1748">
        <f>'数据-汇总表'!G21</f>
        <v>133.35999999999999</v>
      </c>
      <c r="C16" s="1748">
        <f>'数据-汇总表'!D21</f>
        <v>32.89</v>
      </c>
      <c r="D16" s="1748">
        <f ca="1">'结果表(车位) '!G19</f>
        <v>38</v>
      </c>
      <c r="E16" s="1743">
        <f t="shared" ca="1" si="0"/>
        <v>2849</v>
      </c>
      <c r="F16" s="1743">
        <f t="shared" ca="1" si="1"/>
        <v>11554</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2107</v>
      </c>
      <c r="B1" s="2419"/>
      <c r="C1" s="2420" t="s">
        <v>1373</v>
      </c>
      <c r="D1" s="2419"/>
      <c r="E1" s="2419"/>
      <c r="F1" s="2421" t="s">
        <v>2108</v>
      </c>
      <c r="G1" s="2072" t="s">
        <v>3060</v>
      </c>
      <c r="H1" s="2422" t="str">
        <f>IF(G1="现房","——","估价对象范围")</f>
        <v>——</v>
      </c>
      <c r="I1" s="2423" t="s">
        <v>3281</v>
      </c>
    </row>
    <row r="2" spans="1:12" ht="21.75" customHeight="1" thickBot="1">
      <c r="A2" s="3167" t="str">
        <f>项目基本情况!S2</f>
        <v>北京市大兴区永兴路7号院6号楼-101号商业用房房地产</v>
      </c>
      <c r="B2" s="3168"/>
      <c r="C2" s="3168"/>
      <c r="D2" s="3168"/>
      <c r="E2" s="3168"/>
      <c r="F2" s="3168"/>
      <c r="G2" s="3168"/>
      <c r="H2" s="3168"/>
      <c r="I2" s="3169"/>
    </row>
    <row r="3" spans="1:12" ht="12.75">
      <c r="A3" s="3170" t="s">
        <v>2109</v>
      </c>
      <c r="B3" s="3171"/>
      <c r="C3" s="3171"/>
      <c r="D3" s="3171"/>
      <c r="E3" s="3171"/>
      <c r="F3" s="3171"/>
      <c r="G3" s="3171"/>
      <c r="H3" s="3171"/>
      <c r="I3" s="3171"/>
    </row>
    <row r="4" spans="1:12" ht="14.25">
      <c r="A4" s="2426" t="s">
        <v>2110</v>
      </c>
      <c r="B4" s="2427" t="s">
        <v>2111</v>
      </c>
      <c r="C4" s="2428" t="s">
        <v>3297</v>
      </c>
      <c r="D4" s="2428" t="s">
        <v>3283</v>
      </c>
      <c r="E4" s="3151" t="s">
        <v>2112</v>
      </c>
      <c r="F4" s="3164"/>
      <c r="G4" s="3164"/>
      <c r="H4" s="3164"/>
      <c r="I4" s="3152"/>
      <c r="K4" s="2429" t="str">
        <f>IF(ISNUMBER(FIND("比较法",'结果表(商业)'!C4)),"比较法",IF(ISNUMBER(FIND("成本法",'结果表(商业)'!C4)),"成本法",IF(ISNUMBER(FIND("假设开发法",'结果表(商业)'!C4)),"假设开发法",IF(ISNUMBER(FIND("收益法",'结果表(商业)'!C4)),"收益法","基准地价系数修正法"))))</f>
        <v>成本法</v>
      </c>
      <c r="L4" s="242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2" t="s">
        <v>2113</v>
      </c>
      <c r="B5" s="3064">
        <v>25</v>
      </c>
      <c r="C5" s="3172"/>
      <c r="D5" s="3160"/>
      <c r="E5" s="140" t="s">
        <v>2114</v>
      </c>
      <c r="F5" s="2430"/>
      <c r="G5" s="2430"/>
      <c r="H5" s="2430"/>
      <c r="I5" s="1833"/>
    </row>
    <row r="6" spans="1:12" ht="12.75">
      <c r="A6" s="3142"/>
      <c r="B6" s="3064"/>
      <c r="C6" s="3174"/>
      <c r="D6" s="3160"/>
      <c r="E6" s="140" t="s">
        <v>2115</v>
      </c>
      <c r="F6" s="2430"/>
      <c r="G6" s="2430"/>
      <c r="H6" s="2430"/>
      <c r="I6" s="1833"/>
    </row>
    <row r="7" spans="1:12" ht="12.75">
      <c r="A7" s="3142"/>
      <c r="B7" s="3064"/>
      <c r="C7" s="3173"/>
      <c r="D7" s="3160"/>
      <c r="E7" s="140" t="s">
        <v>2116</v>
      </c>
      <c r="F7" s="2430"/>
      <c r="G7" s="2430"/>
      <c r="H7" s="2430"/>
      <c r="I7" s="1833"/>
    </row>
    <row r="8" spans="1:12" ht="12.75">
      <c r="A8" s="3142" t="s">
        <v>2117</v>
      </c>
      <c r="B8" s="3064">
        <v>15</v>
      </c>
      <c r="C8" s="3172"/>
      <c r="D8" s="3160"/>
      <c r="E8" s="140" t="s">
        <v>2118</v>
      </c>
      <c r="F8" s="2430"/>
      <c r="G8" s="2430"/>
      <c r="H8" s="2430"/>
      <c r="I8" s="1833"/>
    </row>
    <row r="9" spans="1:12" ht="12.75">
      <c r="A9" s="3142"/>
      <c r="B9" s="3064"/>
      <c r="C9" s="3173"/>
      <c r="D9" s="3160"/>
      <c r="E9" s="140" t="s">
        <v>2119</v>
      </c>
      <c r="F9" s="2430"/>
      <c r="G9" s="2430"/>
      <c r="H9" s="2430"/>
      <c r="I9" s="1833"/>
    </row>
    <row r="10" spans="1:12" ht="12.75">
      <c r="A10" s="3142" t="s">
        <v>2120</v>
      </c>
      <c r="B10" s="3064">
        <v>15</v>
      </c>
      <c r="C10" s="3172"/>
      <c r="D10" s="3160"/>
      <c r="E10" s="140" t="s">
        <v>2121</v>
      </c>
      <c r="F10" s="2430"/>
      <c r="G10" s="2430"/>
      <c r="H10" s="2430"/>
      <c r="I10" s="1833"/>
    </row>
    <row r="11" spans="1:12" ht="12.75">
      <c r="A11" s="3142"/>
      <c r="B11" s="3064"/>
      <c r="C11" s="3173"/>
      <c r="D11" s="3160"/>
      <c r="E11" s="140" t="s">
        <v>2122</v>
      </c>
      <c r="F11" s="2430"/>
      <c r="G11" s="2430"/>
      <c r="H11" s="2430"/>
      <c r="I11" s="1833"/>
    </row>
    <row r="12" spans="1:12" ht="12.75">
      <c r="A12" s="3142" t="s">
        <v>2123</v>
      </c>
      <c r="B12" s="3064">
        <v>15</v>
      </c>
      <c r="C12" s="3172"/>
      <c r="D12" s="3160"/>
      <c r="E12" s="140" t="s">
        <v>2124</v>
      </c>
      <c r="F12" s="2430"/>
      <c r="G12" s="2430"/>
      <c r="H12" s="2430"/>
      <c r="I12" s="1833"/>
    </row>
    <row r="13" spans="1:12" ht="12.75">
      <c r="A13" s="3142"/>
      <c r="B13" s="3064"/>
      <c r="C13" s="3173"/>
      <c r="D13" s="3160"/>
      <c r="E13" s="140" t="s">
        <v>2125</v>
      </c>
      <c r="F13" s="2430"/>
      <c r="G13" s="2430"/>
      <c r="H13" s="2430"/>
      <c r="I13" s="1833"/>
    </row>
    <row r="14" spans="1:12" ht="12.75">
      <c r="A14" s="3142" t="s">
        <v>2126</v>
      </c>
      <c r="B14" s="3064">
        <v>30</v>
      </c>
      <c r="C14" s="3172">
        <v>4</v>
      </c>
      <c r="D14" s="3160">
        <v>6</v>
      </c>
      <c r="E14" s="140" t="s">
        <v>2127</v>
      </c>
      <c r="F14" s="2430"/>
      <c r="G14" s="2430"/>
      <c r="H14" s="2430"/>
      <c r="I14" s="1833"/>
    </row>
    <row r="15" spans="1:12" ht="12.75">
      <c r="A15" s="3142"/>
      <c r="B15" s="3064"/>
      <c r="C15" s="3174"/>
      <c r="D15" s="3160"/>
      <c r="E15" s="140" t="s">
        <v>2128</v>
      </c>
      <c r="F15" s="2430"/>
      <c r="G15" s="2430"/>
      <c r="H15" s="2430"/>
      <c r="I15" s="1833"/>
    </row>
    <row r="16" spans="1:12" ht="12.75">
      <c r="A16" s="3142"/>
      <c r="B16" s="3064"/>
      <c r="C16" s="3173"/>
      <c r="D16" s="3160"/>
      <c r="E16" s="140" t="s">
        <v>2129</v>
      </c>
      <c r="F16" s="2430"/>
      <c r="G16" s="2430"/>
      <c r="H16" s="2430"/>
      <c r="I16" s="1833"/>
    </row>
    <row r="17" spans="1:35" ht="15">
      <c r="A17" s="2431" t="s">
        <v>2130</v>
      </c>
      <c r="B17" s="64"/>
      <c r="C17" s="141">
        <f>SUM(C5:C16)</f>
        <v>4</v>
      </c>
      <c r="D17" s="141">
        <f>SUM(D5:D16)</f>
        <v>6</v>
      </c>
      <c r="E17" s="138"/>
      <c r="F17" s="138"/>
      <c r="G17" s="138"/>
      <c r="H17" s="138"/>
      <c r="I17" s="138"/>
      <c r="K17" s="2429"/>
      <c r="L17" s="2432" t="s">
        <v>2131</v>
      </c>
      <c r="M17" s="2432" t="s">
        <v>2132</v>
      </c>
    </row>
    <row r="18" spans="1:35" ht="15.75" thickBot="1">
      <c r="A18" s="2433" t="s">
        <v>2133</v>
      </c>
      <c r="B18" s="2434"/>
      <c r="C18" s="142">
        <f>ROUND(C17/SUM(C17:D17),2)</f>
        <v>0.4</v>
      </c>
      <c r="D18" s="142">
        <f>1-C18</f>
        <v>0.6</v>
      </c>
      <c r="E18" s="138"/>
      <c r="F18" s="138"/>
      <c r="G18" s="138"/>
      <c r="H18" s="138"/>
      <c r="I18" s="138"/>
      <c r="K18" s="2429" t="s">
        <v>2134</v>
      </c>
      <c r="L18" s="2429">
        <f>IF(C1="",'数据-汇总表'!E3,SUMIF(项目类型,C1,'数据-汇总表'!E17:E26)+SUMIF(项目类型,C1,'数据-汇总表'!I17:I26))</f>
        <v>4900.1399999999994</v>
      </c>
      <c r="M18" s="2429">
        <f>IF(C1="",'数据-汇总表'!E3,SUMIF(项目类型,C1,'数据-汇总表'!E17:E26))</f>
        <v>4900.1399999999994</v>
      </c>
    </row>
    <row r="19" spans="1:35" ht="15">
      <c r="A19" s="2435" t="s">
        <v>2135</v>
      </c>
      <c r="B19" s="2436" t="s">
        <v>2136</v>
      </c>
      <c r="C19" s="143">
        <f ca="1">SUMIF(INDIRECT("'"&amp;C4&amp;"'"&amp;"!A:A"),'结果表(商业)'!B19,INDIRECT("'"&amp;C4&amp;"'"&amp;"!B:B"))</f>
        <v>5045</v>
      </c>
      <c r="D19" s="144">
        <f ca="1">SUMIF(INDIRECT("'"&amp;D4&amp;"'"&amp;"!A:A"),'结果表(商业)'!B19,INDIRECT("'"&amp;D4&amp;"'"&amp;"!B:B"))</f>
        <v>5035</v>
      </c>
      <c r="E19" s="2435" t="s">
        <v>2137</v>
      </c>
      <c r="F19" s="2436" t="s">
        <v>2136</v>
      </c>
      <c r="G19" s="145">
        <f ca="1">ROUND(C19*$C$18+D19*$D$18,0)</f>
        <v>5039</v>
      </c>
      <c r="H19" s="2437" t="s">
        <v>2138</v>
      </c>
      <c r="I19" s="138"/>
      <c r="K19" s="2429" t="s">
        <v>2139</v>
      </c>
      <c r="L19" s="2429">
        <f>IF(C1="",'数据-汇总表'!D3,SUMIF(项目类型,C1,'数据-汇总表'!D17:D26)+SUMIF(项目类型,C1,'数据-汇总表'!H17:H27))</f>
        <v>1208.58</v>
      </c>
      <c r="M19" s="2429">
        <f>IF(C1="",'数据-汇总表'!D3,SUMIF(项目类型,C1,'数据-汇总表'!D17:D26))</f>
        <v>1208.58</v>
      </c>
    </row>
    <row r="20" spans="1:35" ht="15">
      <c r="A20" s="2438"/>
      <c r="B20" s="1249" t="s">
        <v>2140</v>
      </c>
      <c r="C20" s="146">
        <f ca="1">SUMIF(INDIRECT("'"&amp;C4&amp;"'"&amp;"!A:A"),'结果表(商业)'!B20,INDIRECT("'"&amp;C4&amp;"'"&amp;"!B:B"))</f>
        <v>10296</v>
      </c>
      <c r="D20" s="147">
        <f ca="1">SUMIF(INDIRECT("'"&amp;D4&amp;"'"&amp;"!A:A"),'结果表(商业)'!B20,INDIRECT("'"&amp;D4&amp;"'"&amp;"!B:B"))</f>
        <v>10275</v>
      </c>
      <c r="E20" s="2438"/>
      <c r="F20" s="1249" t="s">
        <v>2140</v>
      </c>
      <c r="G20" s="148">
        <f ca="1">ROUND(C20*$C$18+D20*$D$18,0)</f>
        <v>10283</v>
      </c>
      <c r="H20" s="982" t="s">
        <v>2141</v>
      </c>
      <c r="I20" s="138"/>
    </row>
    <row r="21" spans="1:35" ht="15" customHeight="1" thickBot="1">
      <c r="A21" s="1002"/>
      <c r="B21" s="2439" t="s">
        <v>2142</v>
      </c>
      <c r="C21" s="789">
        <f ca="1">ROUND(C19*10000/L19,0)</f>
        <v>41743</v>
      </c>
      <c r="D21" s="790">
        <f ca="1">ROUND(D19*10000/L19,0)</f>
        <v>41660</v>
      </c>
      <c r="E21" s="1002"/>
      <c r="F21" s="2439" t="s">
        <v>2142</v>
      </c>
      <c r="G21" s="149">
        <f ca="1">ROUND(G19*10000/L19,0)</f>
        <v>41694</v>
      </c>
      <c r="H21" s="2440" t="s">
        <v>2141</v>
      </c>
      <c r="I21" s="138"/>
    </row>
    <row r="22" spans="1:35" ht="15" thickBot="1">
      <c r="A22" s="2282" t="s">
        <v>2143</v>
      </c>
      <c r="B22" s="2441"/>
      <c r="C22" s="2442"/>
      <c r="D22" s="791">
        <f ca="1">IF(C19&lt;D19,D19/C19-1,C19/D19-1)</f>
        <v>1.9860973187686426E-3</v>
      </c>
      <c r="E22" s="138"/>
      <c r="F22" s="138"/>
      <c r="G22" s="138"/>
      <c r="H22" s="138"/>
      <c r="I22" s="138"/>
    </row>
    <row r="23" spans="1:35" ht="13.5" thickBot="1">
      <c r="A23" s="2419"/>
      <c r="B23" s="2419"/>
      <c r="C23" s="2419"/>
      <c r="D23" s="2419"/>
      <c r="E23" s="138"/>
      <c r="F23" s="138"/>
      <c r="G23" s="138"/>
      <c r="H23" s="138"/>
      <c r="I23" s="138"/>
    </row>
    <row r="24" spans="1:35" ht="14.25">
      <c r="A24" s="3181" t="s">
        <v>2144</v>
      </c>
      <c r="B24" s="2436" t="s">
        <v>2136</v>
      </c>
      <c r="C24" s="145">
        <f>IF(B30=0,0,D30)</f>
        <v>0</v>
      </c>
      <c r="D24" s="2443"/>
      <c r="E24" s="138"/>
      <c r="F24" s="138"/>
      <c r="G24" s="138"/>
      <c r="H24" s="138"/>
      <c r="I24" s="138"/>
    </row>
    <row r="25" spans="1:35" ht="14.25">
      <c r="A25" s="3182"/>
      <c r="B25" s="1249"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5039</v>
      </c>
      <c r="D32" s="2450" t="s">
        <v>2151</v>
      </c>
      <c r="E32" s="138"/>
      <c r="F32" s="138"/>
      <c r="G32" s="138"/>
      <c r="H32" s="138"/>
      <c r="I32" s="138"/>
    </row>
    <row r="33" spans="1:15" ht="15">
      <c r="A33" s="959" t="s">
        <v>2152</v>
      </c>
      <c r="B33" s="2451"/>
      <c r="C33" s="2452" t="s">
        <v>3284</v>
      </c>
      <c r="D33" s="2453" t="s">
        <v>3282</v>
      </c>
      <c r="E33" s="2454" t="s">
        <v>2153</v>
      </c>
      <c r="F33" s="2455" t="str">
        <f>IF(D32="楼面单价","取值（单价）","取值（总价）")</f>
        <v>取值（总价）</v>
      </c>
      <c r="G33" s="138"/>
      <c r="H33" s="138"/>
      <c r="I33" s="138"/>
    </row>
    <row r="34" spans="1:15" ht="15">
      <c r="A34" s="2456"/>
      <c r="B34" s="2457" t="s">
        <v>2154</v>
      </c>
      <c r="C34" s="157" t="e">
        <f ca="1">IF(C33="自定义",F34,C32-C35)</f>
        <v>#REF!</v>
      </c>
      <c r="D34" s="1057" t="e">
        <f ca="1">IF(C33="自定义",ROUND(C34/C32,3),IF(C33="收益比率",SUMIF(INDIRECT("'"&amp;D33&amp;"'"&amp;"!b:b"),"土地收益比率",INDIRECT("'"&amp;D33&amp;"'"&amp;"!c:c")),SUMIF(INDIRECT("'"&amp;D33&amp;"'"&amp;"!b:b"),"土地成本比率",INDIRECT("'"&amp;D33&amp;"'"&amp;"!c:c"))))</f>
        <v>#REF!</v>
      </c>
      <c r="E34" s="2458" t="s">
        <v>2155</v>
      </c>
      <c r="F34" s="1738"/>
      <c r="G34" s="138"/>
      <c r="H34" s="138"/>
      <c r="I34" s="138"/>
    </row>
    <row r="35" spans="1:15" ht="15.75" thickBot="1">
      <c r="A35" s="2459"/>
      <c r="B35" s="2460" t="s">
        <v>2156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1" t="s">
        <v>2157</v>
      </c>
      <c r="F35" s="163"/>
      <c r="G35" s="138"/>
      <c r="H35" s="138"/>
      <c r="I35" s="138"/>
    </row>
    <row r="36" spans="1:15" ht="15.75" thickBot="1">
      <c r="A36" s="3161" t="s">
        <v>2158</v>
      </c>
      <c r="B36" s="2462" t="s">
        <v>2159</v>
      </c>
      <c r="C36" s="154"/>
      <c r="D36" s="2463"/>
      <c r="E36" s="2464"/>
      <c r="F36" s="2465"/>
      <c r="G36" s="138"/>
      <c r="H36" s="138"/>
      <c r="I36" s="138"/>
    </row>
    <row r="37" spans="1:15" ht="15.75" thickBot="1">
      <c r="A37" s="3162"/>
      <c r="B37" s="2268" t="s">
        <v>2160</v>
      </c>
      <c r="C37" s="156"/>
      <c r="D37" s="1394"/>
      <c r="E37" s="1394"/>
      <c r="F37" s="2465"/>
      <c r="G37" s="138"/>
      <c r="H37" s="138"/>
      <c r="I37" s="138"/>
    </row>
    <row r="38" spans="1:15" ht="15.75" thickBot="1">
      <c r="A38" s="3163"/>
      <c r="B38" s="2466" t="s">
        <v>2161</v>
      </c>
      <c r="C38" s="727"/>
      <c r="D38" s="2467" t="s">
        <v>2162</v>
      </c>
      <c r="E38" s="1394"/>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78" t="s">
        <v>2172</v>
      </c>
      <c r="B45" s="3179"/>
      <c r="C45" s="3180"/>
      <c r="D45" s="164">
        <f ca="1">ROUND(H101*F45,0)</f>
        <v>5039</v>
      </c>
      <c r="E45" s="165" t="s">
        <v>2173</v>
      </c>
      <c r="F45" s="166">
        <v>1</v>
      </c>
      <c r="G45" s="167" t="s">
        <v>2174</v>
      </c>
      <c r="H45" s="138"/>
      <c r="I45" s="138"/>
      <c r="J45" s="3097" t="s">
        <v>2175</v>
      </c>
      <c r="K45" s="3097"/>
      <c r="L45" s="3097"/>
      <c r="M45" s="3097"/>
      <c r="N45" s="3097"/>
      <c r="O45" s="3097"/>
    </row>
    <row r="46" spans="1:15" ht="14.25" customHeight="1">
      <c r="A46" s="3175" t="s">
        <v>2176</v>
      </c>
      <c r="B46" s="3176"/>
      <c r="C46" s="3176"/>
      <c r="D46" s="3176"/>
      <c r="E46" s="3176"/>
      <c r="F46" s="3176"/>
      <c r="G46" s="3177"/>
      <c r="H46" s="2481"/>
      <c r="I46" s="168"/>
      <c r="J46" s="1811">
        <v>1</v>
      </c>
      <c r="K46" s="3097" t="s">
        <v>2177</v>
      </c>
      <c r="L46" s="3097"/>
      <c r="M46" s="3098"/>
      <c r="N46" s="3098"/>
      <c r="O46" s="3098"/>
    </row>
    <row r="47" spans="1:15" ht="12" customHeight="1">
      <c r="A47" s="169" t="s">
        <v>2178</v>
      </c>
      <c r="B47" s="170"/>
      <c r="C47" s="171"/>
      <c r="D47" s="172" t="s">
        <v>2179</v>
      </c>
      <c r="E47" s="24" t="s">
        <v>2180</v>
      </c>
      <c r="F47" s="173" t="s">
        <v>2181</v>
      </c>
      <c r="G47" s="174" t="s">
        <v>2182</v>
      </c>
      <c r="H47" s="2481"/>
      <c r="I47" s="168"/>
      <c r="J47" s="1811">
        <v>2</v>
      </c>
      <c r="K47" s="3097" t="s">
        <v>2183</v>
      </c>
      <c r="L47" s="3097"/>
      <c r="M47" s="3099">
        <f>'数据-取费表'!B2</f>
        <v>43437</v>
      </c>
      <c r="N47" s="3099"/>
      <c r="O47" s="3099"/>
    </row>
    <row r="48" spans="1:15" ht="25.5">
      <c r="A48" s="3165" t="s">
        <v>2184</v>
      </c>
      <c r="B48" s="3166"/>
      <c r="C48" s="3166"/>
      <c r="D48" s="140">
        <f>IF(H48="情况1",0,IF(H48="情况2",D52,IF(H48="情况3",D53,IF(H48="情况4",D54))))</f>
        <v>0</v>
      </c>
      <c r="E48" s="1800" t="str">
        <f>IF(H48="情况4","(销售额-原购置价)×税（费）率","销售额×税（费）率")</f>
        <v>销售额×税（费）率</v>
      </c>
      <c r="F48" s="175" t="str">
        <f>IF(H48="情况1","免征",'数据-取费表'!B41)</f>
        <v>免征</v>
      </c>
      <c r="G48" s="2482" t="s">
        <v>2185</v>
      </c>
      <c r="H48" s="2483" t="s">
        <v>2186</v>
      </c>
      <c r="I48" s="2481"/>
      <c r="J48" s="1811">
        <v>3</v>
      </c>
      <c r="K48" s="3097" t="s">
        <v>2187</v>
      </c>
      <c r="L48" s="3097"/>
      <c r="M48" s="3100">
        <f ca="1">H101</f>
        <v>5039</v>
      </c>
      <c r="N48" s="3100"/>
      <c r="O48" s="3100"/>
    </row>
    <row r="49" spans="1:35" ht="25.5" customHeight="1">
      <c r="A49" s="176" t="s">
        <v>2188</v>
      </c>
      <c r="B49" s="3145" t="s">
        <v>2189</v>
      </c>
      <c r="C49" s="3145"/>
      <c r="D49" s="177">
        <v>0</v>
      </c>
      <c r="E49" s="23" t="s">
        <v>2190</v>
      </c>
      <c r="F49" s="28" t="s">
        <v>34</v>
      </c>
      <c r="G49" s="3126"/>
      <c r="H49" s="138"/>
      <c r="I49" s="2484"/>
      <c r="J49" s="1811">
        <v>4</v>
      </c>
      <c r="K49" s="3097" t="str">
        <f>IF(项目基本情况!E8="房地产抵押价值","房地产抵押价值","抵押担保权已注销时的房地产抵押价值")</f>
        <v>抵押担保权已注销时的房地产抵押价值</v>
      </c>
      <c r="L49" s="3097"/>
      <c r="M49" s="3100" t="str">
        <f>IF(项目基本情况!E8="房地产抵押价值",H107,H109)</f>
        <v>——</v>
      </c>
      <c r="N49" s="3100"/>
      <c r="O49" s="3100"/>
    </row>
    <row r="50" spans="1:35" ht="25.5" customHeight="1">
      <c r="A50" s="178"/>
      <c r="B50" s="3145" t="s">
        <v>2191</v>
      </c>
      <c r="C50" s="3145"/>
      <c r="D50" s="179"/>
      <c r="E50" s="31"/>
      <c r="F50" s="180"/>
      <c r="G50" s="3127"/>
      <c r="H50" s="138"/>
      <c r="I50" s="2484"/>
      <c r="J50" s="3097" t="s">
        <v>2192</v>
      </c>
      <c r="K50" s="3097"/>
      <c r="L50" s="3097"/>
      <c r="M50" s="3097"/>
      <c r="N50" s="3097"/>
      <c r="O50" s="3097"/>
    </row>
    <row r="51" spans="1:35" ht="12" customHeight="1">
      <c r="A51" s="181"/>
      <c r="B51" s="3145" t="s">
        <v>2193</v>
      </c>
      <c r="C51" s="3145"/>
      <c r="D51" s="182"/>
      <c r="E51" s="30"/>
      <c r="F51" s="180"/>
      <c r="G51" s="3128"/>
      <c r="H51" s="138"/>
      <c r="I51" s="2484"/>
      <c r="J51" s="2485" t="s">
        <v>2194</v>
      </c>
      <c r="K51" s="3097" t="s">
        <v>2195</v>
      </c>
      <c r="L51" s="3097"/>
      <c r="M51" s="2485" t="s">
        <v>2196</v>
      </c>
      <c r="N51" s="2485" t="s">
        <v>2197</v>
      </c>
      <c r="O51" s="2485" t="s">
        <v>2198</v>
      </c>
    </row>
    <row r="52" spans="1:35" ht="24" customHeight="1">
      <c r="A52" s="183" t="s">
        <v>2199</v>
      </c>
      <c r="B52" s="3145" t="s">
        <v>2200</v>
      </c>
      <c r="C52" s="3145"/>
      <c r="D52" s="182">
        <f ca="1">ROUND(D45*'数据-取费表'!B41/(1+'数据-取费表'!C42),0)</f>
        <v>264</v>
      </c>
      <c r="E52" s="11" t="s">
        <v>2201</v>
      </c>
      <c r="F52" s="184">
        <f>'数据-取费表'!B41</f>
        <v>5.5000000000000007E-2</v>
      </c>
      <c r="G52" s="2486"/>
      <c r="H52" s="138"/>
      <c r="I52" s="2484"/>
      <c r="J52" s="1811">
        <v>1</v>
      </c>
      <c r="K52" s="3120" t="s">
        <v>2202</v>
      </c>
      <c r="L52" s="3120"/>
      <c r="M52" s="1753">
        <f>D48</f>
        <v>0</v>
      </c>
      <c r="N52" s="1811" t="str">
        <f>E48</f>
        <v>销售额×税（费）率</v>
      </c>
      <c r="O52" s="1754" t="str">
        <f>F48</f>
        <v>免征</v>
      </c>
    </row>
    <row r="53" spans="1:35" ht="12" customHeight="1">
      <c r="A53" s="183" t="s">
        <v>2203</v>
      </c>
      <c r="B53" s="3146" t="s">
        <v>2204</v>
      </c>
      <c r="C53" s="3147"/>
      <c r="D53" s="182">
        <f ca="1">ROUND(D45*'数据-取费表'!B41/(1+'数据-取费表'!C42),0)</f>
        <v>264</v>
      </c>
      <c r="E53" s="11" t="s">
        <v>2201</v>
      </c>
      <c r="F53" s="184">
        <f>'数据-取费表'!B41</f>
        <v>5.5000000000000007E-2</v>
      </c>
      <c r="G53" s="2486"/>
      <c r="H53" s="138"/>
      <c r="I53" s="2484"/>
      <c r="J53" s="1811">
        <v>2</v>
      </c>
      <c r="K53" s="3120" t="s">
        <v>2205</v>
      </c>
      <c r="L53" s="3120"/>
      <c r="M53" s="1753">
        <f t="shared" ref="M53:O54" ca="1" si="0">D55</f>
        <v>3</v>
      </c>
      <c r="N53" s="1811" t="str">
        <f t="shared" si="0"/>
        <v>销售额×税（费）率</v>
      </c>
      <c r="O53" s="1754">
        <f t="shared" si="0"/>
        <v>5.0000000000000001E-4</v>
      </c>
    </row>
    <row r="54" spans="1:35" ht="12" customHeight="1">
      <c r="A54" s="183" t="s">
        <v>2206</v>
      </c>
      <c r="B54" s="3146" t="s">
        <v>2207</v>
      </c>
      <c r="C54" s="3147"/>
      <c r="D54" s="182">
        <f ca="1">C68</f>
        <v>264</v>
      </c>
      <c r="E54" s="30" t="s">
        <v>2208</v>
      </c>
      <c r="F54" s="184">
        <f>'数据-取费表'!B41</f>
        <v>5.5000000000000007E-2</v>
      </c>
      <c r="G54" s="2486"/>
      <c r="H54" s="2487"/>
      <c r="I54" s="2484"/>
      <c r="J54" s="1811">
        <v>3</v>
      </c>
      <c r="K54" s="3120" t="s">
        <v>2209</v>
      </c>
      <c r="L54" s="3120"/>
      <c r="M54" s="1753">
        <f t="shared" ca="1" si="0"/>
        <v>2857</v>
      </c>
      <c r="N54" s="1811" t="str">
        <f t="shared" si="0"/>
        <v>增值额×税（费）率</v>
      </c>
      <c r="O54" s="1755" t="str">
        <f t="shared" si="0"/>
        <v>——</v>
      </c>
    </row>
    <row r="55" spans="1:35" ht="24" customHeight="1">
      <c r="A55" s="3184" t="s">
        <v>2210</v>
      </c>
      <c r="B55" s="3166"/>
      <c r="C55" s="3166"/>
      <c r="D55" s="185">
        <f ca="1">IF(H55="个人住宅",0,ROUND(D45*I55,0))</f>
        <v>3</v>
      </c>
      <c r="E55" s="11" t="s">
        <v>2211</v>
      </c>
      <c r="F55" s="184">
        <f>IF(H55="正常",I55,"免征")</f>
        <v>5.0000000000000001E-4</v>
      </c>
      <c r="G55" s="2486"/>
      <c r="H55" s="2483" t="s">
        <v>2212</v>
      </c>
      <c r="I55" s="186">
        <f>'数据-取费表'!B49</f>
        <v>5.0000000000000001E-4</v>
      </c>
      <c r="J55" s="1811" t="str">
        <f>IF(H59="非个人房产","",4)</f>
        <v/>
      </c>
      <c r="K55" s="3120" t="str">
        <f>IF(H59="非个人房产","——","个人所得税")</f>
        <v>——</v>
      </c>
      <c r="L55" s="3120"/>
      <c r="M55" s="1756" t="str">
        <f>D59</f>
        <v>——</v>
      </c>
      <c r="N55" s="1809" t="str">
        <f>E59</f>
        <v>——</v>
      </c>
      <c r="O55" s="1757" t="str">
        <f>F59</f>
        <v>——</v>
      </c>
    </row>
    <row r="56" spans="1:35" ht="24.75">
      <c r="A56" s="3184" t="s">
        <v>2213</v>
      </c>
      <c r="B56" s="3166"/>
      <c r="C56" s="3166"/>
      <c r="D56" s="185">
        <f ca="1">IF(H56="个人住宅",D57,D58)</f>
        <v>2857</v>
      </c>
      <c r="E56" s="11" t="s">
        <v>2214</v>
      </c>
      <c r="F56" s="184" t="str">
        <f>IF(H56="正常",F58,"免征")</f>
        <v>——</v>
      </c>
      <c r="G56" s="2488" t="s">
        <v>2215</v>
      </c>
      <c r="H56" s="2489" t="s">
        <v>2212</v>
      </c>
      <c r="I56" s="2490"/>
      <c r="J56" s="1811" t="str">
        <f>IF(项目基本情况!K6="上海银行",IF(J55="",4,J55+1),"")</f>
        <v/>
      </c>
      <c r="K56" s="3103" t="str">
        <f>IF(项目基本情况!K6="上海银行","其他处置费用","")</f>
        <v/>
      </c>
      <c r="L56" s="3104"/>
      <c r="M56" s="1753" t="str">
        <f>IF(项目基本情况!K6="上海银行",M69,"")</f>
        <v/>
      </c>
      <c r="N56" s="3106" t="str">
        <f>IF(项目基本情况!K6="上海银行","包含处置中涉及的律师、诉讼、拍卖、评估等费用","")</f>
        <v/>
      </c>
      <c r="O56" s="3107"/>
    </row>
    <row r="57" spans="1:35" ht="12.75">
      <c r="A57" s="183" t="s">
        <v>2188</v>
      </c>
      <c r="B57" s="3151" t="s">
        <v>2216</v>
      </c>
      <c r="C57" s="3152"/>
      <c r="D57" s="187">
        <v>0</v>
      </c>
      <c r="E57" s="23" t="s">
        <v>2190</v>
      </c>
      <c r="F57" s="155"/>
      <c r="G57" s="2486"/>
      <c r="H57" s="2490"/>
      <c r="I57" s="2490"/>
      <c r="J57" s="3120">
        <f>IF(AND(J55="",J56=""),4,IF(项目基本情况!K6="上海银行",'结果表(商业)'!J56+1,'结果表(商业)'!J55+1))</f>
        <v>4</v>
      </c>
      <c r="K57" s="3120" t="s">
        <v>2217</v>
      </c>
      <c r="L57" s="2491" t="s">
        <v>2218</v>
      </c>
      <c r="M57" s="1758"/>
      <c r="N57" s="1759">
        <f ca="1">SUMIF(M52:M56,"&lt;9e307")</f>
        <v>2860</v>
      </c>
      <c r="O57" s="2492"/>
      <c r="P57" s="1752" t="e">
        <f ca="1">N57/M49</f>
        <v>#VALUE!</v>
      </c>
    </row>
    <row r="58" spans="1:35" ht="24.75">
      <c r="A58" s="183" t="s">
        <v>2199</v>
      </c>
      <c r="B58" s="3151" t="s">
        <v>2219</v>
      </c>
      <c r="C58" s="3164"/>
      <c r="D58" s="185">
        <f ca="1">IF(H58="转让取得",C81,C97)</f>
        <v>2857</v>
      </c>
      <c r="E58" s="11" t="s">
        <v>2214</v>
      </c>
      <c r="F58" s="24" t="s">
        <v>34</v>
      </c>
      <c r="G58" s="2486"/>
      <c r="H58" s="2489" t="s">
        <v>2220</v>
      </c>
      <c r="I58" s="2490"/>
      <c r="J58" s="3120"/>
      <c r="K58" s="3120"/>
      <c r="L58" s="2491" t="s">
        <v>2221</v>
      </c>
      <c r="M58" s="1760"/>
      <c r="N58" s="2493" t="str">
        <f ca="1">NUMBERSTRING(INT(N57*10000),2)&amp;"元整"</f>
        <v>贰仟捌佰陆拾万元整</v>
      </c>
      <c r="O58" s="2494"/>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22">
        <f>J57+1</f>
        <v>5</v>
      </c>
      <c r="K59" s="3120" t="s">
        <v>2224</v>
      </c>
      <c r="L59" s="1811" t="s">
        <v>2218</v>
      </c>
      <c r="M59" s="1761"/>
      <c r="N59" s="1762" t="e">
        <f ca="1">M49-N57</f>
        <v>#VALUE!</v>
      </c>
      <c r="O59" s="2496"/>
    </row>
    <row r="60" spans="1:35" ht="12" customHeight="1">
      <c r="A60" s="2497"/>
      <c r="B60" s="2419"/>
      <c r="C60" s="2419"/>
      <c r="D60" s="2419"/>
      <c r="E60" s="2168"/>
      <c r="F60" s="2490"/>
      <c r="G60" s="2490"/>
      <c r="H60" s="2498"/>
      <c r="I60" s="138"/>
      <c r="J60" s="3123"/>
      <c r="K60" s="3120"/>
      <c r="L60" s="2491" t="s">
        <v>2221</v>
      </c>
      <c r="M60" s="1760"/>
      <c r="N60" s="2493" t="e">
        <f ca="1">NUMBERSTRING(INT(N59*10000),2)&amp;"元整"</f>
        <v>#VALUE!</v>
      </c>
      <c r="O60" s="2494"/>
    </row>
    <row r="61" spans="1:35" ht="13.5" thickBot="1">
      <c r="A61" s="3183" t="s">
        <v>2225</v>
      </c>
      <c r="B61" s="3183"/>
      <c r="C61" s="3183"/>
      <c r="D61" s="3183"/>
      <c r="E61" s="3183"/>
      <c r="F61" s="2490"/>
      <c r="G61" s="2490"/>
      <c r="H61" s="2498"/>
      <c r="I61" s="138"/>
      <c r="J61" s="1811">
        <f>J59+1</f>
        <v>6</v>
      </c>
      <c r="K61" s="3120" t="s">
        <v>2226</v>
      </c>
      <c r="L61" s="3120"/>
      <c r="M61" s="1763"/>
      <c r="N61" s="1764" t="e">
        <f ca="1">ROUND(N59*10000/'数据-汇总表'!E3,0)</f>
        <v>#VALUE!</v>
      </c>
      <c r="O61" s="2499"/>
    </row>
    <row r="62" spans="1:35" ht="12.75">
      <c r="A62" s="3140" t="s">
        <v>2227</v>
      </c>
      <c r="B62" s="3141"/>
      <c r="C62" s="1803"/>
      <c r="D62" s="1803" t="s">
        <v>2228</v>
      </c>
      <c r="E62" s="192" t="s">
        <v>2229</v>
      </c>
      <c r="F62" s="2490"/>
      <c r="G62" s="2490"/>
      <c r="H62" s="2498"/>
      <c r="I62" s="138"/>
    </row>
    <row r="63" spans="1:35" ht="12.75">
      <c r="A63" s="203" t="s">
        <v>775</v>
      </c>
      <c r="B63" s="193" t="s">
        <v>2230</v>
      </c>
      <c r="C63" s="194">
        <f ca="1">ROUND((C64+C65)/(1+'数据-取费表'!C42),0)</f>
        <v>4799</v>
      </c>
      <c r="D63" s="195"/>
      <c r="E63" s="196"/>
      <c r="F63" s="2490"/>
      <c r="G63" s="2490"/>
      <c r="H63" s="2498"/>
      <c r="I63" s="138"/>
      <c r="J63" s="3105" t="s">
        <v>2231</v>
      </c>
      <c r="K63" s="2500" t="s">
        <v>2232</v>
      </c>
      <c r="L63" s="1751" t="e">
        <f>IF(M49&gt;10000,M49*0.5%,IF(AND(M49&gt;1000,M49&lt;=10000),M49*1%,IF(AND(M49&gt;100,M49&lt;=1000),M49*3%,IF(AND(M49&gt;10,M49&lt;=100),M49*5%,M49*8%))))</f>
        <v>#VALUE!</v>
      </c>
      <c r="M63" s="24" t="e">
        <f>ROUND(L63,1)</f>
        <v>#VALUE!</v>
      </c>
      <c r="Z63" s="2424"/>
      <c r="AI63" s="2425"/>
    </row>
    <row r="64" spans="1:35" ht="14.25" customHeight="1">
      <c r="A64" s="197" t="s">
        <v>770</v>
      </c>
      <c r="B64" s="198" t="s">
        <v>2233</v>
      </c>
      <c r="C64" s="199">
        <f ca="1">D45</f>
        <v>5039</v>
      </c>
      <c r="D64" s="200" t="s">
        <v>32</v>
      </c>
      <c r="E64" s="201"/>
      <c r="F64" s="2490"/>
      <c r="G64" s="2490"/>
      <c r="H64" s="2498"/>
      <c r="I64" s="138"/>
      <c r="J64" s="3105"/>
      <c r="K64" s="2500" t="s">
        <v>2234</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4"/>
      <c r="AI64" s="2425"/>
    </row>
    <row r="65" spans="1:35" ht="14.25" customHeight="1">
      <c r="A65" s="197" t="s">
        <v>771</v>
      </c>
      <c r="B65" s="198" t="s">
        <v>2236</v>
      </c>
      <c r="C65" s="202"/>
      <c r="D65" s="200"/>
      <c r="E65" s="201"/>
      <c r="F65" s="2490"/>
      <c r="G65" s="2490"/>
      <c r="H65" s="2498"/>
      <c r="I65" s="138"/>
      <c r="J65" s="3105"/>
      <c r="K65" s="2500" t="s">
        <v>2237</v>
      </c>
      <c r="L65" s="1751" t="e">
        <f>IF(M49&gt;1000,M49*0.1%,IF(AND(M49&gt;500,M49&lt;=1000),M49*0.5%,IF(AND(M49&gt;50,M49&lt;=500),M49*1%,IF(AND(M49&gt;1,M49&lt;=50),M49*1.5%))))</f>
        <v>#VALUE!</v>
      </c>
      <c r="M65" s="24" t="e">
        <f t="shared" si="1"/>
        <v>#VALUE!</v>
      </c>
      <c r="N65" s="138" t="s">
        <v>2235</v>
      </c>
      <c r="Z65" s="2424"/>
      <c r="AI65" s="2425"/>
    </row>
    <row r="66" spans="1:35" ht="14.25" customHeight="1">
      <c r="A66" s="203" t="s">
        <v>772</v>
      </c>
      <c r="B66" s="204" t="s">
        <v>2238</v>
      </c>
      <c r="C66" s="205"/>
      <c r="D66" s="206" t="s">
        <v>32</v>
      </c>
      <c r="E66" s="1775" t="s">
        <v>1367</v>
      </c>
      <c r="F66" s="2490"/>
      <c r="G66" s="2490"/>
      <c r="H66" s="2498"/>
      <c r="I66" s="138"/>
      <c r="J66" s="3105"/>
      <c r="K66" s="2500" t="s">
        <v>2239</v>
      </c>
      <c r="L66" s="1751" t="e">
        <f>M49*0.5%</f>
        <v>#VALUE!</v>
      </c>
      <c r="M66" s="24" t="e">
        <f>IF(L66&gt;0.5,0.5,ROUND(L66,0))</f>
        <v>#VALUE!</v>
      </c>
      <c r="N66" s="138" t="s">
        <v>2240</v>
      </c>
      <c r="Z66" s="2424"/>
      <c r="AI66" s="2425"/>
    </row>
    <row r="67" spans="1:35" ht="14.25" customHeight="1">
      <c r="A67" s="203" t="s">
        <v>773</v>
      </c>
      <c r="B67" s="204" t="s">
        <v>2241</v>
      </c>
      <c r="C67" s="207">
        <f ca="1">C63-C66</f>
        <v>4799</v>
      </c>
      <c r="D67" s="200" t="s">
        <v>32</v>
      </c>
      <c r="E67" s="201"/>
      <c r="F67" s="2490"/>
      <c r="G67" s="2490"/>
      <c r="H67" s="2498"/>
      <c r="I67" s="138"/>
      <c r="J67" s="3105"/>
      <c r="K67" s="2500" t="s">
        <v>2242</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2243</v>
      </c>
      <c r="C68" s="210">
        <f ca="1">IF(C67&lt;=0,0,ROUND(C67*D68,0))</f>
        <v>264</v>
      </c>
      <c r="D68" s="211">
        <f>'数据-取费表'!B41</f>
        <v>5.5000000000000007E-2</v>
      </c>
      <c r="E68" s="212"/>
      <c r="F68" s="2490"/>
      <c r="G68" s="2490"/>
      <c r="H68" s="2498"/>
      <c r="I68" s="138"/>
      <c r="J68" s="3105"/>
      <c r="K68" s="2500" t="s">
        <v>2244</v>
      </c>
      <c r="L68" s="1751"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105"/>
      <c r="K69" s="2500" t="s">
        <v>2245</v>
      </c>
      <c r="L69" s="2506"/>
      <c r="M69" s="24" t="e">
        <f>ROUND(SUM(M63:M68),0)</f>
        <v>#VALUE!</v>
      </c>
      <c r="N69" s="1752"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9" t="s">
        <v>2246</v>
      </c>
      <c r="B70" s="3150"/>
      <c r="C70" s="3150"/>
      <c r="D70" s="3150"/>
      <c r="E70" s="3150"/>
      <c r="F70" s="3150"/>
      <c r="G70" s="3150"/>
      <c r="H70" s="315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0" t="s">
        <v>2227</v>
      </c>
      <c r="B71" s="3141"/>
      <c r="C71" s="1803"/>
      <c r="D71" s="1803"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4799</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24</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46" t="s">
        <v>2255</v>
      </c>
      <c r="F76" s="3145"/>
      <c r="G76" s="3145"/>
      <c r="H76" s="314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24</v>
      </c>
      <c r="D78" s="226">
        <f>'数据-取费表'!B43</f>
        <v>5.000000000000001E-3</v>
      </c>
      <c r="E78" s="3137" t="s">
        <v>2260</v>
      </c>
      <c r="F78" s="3138"/>
      <c r="G78" s="3138"/>
      <c r="H78" s="313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2261</v>
      </c>
      <c r="C79" s="207">
        <f ca="1">C72-C73</f>
        <v>4775</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198.95833333333334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2857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9" t="s">
        <v>2264</v>
      </c>
      <c r="B83" s="3150"/>
      <c r="C83" s="3150"/>
      <c r="D83" s="3150"/>
      <c r="E83" s="3150"/>
      <c r="F83" s="3150"/>
      <c r="G83" s="3150"/>
      <c r="H83" s="315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0" t="s">
        <v>2227</v>
      </c>
      <c r="B84" s="3141"/>
      <c r="C84" s="1803"/>
      <c r="D84" s="1803"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4799</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24</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1799"/>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IF(H91="——",'成本法（商业）'!C33,I91)</f>
        <v>0</v>
      </c>
      <c r="D91" s="226"/>
      <c r="E91" s="3137" t="s">
        <v>2273</v>
      </c>
      <c r="F91" s="3138"/>
      <c r="G91" s="3138"/>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37" t="s">
        <v>2277</v>
      </c>
      <c r="F92" s="3138"/>
      <c r="G92" s="3138"/>
      <c r="H92" s="313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24</v>
      </c>
      <c r="D93" s="226">
        <f>'数据-取费表'!B43</f>
        <v>5.000000000000001E-3</v>
      </c>
      <c r="E93" s="3137" t="s">
        <v>2260</v>
      </c>
      <c r="F93" s="3138"/>
      <c r="G93" s="3138"/>
      <c r="H93" s="313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185" t="s">
        <v>2281</v>
      </c>
      <c r="F94" s="3186"/>
      <c r="G94" s="3186"/>
      <c r="H94" s="318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2261</v>
      </c>
      <c r="C95" s="207">
        <f ca="1">ROUND(C85-C86,0)</f>
        <v>4775</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198.95833333333334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2857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2282</v>
      </c>
      <c r="B99" s="2419"/>
      <c r="C99" s="2419"/>
      <c r="D99" s="2419"/>
      <c r="E99" s="2168"/>
      <c r="F99" s="2168"/>
      <c r="G99" s="2168"/>
      <c r="H99" s="2167"/>
      <c r="I99" s="138"/>
    </row>
    <row r="100" spans="1:35" ht="18.75" customHeight="1">
      <c r="A100" s="3085" t="s">
        <v>2283</v>
      </c>
      <c r="B100" s="3086"/>
      <c r="C100" s="3086"/>
      <c r="D100" s="3121"/>
      <c r="E100" s="3086" t="s">
        <v>2284</v>
      </c>
      <c r="F100" s="3086"/>
      <c r="G100" s="3086"/>
      <c r="H100" s="3121"/>
      <c r="I100" s="138"/>
    </row>
    <row r="101" spans="1:35" ht="18.75" customHeight="1">
      <c r="A101" s="3129" t="s">
        <v>2285</v>
      </c>
      <c r="B101" s="3130"/>
      <c r="C101" s="736" t="str">
        <f>C4</f>
        <v>成本法（商业）</v>
      </c>
      <c r="D101" s="737" t="str">
        <f>D4</f>
        <v>收益法</v>
      </c>
      <c r="E101" s="3101" t="s">
        <v>2286</v>
      </c>
      <c r="F101" s="3102"/>
      <c r="G101" s="2521" t="s">
        <v>2287</v>
      </c>
      <c r="H101" s="1047">
        <f ca="1">H118</f>
        <v>5039</v>
      </c>
      <c r="I101" s="138"/>
    </row>
    <row r="102" spans="1:35" ht="18.75" customHeight="1">
      <c r="A102" s="3131" t="s">
        <v>2288</v>
      </c>
      <c r="B102" s="2521" t="s">
        <v>2287</v>
      </c>
      <c r="C102" s="736">
        <f ca="1">C19</f>
        <v>5045</v>
      </c>
      <c r="D102" s="737">
        <f ca="1">D19</f>
        <v>5035</v>
      </c>
      <c r="E102" s="3101"/>
      <c r="F102" s="3102"/>
      <c r="G102" s="2521" t="s">
        <v>2289</v>
      </c>
      <c r="H102" s="371">
        <f ca="1">I118</f>
        <v>10283</v>
      </c>
      <c r="I102" s="138"/>
    </row>
    <row r="103" spans="1:35" ht="42.75" customHeight="1">
      <c r="A103" s="3131"/>
      <c r="B103" s="2521" t="s">
        <v>2289</v>
      </c>
      <c r="C103" s="738">
        <f ca="1">C20</f>
        <v>10296</v>
      </c>
      <c r="D103" s="739">
        <f ca="1">D20</f>
        <v>10275</v>
      </c>
      <c r="E103" s="3095" t="s">
        <v>2290</v>
      </c>
      <c r="F103" s="3096"/>
      <c r="G103" s="2522" t="s">
        <v>2291</v>
      </c>
      <c r="H103" s="1047">
        <f>IF(D36="正常操作",H104+H105+H106,H105+H106)</f>
        <v>0</v>
      </c>
      <c r="I103" s="138"/>
    </row>
    <row r="104" spans="1:35" ht="18.75" customHeight="1">
      <c r="A104" s="3131" t="s">
        <v>2292</v>
      </c>
      <c r="B104" s="2523" t="s">
        <v>2287</v>
      </c>
      <c r="C104" s="740">
        <f ca="1">H118</f>
        <v>5039</v>
      </c>
      <c r="D104" s="741"/>
      <c r="E104" s="2268" t="s">
        <v>2293</v>
      </c>
      <c r="F104" s="2260"/>
      <c r="G104" s="2522" t="s">
        <v>2291</v>
      </c>
      <c r="H104" s="1048">
        <f>IF(D36="同一抵押权人同一抵押物续贷",C36&amp;"（未扣减，详见特别提示）",C36)</f>
        <v>0</v>
      </c>
      <c r="I104" s="138"/>
    </row>
    <row r="105" spans="1:35" ht="18.75" customHeight="1" thickBot="1">
      <c r="A105" s="3143"/>
      <c r="B105" s="2524" t="s">
        <v>2289</v>
      </c>
      <c r="C105" s="742">
        <f ca="1">I118</f>
        <v>10283</v>
      </c>
      <c r="D105" s="743"/>
      <c r="E105" s="2268" t="s">
        <v>2294</v>
      </c>
      <c r="F105" s="2260"/>
      <c r="G105" s="2522" t="s">
        <v>2291</v>
      </c>
      <c r="H105" s="1048">
        <f>C37</f>
        <v>0</v>
      </c>
      <c r="I105" s="138"/>
    </row>
    <row r="106" spans="1:35" ht="18.75" customHeight="1">
      <c r="A106" s="2419" t="s">
        <v>2295</v>
      </c>
      <c r="B106" s="2419"/>
      <c r="C106" s="2419"/>
      <c r="D106" s="2419"/>
      <c r="E106" s="2525" t="s">
        <v>2296</v>
      </c>
      <c r="F106" s="2260"/>
      <c r="G106" s="2522" t="s">
        <v>2291</v>
      </c>
      <c r="H106" s="1048">
        <f>C38</f>
        <v>0</v>
      </c>
      <c r="I106" s="138"/>
    </row>
    <row r="107" spans="1:35" ht="18.75" customHeight="1">
      <c r="A107" s="138"/>
      <c r="B107" s="138"/>
      <c r="C107" s="138"/>
      <c r="D107" s="138"/>
      <c r="E107" s="3132" t="str">
        <f>IF(项目基本情况!E8="已注销","——","3.房地产抵押价值")</f>
        <v>3.房地产抵押价值</v>
      </c>
      <c r="F107" s="3102"/>
      <c r="G107" s="2521" t="s">
        <v>2287</v>
      </c>
      <c r="H107" s="1047">
        <f ca="1">IF(E107="——","——",H101-H103)</f>
        <v>5039</v>
      </c>
      <c r="I107" s="138"/>
    </row>
    <row r="108" spans="1:35" ht="18.75" customHeight="1">
      <c r="A108" s="138"/>
      <c r="B108" s="138"/>
      <c r="C108" s="138"/>
      <c r="D108" s="138"/>
      <c r="E108" s="3132"/>
      <c r="F108" s="3102"/>
      <c r="G108" s="2521" t="s">
        <v>2289</v>
      </c>
      <c r="H108" s="371">
        <f ca="1">ROUND(H107*10000/'数据-汇总表'!E3,0)</f>
        <v>5844</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02"/>
      <c r="G109" s="2521" t="s">
        <v>2287</v>
      </c>
      <c r="H109" s="348" t="str">
        <f>IF(E109="——","——",H101-H105-H106)</f>
        <v>——</v>
      </c>
      <c r="I109" s="138"/>
    </row>
    <row r="110" spans="1:35" ht="18.75" customHeight="1">
      <c r="A110" s="138"/>
      <c r="B110" s="138"/>
      <c r="C110" s="138"/>
      <c r="D110" s="138"/>
      <c r="E110" s="3132"/>
      <c r="F110" s="3102"/>
      <c r="G110" s="2521" t="s">
        <v>2289</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1" t="s">
        <v>2287</v>
      </c>
      <c r="H111" s="1047" t="str">
        <f>IF(E111="——","——",N59)</f>
        <v>——</v>
      </c>
      <c r="I111" s="138"/>
    </row>
    <row r="112" spans="1:35" ht="18.75" customHeight="1" thickBot="1">
      <c r="A112" s="138"/>
      <c r="B112" s="138"/>
      <c r="C112" s="138"/>
      <c r="D112" s="138"/>
      <c r="E112" s="3135"/>
      <c r="F112" s="3136"/>
      <c r="G112" s="2526" t="s">
        <v>2289</v>
      </c>
      <c r="H112" s="790" t="str">
        <f>IF(E111="——","——",N61)</f>
        <v>——</v>
      </c>
      <c r="I112" s="138"/>
    </row>
    <row r="113" spans="1:11" ht="18.75" customHeight="1">
      <c r="A113" s="138"/>
      <c r="B113" s="138"/>
      <c r="C113" s="138"/>
      <c r="D113" s="138"/>
      <c r="E113" s="3144" t="s">
        <v>2295</v>
      </c>
      <c r="F113" s="3144"/>
      <c r="G113" s="3144"/>
      <c r="H113" s="3144"/>
      <c r="I113" s="138"/>
    </row>
    <row r="114" spans="1:11" ht="3.75" customHeight="1">
      <c r="A114" s="2419"/>
      <c r="B114" s="2419"/>
      <c r="C114" s="2419"/>
      <c r="D114" s="2419"/>
      <c r="E114" s="2497"/>
      <c r="F114" s="2497"/>
      <c r="G114" s="2497"/>
      <c r="H114" s="2497"/>
      <c r="I114" s="2419"/>
    </row>
    <row r="115" spans="1:11" ht="18.75" customHeight="1">
      <c r="A115" s="3157" t="s">
        <v>2297</v>
      </c>
      <c r="B115" s="3158"/>
      <c r="C115" s="3158"/>
      <c r="D115" s="3158"/>
      <c r="E115" s="3158"/>
      <c r="F115" s="3158"/>
      <c r="G115" s="3158"/>
      <c r="H115" s="3158"/>
      <c r="I115" s="3159"/>
    </row>
    <row r="116" spans="1:11" ht="27" customHeight="1">
      <c r="A116" s="3064" t="s">
        <v>2298</v>
      </c>
      <c r="B116" s="3111" t="s">
        <v>2299</v>
      </c>
      <c r="C116" s="3111" t="s">
        <v>2300</v>
      </c>
      <c r="D116" s="3117" t="s">
        <v>2301</v>
      </c>
      <c r="E116" s="3118"/>
      <c r="F116" s="3153" t="s">
        <v>2302</v>
      </c>
      <c r="G116" s="3153"/>
      <c r="H116" s="3064" t="s">
        <v>2303</v>
      </c>
      <c r="I116" s="3064"/>
    </row>
    <row r="117" spans="1:11" ht="18.75" customHeight="1">
      <c r="A117" s="3064"/>
      <c r="B117" s="3112"/>
      <c r="C117" s="3112"/>
      <c r="D117" s="1797" t="s">
        <v>2304</v>
      </c>
      <c r="E117" s="1797" t="s">
        <v>2305</v>
      </c>
      <c r="F117" s="1797" t="s">
        <v>2304</v>
      </c>
      <c r="G117" s="1797" t="s">
        <v>2306</v>
      </c>
      <c r="H117" s="1797" t="s">
        <v>2304</v>
      </c>
      <c r="I117" s="1797" t="s">
        <v>2306</v>
      </c>
    </row>
    <row r="118" spans="1:11" ht="24.75" customHeight="1">
      <c r="A118" s="2527" t="str">
        <f>项目基本情况!S2</f>
        <v>北京市大兴区永兴路7号院6号楼-101号商业用房房地产</v>
      </c>
      <c r="B118" s="1797">
        <f>M18</f>
        <v>4900.1399999999994</v>
      </c>
      <c r="C118" s="1797">
        <f>M19</f>
        <v>1208.58</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5039</v>
      </c>
      <c r="I118" s="1797">
        <f ca="1">ROUND(IF(D32="楼面单价",C32,H118*10000/B118),0)</f>
        <v>10283</v>
      </c>
    </row>
    <row r="119" spans="1:11" ht="18.75" customHeight="1">
      <c r="A119" s="3064" t="s">
        <v>2307</v>
      </c>
      <c r="B119" s="3064"/>
      <c r="C119" s="3064"/>
      <c r="D119" s="3113" t="e">
        <f ca="1">NUMBERSTRING(INT(D118*10000),2)&amp;"元整"</f>
        <v>#REF!</v>
      </c>
      <c r="E119" s="3114"/>
      <c r="F119" s="3113" t="e">
        <f ca="1">NUMBERSTRING(INT(F118*10000),2)&amp;"元整"</f>
        <v>#REF!</v>
      </c>
      <c r="G119" s="3114"/>
      <c r="H119" s="3113" t="str">
        <f ca="1">NUMBERSTRING(INT(H118*10000),2)&amp;"元整"</f>
        <v>伍仟零叁拾玖万元整</v>
      </c>
      <c r="I119" s="3114"/>
    </row>
    <row r="120" spans="1:11" ht="18.75" customHeight="1">
      <c r="A120" s="3108" t="str">
        <f>IF(项目基本情况!B9="房地产市场价值","",MID(E103,3,LEN(E103)-2))</f>
        <v/>
      </c>
      <c r="B120" s="3109"/>
      <c r="C120" s="3110"/>
      <c r="D120" s="3108">
        <f>H103</f>
        <v>0</v>
      </c>
      <c r="E120" s="3109"/>
      <c r="F120" s="3109"/>
      <c r="G120" s="3109"/>
      <c r="H120" s="3109"/>
      <c r="I120" s="3110"/>
      <c r="K120" s="2424" t="str">
        <f>IF(D120=0,"故，本次评估不存在"&amp;A120,"故，本次评估"&amp;A120&amp;"为人民币"&amp;D120&amp;"万元整。")</f>
        <v>故，本次评估不存在</v>
      </c>
    </row>
    <row r="121" spans="1:11" ht="18.75" customHeight="1">
      <c r="A121" s="3154" t="s">
        <v>2307</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
      </c>
      <c r="B122" s="3119"/>
      <c r="C122" s="3119"/>
      <c r="D122" s="3108">
        <f ca="1">H107</f>
        <v>5039</v>
      </c>
      <c r="E122" s="3109"/>
      <c r="F122" s="3109"/>
      <c r="G122" s="3109"/>
      <c r="H122" s="3109"/>
      <c r="I122" s="3110"/>
    </row>
    <row r="123" spans="1:11" ht="18.75" customHeight="1">
      <c r="A123" s="3064" t="s">
        <v>2307</v>
      </c>
      <c r="B123" s="3064"/>
      <c r="C123" s="3064"/>
      <c r="D123" s="3113" t="str">
        <f ca="1">NUMBERSTRING(INT(D122*10000),2)&amp;"元整"</f>
        <v>伍仟零叁拾玖万元整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64" t="s">
        <v>2307</v>
      </c>
      <c r="B125" s="3064"/>
      <c r="C125" s="3064"/>
      <c r="D125" s="3113" t="e">
        <f>NUMBERSTRING(INT(D124*10000),2)&amp;"元整"</f>
        <v>#VALUE!</v>
      </c>
      <c r="E125" s="3115"/>
      <c r="F125" s="3115"/>
      <c r="G125" s="3115"/>
      <c r="H125" s="3115"/>
      <c r="I125" s="3114"/>
    </row>
    <row r="126" spans="1:11" ht="18.75" customHeight="1">
      <c r="A126" s="3119" t="str">
        <f>IF(项目基本情况!B9="房地产市场价值","",MID(E111,3,LEN(E111)-2))</f>
        <v/>
      </c>
      <c r="B126" s="3119"/>
      <c r="C126" s="3119"/>
      <c r="D126" s="3108" t="str">
        <f>H111</f>
        <v>——</v>
      </c>
      <c r="E126" s="3109"/>
      <c r="F126" s="3109"/>
      <c r="G126" s="3109"/>
      <c r="H126" s="3109"/>
      <c r="I126" s="3110"/>
    </row>
    <row r="127" spans="1:11" ht="18.75" customHeight="1">
      <c r="A127" s="3064" t="s">
        <v>2307</v>
      </c>
      <c r="B127" s="3064"/>
      <c r="C127" s="3064"/>
      <c r="D127" s="3113" t="e">
        <f>NUMBERSTRING(INT(D126*10000),2)&amp;"元整"</f>
        <v>#VALUE!</v>
      </c>
      <c r="E127" s="3115"/>
      <c r="F127" s="3115"/>
      <c r="G127" s="3115"/>
      <c r="H127" s="3115"/>
      <c r="I127" s="3114"/>
    </row>
    <row r="128" spans="1:11" ht="21.75" customHeight="1">
      <c r="A128" s="3116" t="s">
        <v>2308</v>
      </c>
      <c r="B128" s="3116"/>
      <c r="C128" s="3116"/>
      <c r="D128" s="3116"/>
      <c r="E128" s="3116"/>
      <c r="F128" s="3116"/>
      <c r="G128" s="3116"/>
      <c r="H128" s="3116"/>
      <c r="I128" s="3116"/>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2518</v>
      </c>
      <c r="B1" s="2585" t="s">
        <v>2632</v>
      </c>
      <c r="C1" s="1636" t="s">
        <v>2520</v>
      </c>
      <c r="D1" s="1623"/>
      <c r="E1" s="2660"/>
      <c r="F1" s="2587"/>
      <c r="G1" s="1633" t="s">
        <v>2633</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2317</v>
      </c>
      <c r="B2" s="1420" t="e">
        <f ca="1">IF(C2="——",ROUND(C49*D3/10000,0),ROUND(C49*D3/10000,0)-D2)</f>
        <v>#DIV/0!</v>
      </c>
      <c r="C2" s="2589"/>
      <c r="D2" s="1367" t="e">
        <f ca="1">SUMIF(INDIRECT("'"&amp;F2&amp;"'"&amp;"!A:A"),"承租人权益价值",INDIRECT("'"&amp;F2&amp;"'"&amp;"!c:c"))</f>
        <v>#REF!</v>
      </c>
      <c r="E2" s="2590" t="s">
        <v>2318</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2319</v>
      </c>
      <c r="B3" s="609" t="e">
        <f ca="1">IF(C2="——",C49,ROUND(B2*10000/D3,0))</f>
        <v>#DIV/0!</v>
      </c>
      <c r="C3" s="400" t="s">
        <v>2634</v>
      </c>
      <c r="D3" s="399">
        <f>IF(D1="",'数据-汇总表'!E3,SUMIF('数据-汇总表'!$C19:$C33,D1,'数据-汇总表'!$E19:$E33))</f>
        <v>8622.76</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91" t="s">
        <v>2638</v>
      </c>
      <c r="AC4" s="3188" t="s">
        <v>2639</v>
      </c>
    </row>
    <row r="5" spans="1:29"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91"/>
      <c r="AC5" s="3189"/>
    </row>
    <row r="6" spans="1:29" ht="15.75" thickBot="1">
      <c r="A6" s="406"/>
      <c r="B6" s="407"/>
      <c r="C6" s="3202" t="s">
        <v>2536</v>
      </c>
      <c r="D6" s="3203"/>
      <c r="E6" s="3204" t="s">
        <v>2536</v>
      </c>
      <c r="F6" s="3205"/>
      <c r="G6" s="3202" t="s">
        <v>2536</v>
      </c>
      <c r="H6" s="3203"/>
      <c r="I6" s="3202" t="s">
        <v>2536</v>
      </c>
      <c r="J6" s="3203"/>
      <c r="K6" s="610" t="s">
        <v>2537</v>
      </c>
      <c r="L6" s="1132"/>
      <c r="M6" s="1133"/>
      <c r="N6" s="1133"/>
      <c r="O6" s="1133"/>
      <c r="P6" s="3215"/>
      <c r="Q6" s="3216"/>
      <c r="R6" s="3196"/>
      <c r="S6" s="3197"/>
      <c r="T6" s="3217"/>
      <c r="U6" s="3218"/>
      <c r="V6" s="3191"/>
      <c r="W6" s="3191"/>
      <c r="X6" s="1815"/>
      <c r="Y6" s="3217"/>
      <c r="Z6" s="3218"/>
      <c r="AA6" s="3190"/>
      <c r="AB6" s="3191"/>
      <c r="AC6" s="3190"/>
    </row>
    <row r="7" spans="1:29" s="117" customFormat="1" ht="15.75" thickBot="1">
      <c r="A7" s="408" t="s">
        <v>2538</v>
      </c>
      <c r="B7" s="409"/>
      <c r="C7" s="410">
        <f>'数据-取费表'!B2</f>
        <v>43437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2" t="s">
        <v>2539</v>
      </c>
      <c r="Q7" s="3219"/>
      <c r="R7" s="770" t="s">
        <v>17</v>
      </c>
      <c r="S7" s="771">
        <f t="shared" ref="S7:S15" si="0">F7</f>
        <v>0</v>
      </c>
      <c r="T7" s="770" t="s">
        <v>17</v>
      </c>
      <c r="U7" s="771">
        <f t="shared" ref="U7:U15" si="1">H7</f>
        <v>0</v>
      </c>
      <c r="V7" s="770" t="s">
        <v>17</v>
      </c>
      <c r="W7" s="771">
        <f t="shared" ref="W7:W15" si="2">J7</f>
        <v>0</v>
      </c>
      <c r="X7" s="772"/>
      <c r="Y7" s="3192" t="s">
        <v>2539</v>
      </c>
      <c r="Z7" s="3193"/>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6"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6"/>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6"/>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6"/>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6"/>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6"/>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2549</v>
      </c>
      <c r="B15" s="69" t="s">
        <v>2643</v>
      </c>
      <c r="C15" s="260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0" t="s">
        <v>2550</v>
      </c>
      <c r="Q15" s="1812" t="str">
        <f t="shared" si="6"/>
        <v>商业繁华度</v>
      </c>
      <c r="R15" s="774" t="s">
        <v>17</v>
      </c>
      <c r="S15" s="775">
        <f t="shared" si="0"/>
        <v>100</v>
      </c>
      <c r="T15" s="774" t="s">
        <v>17</v>
      </c>
      <c r="U15" s="775">
        <f t="shared" si="1"/>
        <v>100</v>
      </c>
      <c r="V15" s="774" t="s">
        <v>17</v>
      </c>
      <c r="W15" s="775">
        <f t="shared" si="2"/>
        <v>100</v>
      </c>
      <c r="X15" s="1815"/>
      <c r="Y15" s="3222" t="s">
        <v>2550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1"/>
      <c r="Q16" s="1812"/>
      <c r="R16" s="774"/>
      <c r="S16" s="775"/>
      <c r="T16" s="774"/>
      <c r="U16" s="775"/>
      <c r="V16" s="774"/>
      <c r="W16" s="775"/>
      <c r="X16" s="1815"/>
      <c r="Y16" s="3223"/>
      <c r="Z16" s="1816"/>
      <c r="AA16" s="1813">
        <v>1</v>
      </c>
      <c r="AB16" s="1813">
        <v>1</v>
      </c>
      <c r="AC16" s="1813">
        <v>1</v>
      </c>
    </row>
    <row r="17" spans="1:29" ht="15">
      <c r="A17" s="428"/>
      <c r="B17" s="451" t="s">
        <v>2089</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1"/>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2"/>
      <c r="M18" s="1133"/>
      <c r="N18" s="1133"/>
      <c r="O18" s="1133"/>
      <c r="P18" s="3221"/>
      <c r="Q18" s="1812"/>
      <c r="R18" s="774"/>
      <c r="S18" s="775"/>
      <c r="T18" s="774"/>
      <c r="U18" s="775"/>
      <c r="V18" s="774"/>
      <c r="W18" s="775"/>
      <c r="X18" s="1815"/>
      <c r="Y18" s="3223"/>
      <c r="Z18" s="1816"/>
      <c r="AA18" s="1813">
        <v>1</v>
      </c>
      <c r="AB18" s="1813">
        <v>1</v>
      </c>
      <c r="AC18" s="1813">
        <v>1</v>
      </c>
    </row>
    <row r="19" spans="1:29" ht="15">
      <c r="A19" s="428"/>
      <c r="B19" s="451" t="s">
        <v>2644</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1"/>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2"/>
      <c r="M20" s="1133"/>
      <c r="N20" s="1133"/>
      <c r="O20" s="1133"/>
      <c r="P20" s="3221"/>
      <c r="Q20" s="1812"/>
      <c r="R20" s="774"/>
      <c r="S20" s="775"/>
      <c r="T20" s="774"/>
      <c r="U20" s="775"/>
      <c r="V20" s="774"/>
      <c r="W20" s="775"/>
      <c r="X20" s="1815"/>
      <c r="Y20" s="3223"/>
      <c r="Z20" s="1816"/>
      <c r="AA20" s="1813">
        <v>1</v>
      </c>
      <c r="AB20" s="1813">
        <v>1</v>
      </c>
      <c r="AC20" s="1813">
        <v>1</v>
      </c>
    </row>
    <row r="21" spans="1:29" ht="15">
      <c r="A21" s="428"/>
      <c r="B21" s="1386" t="s">
        <v>2645</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9"/>
      <c r="G22" s="447"/>
      <c r="H22" s="448"/>
      <c r="I22" s="447"/>
      <c r="J22" s="448"/>
      <c r="K22" s="1385"/>
      <c r="L22" s="1142"/>
      <c r="M22" s="1133"/>
      <c r="N22" s="1133"/>
      <c r="O22" s="1133"/>
      <c r="P22" s="3221"/>
      <c r="Q22" s="1812"/>
      <c r="R22" s="774"/>
      <c r="S22" s="775"/>
      <c r="T22" s="774"/>
      <c r="U22" s="775"/>
      <c r="V22" s="774"/>
      <c r="W22" s="775"/>
      <c r="X22" s="1815"/>
      <c r="Y22" s="3223"/>
      <c r="Z22" s="1816"/>
      <c r="AA22" s="1813">
        <v>1</v>
      </c>
      <c r="AB22" s="1813">
        <v>1</v>
      </c>
      <c r="AC22" s="1813">
        <v>1</v>
      </c>
    </row>
    <row r="23" spans="1:29" ht="15">
      <c r="A23" s="428"/>
      <c r="B23" s="451" t="s">
        <v>2092</v>
      </c>
      <c r="C23" s="2667"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1"/>
      <c r="Q23" s="1812" t="str">
        <f>B23</f>
        <v>自然及人文环境</v>
      </c>
      <c r="R23" s="774" t="s">
        <v>17</v>
      </c>
      <c r="S23" s="775">
        <f>F23</f>
        <v>100</v>
      </c>
      <c r="T23" s="774" t="s">
        <v>17</v>
      </c>
      <c r="U23" s="775">
        <f>H23</f>
        <v>100</v>
      </c>
      <c r="V23" s="774" t="s">
        <v>17</v>
      </c>
      <c r="W23" s="775">
        <f>J23</f>
        <v>100</v>
      </c>
      <c r="X23" s="1815"/>
      <c r="Y23" s="3223"/>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2"/>
      <c r="M24" s="1133"/>
      <c r="N24" s="1133"/>
      <c r="O24" s="1133"/>
      <c r="P24" s="3221"/>
      <c r="Q24" s="1812"/>
      <c r="R24" s="774"/>
      <c r="S24" s="775"/>
      <c r="T24" s="774"/>
      <c r="U24" s="775"/>
      <c r="V24" s="774"/>
      <c r="W24" s="775"/>
      <c r="X24" s="1815"/>
      <c r="Y24" s="3223"/>
      <c r="Z24" s="1816"/>
      <c r="AA24" s="1813">
        <v>1</v>
      </c>
      <c r="AB24" s="1813">
        <v>1</v>
      </c>
      <c r="AC24" s="1813">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1"/>
      <c r="Q25" s="1812" t="str">
        <f t="shared" ref="Q25:Q46" si="11">B25</f>
        <v>临街状况</v>
      </c>
      <c r="R25" s="774" t="s">
        <v>17</v>
      </c>
      <c r="S25" s="775">
        <f>F25</f>
        <v>100</v>
      </c>
      <c r="T25" s="774" t="s">
        <v>17</v>
      </c>
      <c r="U25" s="775">
        <f>H25</f>
        <v>100</v>
      </c>
      <c r="V25" s="774" t="s">
        <v>17</v>
      </c>
      <c r="W25" s="775">
        <f>J25</f>
        <v>100</v>
      </c>
      <c r="X25" s="1815"/>
      <c r="Y25" s="3223"/>
      <c r="Z25" s="1816" t="str">
        <f>Q25</f>
        <v>临街状况</v>
      </c>
      <c r="AA25" s="1813">
        <f t="shared" si="3"/>
        <v>1</v>
      </c>
      <c r="AB25" s="1813">
        <f t="shared" si="4"/>
        <v>1</v>
      </c>
      <c r="AC25" s="1813">
        <f t="shared" si="5"/>
        <v>1</v>
      </c>
    </row>
    <row r="26" spans="1:29" ht="15">
      <c r="A26" s="428"/>
      <c r="B26" s="1388" t="s">
        <v>2647</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1"/>
      <c r="Q26" s="1812" t="str">
        <f t="shared" si="11"/>
        <v>平面位置/可视性</v>
      </c>
      <c r="R26" s="774" t="s">
        <v>17</v>
      </c>
      <c r="S26" s="775">
        <f>F26</f>
        <v>100</v>
      </c>
      <c r="T26" s="774" t="s">
        <v>17</v>
      </c>
      <c r="U26" s="775">
        <f>H26</f>
        <v>100</v>
      </c>
      <c r="V26" s="774" t="s">
        <v>17</v>
      </c>
      <c r="W26" s="775">
        <f>J26</f>
        <v>100</v>
      </c>
      <c r="X26" s="1815"/>
      <c r="Y26" s="3223"/>
      <c r="Z26" s="1816" t="str">
        <f>Q26</f>
        <v>平面位置/可视性</v>
      </c>
      <c r="AA26" s="1813">
        <f t="shared" si="3"/>
        <v>1</v>
      </c>
      <c r="AB26" s="1813">
        <f t="shared" si="4"/>
        <v>1</v>
      </c>
      <c r="AC26" s="1813">
        <f t="shared" si="5"/>
        <v>1</v>
      </c>
    </row>
    <row r="27" spans="1:29" s="117" customFormat="1" ht="15">
      <c r="A27" s="431"/>
      <c r="B27" s="451" t="s">
        <v>2648</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21"/>
      <c r="Q27" s="1797" t="str">
        <f t="shared" si="11"/>
        <v>人流量</v>
      </c>
      <c r="R27" s="770" t="s">
        <v>17</v>
      </c>
      <c r="S27" s="771">
        <f>F27</f>
        <v>100</v>
      </c>
      <c r="T27" s="770" t="s">
        <v>17</v>
      </c>
      <c r="U27" s="771">
        <f>H27</f>
        <v>100</v>
      </c>
      <c r="V27" s="770" t="s">
        <v>17</v>
      </c>
      <c r="W27" s="771">
        <f>J27</f>
        <v>100</v>
      </c>
      <c r="X27" s="772"/>
      <c r="Y27" s="3223"/>
      <c r="Z27" s="55" t="str">
        <f>Q27</f>
        <v>人流量</v>
      </c>
      <c r="AA27" s="1813">
        <f>D27/F27</f>
        <v>1</v>
      </c>
      <c r="AB27" s="1813">
        <f>D27/H27</f>
        <v>1</v>
      </c>
      <c r="AC27" s="1813">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1"/>
      <c r="Q29" s="1812">
        <f t="shared" si="11"/>
        <v>111</v>
      </c>
      <c r="R29" s="774" t="s">
        <v>17</v>
      </c>
      <c r="S29" s="775">
        <f t="shared" si="12"/>
        <v>100</v>
      </c>
      <c r="T29" s="774" t="s">
        <v>17</v>
      </c>
      <c r="U29" s="775">
        <f t="shared" si="13"/>
        <v>100</v>
      </c>
      <c r="V29" s="774" t="s">
        <v>17</v>
      </c>
      <c r="W29" s="775">
        <f t="shared" si="14"/>
        <v>100</v>
      </c>
      <c r="X29" s="1815"/>
      <c r="Y29" s="322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1"/>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1"/>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1813">
        <f t="shared" si="5"/>
        <v>1</v>
      </c>
    </row>
    <row r="32" spans="1:29" ht="15">
      <c r="A32" s="440" t="s">
        <v>2553</v>
      </c>
      <c r="B32" s="71" t="s">
        <v>2650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24" t="s">
        <v>2555</v>
      </c>
      <c r="Q32" s="1812" t="str">
        <f t="shared" si="11"/>
        <v>商业类型</v>
      </c>
      <c r="R32" s="774" t="s">
        <v>17</v>
      </c>
      <c r="S32" s="775">
        <f t="shared" si="12"/>
        <v>100</v>
      </c>
      <c r="T32" s="774" t="s">
        <v>17</v>
      </c>
      <c r="U32" s="775">
        <f t="shared" si="13"/>
        <v>100</v>
      </c>
      <c r="V32" s="774" t="s">
        <v>17</v>
      </c>
      <c r="W32" s="775">
        <f t="shared" si="14"/>
        <v>100</v>
      </c>
      <c r="X32" s="1815"/>
      <c r="Y32" s="3227" t="s">
        <v>2555</v>
      </c>
      <c r="Z32" s="1816" t="str">
        <f t="shared" si="15"/>
        <v>商业类型</v>
      </c>
      <c r="AA32" s="1813">
        <f t="shared" si="3"/>
        <v>1</v>
      </c>
      <c r="AB32" s="1813">
        <f t="shared" si="4"/>
        <v>1</v>
      </c>
      <c r="AC32" s="1813">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3" t="e">
        <f t="shared" si="3"/>
        <v>#N/A</v>
      </c>
      <c r="AB33" s="1813" t="e">
        <f t="shared" si="4"/>
        <v>#N/A</v>
      </c>
      <c r="AC33" s="1813" t="e">
        <f t="shared" si="5"/>
        <v>#N/A</v>
      </c>
    </row>
    <row r="34" spans="1:29" ht="15">
      <c r="A34" s="472"/>
      <c r="B34" s="422" t="s">
        <v>2557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25"/>
      <c r="Q34" s="1812" t="str">
        <f t="shared" si="11"/>
        <v>建筑结构</v>
      </c>
      <c r="R34" s="774" t="s">
        <v>17</v>
      </c>
      <c r="S34" s="775">
        <f t="shared" si="12"/>
        <v>100</v>
      </c>
      <c r="T34" s="774" t="s">
        <v>17</v>
      </c>
      <c r="U34" s="775">
        <f t="shared" si="13"/>
        <v>100</v>
      </c>
      <c r="V34" s="774" t="s">
        <v>17</v>
      </c>
      <c r="W34" s="775">
        <f t="shared" si="14"/>
        <v>100</v>
      </c>
      <c r="X34" s="1815"/>
      <c r="Y34" s="3227"/>
      <c r="Z34" s="1816" t="str">
        <f t="shared" si="15"/>
        <v>建筑结构</v>
      </c>
      <c r="AA34" s="1813">
        <f t="shared" si="3"/>
        <v>1</v>
      </c>
      <c r="AB34" s="1813">
        <f t="shared" si="4"/>
        <v>1</v>
      </c>
      <c r="AC34" s="1813">
        <f t="shared" si="5"/>
        <v>1</v>
      </c>
    </row>
    <row r="35" spans="1:29" ht="15">
      <c r="A35" s="472"/>
      <c r="B35" s="422" t="s">
        <v>2651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25"/>
      <c r="Q35" s="1812" t="str">
        <f t="shared" si="11"/>
        <v>公共部分装修</v>
      </c>
      <c r="R35" s="774" t="s">
        <v>17</v>
      </c>
      <c r="S35" s="775">
        <f t="shared" si="12"/>
        <v>100</v>
      </c>
      <c r="T35" s="774" t="s">
        <v>17</v>
      </c>
      <c r="U35" s="775">
        <f t="shared" si="13"/>
        <v>100</v>
      </c>
      <c r="V35" s="774" t="s">
        <v>17</v>
      </c>
      <c r="W35" s="775">
        <f t="shared" si="14"/>
        <v>100</v>
      </c>
      <c r="X35" s="1815"/>
      <c r="Y35" s="3227"/>
      <c r="Z35" s="1816" t="str">
        <f t="shared" si="15"/>
        <v>公共部分装修</v>
      </c>
      <c r="AA35" s="1813">
        <f t="shared" si="3"/>
        <v>1</v>
      </c>
      <c r="AB35" s="1813">
        <f t="shared" si="4"/>
        <v>1</v>
      </c>
      <c r="AC35" s="1813">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5"/>
      <c r="Q36" s="1812" t="str">
        <f t="shared" si="11"/>
        <v>成新度</v>
      </c>
      <c r="R36" s="774" t="s">
        <v>17</v>
      </c>
      <c r="S36" s="775" t="e">
        <f t="shared" si="12"/>
        <v>#N/A</v>
      </c>
      <c r="T36" s="774" t="s">
        <v>17</v>
      </c>
      <c r="U36" s="775" t="e">
        <f t="shared" si="13"/>
        <v>#N/A</v>
      </c>
      <c r="V36" s="774" t="s">
        <v>17</v>
      </c>
      <c r="W36" s="775" t="e">
        <f t="shared" si="14"/>
        <v>#N/A</v>
      </c>
      <c r="X36" s="1815"/>
      <c r="Y36" s="3227"/>
      <c r="Z36" s="1816" t="str">
        <f t="shared" si="15"/>
        <v>成新度</v>
      </c>
      <c r="AA36" s="1813" t="e">
        <f t="shared" si="3"/>
        <v>#N/A</v>
      </c>
      <c r="AB36" s="1813" t="e">
        <f t="shared" si="4"/>
        <v>#N/A</v>
      </c>
      <c r="AC36" s="1813" t="e">
        <f t="shared" si="5"/>
        <v>#N/A</v>
      </c>
    </row>
    <row r="37" spans="1:29" s="117" customFormat="1" ht="15">
      <c r="A37" s="473"/>
      <c r="B37" s="422" t="s">
        <v>2653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25"/>
      <c r="Q37" s="1797"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2654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25" t="s">
        <v>2555</v>
      </c>
      <c r="Q38" s="1812" t="str">
        <f t="shared" si="11"/>
        <v>业态</v>
      </c>
      <c r="R38" s="774" t="s">
        <v>17</v>
      </c>
      <c r="S38" s="775">
        <f t="shared" si="12"/>
        <v>100</v>
      </c>
      <c r="T38" s="774" t="s">
        <v>17</v>
      </c>
      <c r="U38" s="775">
        <f t="shared" si="13"/>
        <v>100</v>
      </c>
      <c r="V38" s="774" t="s">
        <v>17</v>
      </c>
      <c r="W38" s="775">
        <f t="shared" si="14"/>
        <v>100</v>
      </c>
      <c r="X38" s="1815"/>
      <c r="Y38" s="3227" t="s">
        <v>2555</v>
      </c>
      <c r="Z38" s="1816" t="str">
        <f t="shared" si="15"/>
        <v>业态</v>
      </c>
      <c r="AA38" s="1813">
        <f t="shared" si="3"/>
        <v>1</v>
      </c>
      <c r="AB38" s="1813">
        <f t="shared" si="4"/>
        <v>1</v>
      </c>
      <c r="AC38" s="1813">
        <f t="shared" si="5"/>
        <v>1</v>
      </c>
    </row>
    <row r="39" spans="1:29" ht="15">
      <c r="A39" s="472"/>
      <c r="B39" s="422" t="s">
        <v>2655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25"/>
      <c r="Q39" s="1812" t="str">
        <f t="shared" si="11"/>
        <v>层高</v>
      </c>
      <c r="R39" s="774" t="s">
        <v>17</v>
      </c>
      <c r="S39" s="775">
        <f t="shared" si="12"/>
        <v>100</v>
      </c>
      <c r="T39" s="774" t="s">
        <v>17</v>
      </c>
      <c r="U39" s="775">
        <f t="shared" si="13"/>
        <v>100</v>
      </c>
      <c r="V39" s="774" t="s">
        <v>17</v>
      </c>
      <c r="W39" s="775">
        <f t="shared" si="14"/>
        <v>100</v>
      </c>
      <c r="X39" s="1815"/>
      <c r="Y39" s="3227"/>
      <c r="Z39" s="1816" t="str">
        <f t="shared" si="15"/>
        <v>层高</v>
      </c>
      <c r="AA39" s="1813">
        <f t="shared" si="3"/>
        <v>1</v>
      </c>
      <c r="AB39" s="1813">
        <f t="shared" si="4"/>
        <v>1</v>
      </c>
      <c r="AC39" s="1813">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5"/>
      <c r="Q40" s="1812" t="str">
        <f t="shared" si="11"/>
        <v>单套建筑面积</v>
      </c>
      <c r="R40" s="774" t="s">
        <v>17</v>
      </c>
      <c r="S40" s="775">
        <f t="shared" si="12"/>
        <v>100</v>
      </c>
      <c r="T40" s="774" t="s">
        <v>17</v>
      </c>
      <c r="U40" s="775">
        <f t="shared" si="13"/>
        <v>100</v>
      </c>
      <c r="V40" s="774" t="s">
        <v>17</v>
      </c>
      <c r="W40" s="775">
        <f t="shared" si="14"/>
        <v>100</v>
      </c>
      <c r="X40" s="1815"/>
      <c r="Y40" s="3227"/>
      <c r="Z40" s="1816" t="str">
        <f t="shared" si="15"/>
        <v>单套建筑面积</v>
      </c>
      <c r="AA40" s="1813">
        <f t="shared" si="3"/>
        <v>1</v>
      </c>
      <c r="AB40" s="1813">
        <f t="shared" si="4"/>
        <v>1</v>
      </c>
      <c r="AC40" s="1813">
        <f t="shared" si="5"/>
        <v>1</v>
      </c>
    </row>
    <row r="41" spans="1:29" s="471" customFormat="1" ht="15">
      <c r="A41" s="468"/>
      <c r="B41" s="1814"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3">
        <f t="shared" si="3"/>
        <v>1</v>
      </c>
      <c r="AB41" s="1813">
        <f t="shared" si="4"/>
        <v>1</v>
      </c>
      <c r="AC41" s="1813">
        <f t="shared" si="5"/>
        <v>1</v>
      </c>
    </row>
    <row r="42" spans="1:29" ht="15">
      <c r="A42" s="472"/>
      <c r="B42" s="422" t="s">
        <v>2658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25"/>
      <c r="Q42" s="1812" t="str">
        <f t="shared" si="11"/>
        <v>内部装修</v>
      </c>
      <c r="R42" s="774" t="s">
        <v>17</v>
      </c>
      <c r="S42" s="775">
        <f t="shared" si="12"/>
        <v>100</v>
      </c>
      <c r="T42" s="774" t="s">
        <v>17</v>
      </c>
      <c r="U42" s="775">
        <f t="shared" si="13"/>
        <v>100</v>
      </c>
      <c r="V42" s="774" t="s">
        <v>17</v>
      </c>
      <c r="W42" s="775">
        <f t="shared" si="14"/>
        <v>100</v>
      </c>
      <c r="X42" s="1815"/>
      <c r="Y42" s="3227"/>
      <c r="Z42" s="1816" t="str">
        <f t="shared" si="15"/>
        <v>内部装修</v>
      </c>
      <c r="AA42" s="1813">
        <f t="shared" si="3"/>
        <v>1</v>
      </c>
      <c r="AB42" s="1813">
        <f t="shared" si="4"/>
        <v>1</v>
      </c>
      <c r="AC42" s="1813">
        <f t="shared" si="5"/>
        <v>1</v>
      </c>
    </row>
    <row r="43" spans="1:29" ht="15">
      <c r="A43" s="472"/>
      <c r="B43" s="422" t="s">
        <v>2566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25"/>
      <c r="Q43" s="1812" t="str">
        <f t="shared" si="11"/>
        <v>内部装修维护情况</v>
      </c>
      <c r="R43" s="774" t="s">
        <v>17</v>
      </c>
      <c r="S43" s="775">
        <f t="shared" si="12"/>
        <v>100</v>
      </c>
      <c r="T43" s="774" t="s">
        <v>17</v>
      </c>
      <c r="U43" s="775">
        <f t="shared" si="13"/>
        <v>100</v>
      </c>
      <c r="V43" s="774" t="s">
        <v>17</v>
      </c>
      <c r="W43" s="775">
        <f t="shared" si="14"/>
        <v>100</v>
      </c>
      <c r="X43" s="1815"/>
      <c r="Y43" s="322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5"/>
      <c r="Q44" s="1797">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5"/>
      <c r="Q45" s="1812">
        <f t="shared" si="11"/>
        <v>111</v>
      </c>
      <c r="R45" s="774" t="s">
        <v>17</v>
      </c>
      <c r="S45" s="775">
        <f t="shared" si="12"/>
        <v>100</v>
      </c>
      <c r="T45" s="774" t="s">
        <v>17</v>
      </c>
      <c r="U45" s="775">
        <f t="shared" si="13"/>
        <v>100</v>
      </c>
      <c r="V45" s="774" t="s">
        <v>17</v>
      </c>
      <c r="W45" s="775">
        <f t="shared" si="14"/>
        <v>100</v>
      </c>
      <c r="X45" s="1815"/>
      <c r="Y45" s="3227"/>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6"/>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2567</v>
      </c>
      <c r="B47" s="480"/>
      <c r="C47" s="1409" t="s">
        <v>1</v>
      </c>
      <c r="D47" s="1410"/>
      <c r="E47" s="1411"/>
      <c r="F47" s="1412"/>
      <c r="G47" s="1413"/>
      <c r="H47" s="1414"/>
      <c r="I47" s="1411"/>
      <c r="J47" s="1414"/>
      <c r="K47" s="783"/>
      <c r="L47" s="1145"/>
      <c r="M47" s="1146"/>
      <c r="N47" s="1133"/>
      <c r="O47" s="1146"/>
      <c r="P47" s="3229" t="str">
        <f>A47</f>
        <v>成交单价（元/平方米）</v>
      </c>
      <c r="Q47" s="3229"/>
      <c r="R47" s="3191">
        <f>E47</f>
        <v>0</v>
      </c>
      <c r="S47" s="3191"/>
      <c r="T47" s="3191">
        <f>G47</f>
        <v>0</v>
      </c>
      <c r="U47" s="3191"/>
      <c r="V47" s="3191">
        <f>I47</f>
        <v>0</v>
      </c>
      <c r="W47" s="3191"/>
      <c r="X47" s="759"/>
      <c r="Y47" s="781"/>
      <c r="Z47" s="759"/>
      <c r="AA47" s="759"/>
      <c r="AB47" s="759"/>
      <c r="AC47" s="759"/>
    </row>
    <row r="48" spans="1:29" ht="15.75" thickBot="1">
      <c r="A48" s="486" t="s">
        <v>2659</v>
      </c>
      <c r="B48" s="487"/>
      <c r="C48" s="1415" t="e">
        <f>R49</f>
        <v>#DIV/0!</v>
      </c>
      <c r="D48" s="1416"/>
      <c r="E48" s="1417" t="e">
        <f>R48</f>
        <v>#DIV/0!</v>
      </c>
      <c r="F48" s="1417"/>
      <c r="G48" s="1415" t="e">
        <f>T48</f>
        <v>#DIV/0!</v>
      </c>
      <c r="H48" s="1416"/>
      <c r="I48" s="1417" t="e">
        <f>V48</f>
        <v>#DIV/0!</v>
      </c>
      <c r="J48" s="1416"/>
      <c r="K48" s="784"/>
      <c r="L48" s="1145"/>
      <c r="M48" s="1146"/>
      <c r="N48" s="1133"/>
      <c r="O48" s="1146"/>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2660</v>
      </c>
      <c r="B49" s="493"/>
      <c r="C49" s="1419" t="e">
        <f>R49</f>
        <v>#DIV/0!</v>
      </c>
      <c r="D49" s="1419"/>
      <c r="E49" s="1419"/>
      <c r="F49" s="1419"/>
      <c r="G49" s="1419"/>
      <c r="H49" s="1419"/>
      <c r="I49" s="1419"/>
      <c r="J49" s="1419"/>
      <c r="K49" s="785"/>
      <c r="L49" s="1145"/>
      <c r="M49" s="1146"/>
      <c r="N49" s="1133"/>
      <c r="O49" s="1146"/>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2538</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2540</v>
      </c>
      <c r="B61" s="510"/>
      <c r="C61" s="522" t="s">
        <v>2642</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2578</v>
      </c>
      <c r="B63" s="528" t="s">
        <v>2544</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2645</v>
      </c>
      <c r="C82" s="660" t="s">
        <v>2665</v>
      </c>
      <c r="D82" s="660" t="s">
        <v>2666</v>
      </c>
      <c r="E82" s="660" t="s">
        <v>2667</v>
      </c>
      <c r="F82" s="660" t="s">
        <v>2668</v>
      </c>
      <c r="G82" s="660" t="s">
        <v>2669</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2670</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2553</v>
      </c>
      <c r="B100" s="528" t="s">
        <v>2671</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2604</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2606</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2608</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2672</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2673</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2674</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2675</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2610</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17" stopIfTrue="1" operator="containsText" text="超过">
      <formula>NOT(ISERROR(SEARCH("超过",F52)))</formula>
    </cfRule>
  </conditionalFormatting>
  <conditionalFormatting sqref="H54">
    <cfRule type="containsText" dxfId="161" priority="15" stopIfTrue="1" operator="containsText" text="超过">
      <formula>NOT(ISERROR(SEARCH("超过",H54)))</formula>
    </cfRule>
  </conditionalFormatting>
  <conditionalFormatting sqref="F54">
    <cfRule type="containsText" dxfId="160" priority="14" stopIfTrue="1" operator="containsText" text="超过">
      <formula>NOT(ISERROR(SEARCH("超过",F54)))</formula>
    </cfRule>
  </conditionalFormatting>
  <conditionalFormatting sqref="F53 H53">
    <cfRule type="containsText" dxfId="159" priority="13" stopIfTrue="1" operator="containsText" text="超过">
      <formula>NOT(ISERROR(SEARCH("超过",F53)))</formula>
    </cfRule>
  </conditionalFormatting>
  <conditionalFormatting sqref="E52">
    <cfRule type="expression" dxfId="158" priority="12" stopIfTrue="1">
      <formula>$F$52="超过30%"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4">
    <cfRule type="expression" dxfId="155" priority="9" stopIfTrue="1">
      <formula>$H$54="超过30%"</formula>
    </cfRule>
  </conditionalFormatting>
  <conditionalFormatting sqref="G52">
    <cfRule type="expression" dxfId="154" priority="8" stopIfTrue="1">
      <formula>$H$52="超过30%"</formula>
    </cfRule>
  </conditionalFormatting>
  <conditionalFormatting sqref="G53">
    <cfRule type="expression" dxfId="153" priority="7" stopIfTrue="1">
      <formula>$H$53="超过20%"</formula>
    </cfRule>
  </conditionalFormatting>
  <conditionalFormatting sqref="J52">
    <cfRule type="containsText" dxfId="152" priority="6" stopIfTrue="1" operator="containsText" text="超过">
      <formula>NOT(ISERROR(SEARCH("超过",J52)))</formula>
    </cfRule>
  </conditionalFormatting>
  <conditionalFormatting sqref="J54">
    <cfRule type="containsText" dxfId="151" priority="5" stopIfTrue="1" operator="containsText" text="超过">
      <formula>NOT(ISERROR(SEARCH("超过",J54)))</formula>
    </cfRule>
  </conditionalFormatting>
  <conditionalFormatting sqref="J53">
    <cfRule type="containsText" dxfId="150" priority="4" stopIfTrue="1" operator="containsText" text="超过">
      <formula>NOT(ISERROR(SEARCH("超过",J53)))</formula>
    </cfRule>
  </conditionalFormatting>
  <conditionalFormatting sqref="I52">
    <cfRule type="expression" dxfId="149" priority="3" stopIfTrue="1">
      <formula>$J$52="超过30%"</formula>
    </cfRule>
  </conditionalFormatting>
  <conditionalFormatting sqref="I53">
    <cfRule type="expression" dxfId="148" priority="2" stopIfTrue="1">
      <formula>$J$53="超过20%"</formula>
    </cfRule>
  </conditionalFormatting>
  <conditionalFormatting sqref="I54">
    <cfRule type="expression" dxfId="14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9" t="str">
        <f>项目基本情况!B1</f>
        <v>北京市大兴区永兴路7号院6号楼-101号商业用房房地产市场价值预评估</v>
      </c>
      <c r="C37" s="2999"/>
      <c r="D37" s="2999"/>
      <c r="E37" s="2999"/>
      <c r="F37" s="2999"/>
      <c r="G37" s="2999"/>
      <c r="H37" s="2999"/>
      <c r="I37" s="2999"/>
    </row>
    <row r="38" spans="1:9">
      <c r="A38" s="1018"/>
      <c r="B38" s="1018"/>
    </row>
    <row r="39" spans="1:9">
      <c r="A39" s="1016" t="s">
        <v>818</v>
      </c>
      <c r="B39" s="1016" t="s">
        <v>820</v>
      </c>
    </row>
    <row r="40" spans="1:9">
      <c r="A40" s="1016"/>
      <c r="B40" s="1944" t="str">
        <f>项目基本情况!B5</f>
        <v>北京龙湖兴润置业有限公司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2997</v>
      </c>
      <c r="C1" s="3235" t="s">
        <v>2998</v>
      </c>
      <c r="D1" s="3236"/>
      <c r="E1" s="3236"/>
      <c r="F1" s="3236"/>
      <c r="G1" s="3236"/>
      <c r="H1" s="3236"/>
      <c r="I1" s="3236"/>
      <c r="J1" s="3236"/>
      <c r="K1" s="3236"/>
      <c r="L1" s="3236"/>
      <c r="M1" s="3236"/>
      <c r="N1" s="3236"/>
      <c r="O1" s="3236"/>
      <c r="P1" s="3236"/>
      <c r="Q1" s="3236"/>
      <c r="R1" s="3236"/>
      <c r="S1" s="3237"/>
      <c r="T1" s="1206" t="s">
        <v>2999</v>
      </c>
    </row>
    <row r="2" spans="1:45" s="707" customFormat="1">
      <c r="A2" s="1207"/>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3001</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3002</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3003</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3009</v>
      </c>
      <c r="E19" s="1794"/>
      <c r="F19" s="1794"/>
      <c r="G19" s="1794"/>
      <c r="H19" s="1282"/>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5"/>
      <c r="F20" s="1206" t="e">
        <f ca="1">SUMIF(INDIRECT("'"&amp;H20&amp;"'"&amp;"!A:A"),"承租人权益价值",INDIRECT("'"&amp;H20&amp;"'"&amp;"!c:c"))</f>
        <v>#REF!</v>
      </c>
      <c r="G20" s="1206"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03" t="s">
        <v>33</v>
      </c>
      <c r="D22" s="3104"/>
      <c r="E22" s="3104"/>
      <c r="F22" s="3104"/>
      <c r="G22" s="3104"/>
      <c r="H22" s="3104"/>
      <c r="I22" s="3104"/>
      <c r="J22" s="3104"/>
      <c r="K22" s="3104"/>
      <c r="L22" s="3104"/>
      <c r="M22" s="3104"/>
      <c r="N22" s="3104"/>
      <c r="O22" s="3104"/>
      <c r="P22" s="3104"/>
      <c r="Q22" s="323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9" t="s">
        <v>1373</v>
      </c>
      <c r="C1" s="242"/>
      <c r="D1" s="242"/>
      <c r="E1" s="242"/>
      <c r="F1" s="242"/>
      <c r="G1" s="1381">
        <f>MATCH(B1,'数据-取费表'!A6:A16,0)+5</f>
        <v>6</v>
      </c>
    </row>
    <row r="2" spans="1:9" s="244" customFormat="1" ht="18" customHeight="1">
      <c r="A2" s="245" t="s">
        <v>2317</v>
      </c>
      <c r="B2" s="246">
        <f ca="1">IF(D2="——",C52,C52-E2)</f>
        <v>5045</v>
      </c>
      <c r="C2" s="243" t="s">
        <v>2318</v>
      </c>
      <c r="D2" s="2550" t="s">
        <v>70</v>
      </c>
      <c r="E2" s="1442" t="e">
        <f ca="1">SUMIF(INDIRECT("'"&amp;G2&amp;"'"&amp;"!A:A"),"承租人权益价值",INDIRECT("'"&amp;G2&amp;"'"&amp;"!c:c"))</f>
        <v>#REF!</v>
      </c>
      <c r="F2" s="2551" t="s">
        <v>2318</v>
      </c>
      <c r="G2" s="2552"/>
    </row>
    <row r="3" spans="1:9" s="244" customFormat="1" ht="18" customHeight="1" thickBot="1">
      <c r="A3" s="247" t="s">
        <v>2319</v>
      </c>
      <c r="B3" s="248">
        <f ca="1">ROUND(B2*10000/(IF(B1="",'数据-汇总表'!E3,INDIRECT("'数据-取费表'!k"&amp;$G$1))),0)</f>
        <v>10296</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2273</v>
      </c>
      <c r="D5" s="255" t="s">
        <v>2324</v>
      </c>
      <c r="E5" s="256" t="s">
        <v>2325</v>
      </c>
      <c r="F5" s="256" t="s">
        <v>2326</v>
      </c>
      <c r="G5" s="257"/>
    </row>
    <row r="6" spans="1:9" s="258" customFormat="1" ht="13.5" customHeight="1">
      <c r="A6" s="951" t="s">
        <v>2327</v>
      </c>
      <c r="B6" s="259" t="s">
        <v>2328</v>
      </c>
      <c r="C6" s="260">
        <f ca="1">'基准地价修正（商业）'!E33+'基准地价修正（商业）'!E34+'基准地价修正（商业）'!V4+'基准地价修正（商业）'!V16</f>
        <v>2115</v>
      </c>
      <c r="D6" s="261"/>
      <c r="E6" s="262"/>
      <c r="F6" s="262"/>
      <c r="G6" s="263"/>
    </row>
    <row r="7" spans="1:9" s="258" customFormat="1" ht="13.5" customHeight="1">
      <c r="A7" s="951" t="s">
        <v>2329</v>
      </c>
      <c r="B7" s="259" t="s">
        <v>2330</v>
      </c>
      <c r="C7" s="264">
        <f ca="1">ROUND(C6*F7,0)</f>
        <v>65</v>
      </c>
      <c r="D7" s="264"/>
      <c r="E7" s="262"/>
      <c r="F7" s="265">
        <f>'数据-取费表'!B48+'数据-取费表'!B49</f>
        <v>3.0499999999999999E-2</v>
      </c>
      <c r="G7" s="263"/>
    </row>
    <row r="8" spans="1:9" s="267" customFormat="1">
      <c r="A8" s="951" t="s">
        <v>2331</v>
      </c>
      <c r="B8" s="259" t="s">
        <v>2332</v>
      </c>
      <c r="C8" s="264">
        <f ca="1">IF(G8="已包含在土地购买价格中","0",IF(B1="",'数据-取费表'!B29,IF(G9="全部缴纳",C9+C10,H9)))</f>
        <v>93</v>
      </c>
      <c r="D8" s="266"/>
      <c r="E8" s="264"/>
      <c r="F8" s="265"/>
      <c r="G8" s="2553" t="s">
        <v>3294</v>
      </c>
    </row>
    <row r="9" spans="1:9" s="258" customFormat="1" ht="13.5" customHeight="1">
      <c r="A9" s="952" t="s">
        <v>800</v>
      </c>
      <c r="B9" s="268" t="s">
        <v>2333</v>
      </c>
      <c r="C9" s="269">
        <f ca="1">ROUND(D9*E9/10000,0)</f>
        <v>0</v>
      </c>
      <c r="D9" s="1034">
        <f ca="1">IF(B1="",'数据-汇总表'!E5,IF(INDIRECT("'数据-取费表'!c"&amp;$G$1)="住宅",INDIRECT("'数据-取费表'!k"&amp;$G$1),0))</f>
        <v>0</v>
      </c>
      <c r="E9" s="269">
        <f>'数据-取费表'!B27</f>
        <v>150</v>
      </c>
      <c r="F9" s="265"/>
      <c r="G9" s="2554" t="s">
        <v>3295</v>
      </c>
      <c r="H9" s="1392"/>
      <c r="I9" s="2555" t="s">
        <v>2334</v>
      </c>
    </row>
    <row r="10" spans="1:9" s="258" customFormat="1" ht="13.5" customHeight="1">
      <c r="A10" s="952" t="s">
        <v>801</v>
      </c>
      <c r="B10" s="268" t="s">
        <v>2335</v>
      </c>
      <c r="C10" s="269">
        <f ca="1">ROUND(D10*E10/10000,0)</f>
        <v>93</v>
      </c>
      <c r="D10" s="1034">
        <f ca="1">IF(B1="",'数据-汇总表'!E6,IF(INDIRECT("'数据-取费表'!c"&amp;$G$1)="住宅",INDIRECT("'数据-取费表'!s"&amp;$G$1),INDIRECT("'数据-取费表'!k"&amp;$G$1)+INDIRECT("'数据-取费表'!s"&amp;$G$1)))</f>
        <v>4900.1399999999994</v>
      </c>
      <c r="E10" s="269">
        <f>'数据-取费表'!B28</f>
        <v>190</v>
      </c>
      <c r="F10" s="265"/>
      <c r="G10" s="270"/>
    </row>
    <row r="11" spans="1:9" s="258" customFormat="1" ht="13.5" hidden="1" customHeight="1">
      <c r="A11" s="271" t="s">
        <v>7</v>
      </c>
      <c r="B11" s="259" t="s">
        <v>2336</v>
      </c>
      <c r="C11" s="255"/>
      <c r="D11" s="1036"/>
      <c r="E11" s="262"/>
      <c r="F11" s="262"/>
      <c r="G11" s="263"/>
    </row>
    <row r="12" spans="1:9" s="258" customFormat="1" ht="13.5" hidden="1" customHeight="1">
      <c r="A12" s="271" t="s">
        <v>8</v>
      </c>
      <c r="B12" s="259" t="s">
        <v>2337</v>
      </c>
      <c r="C12" s="255">
        <v>0</v>
      </c>
      <c r="D12" s="1036"/>
      <c r="E12" s="272"/>
      <c r="F12" s="265">
        <v>3.0499999999999999E-2</v>
      </c>
      <c r="G12" s="263"/>
    </row>
    <row r="13" spans="1:9" s="258" customFormat="1" ht="13.5" hidden="1" customHeight="1">
      <c r="A13" s="271" t="s">
        <v>9</v>
      </c>
      <c r="B13" s="259" t="s">
        <v>2338</v>
      </c>
      <c r="C13" s="255"/>
      <c r="D13" s="1036"/>
      <c r="E13" s="262"/>
      <c r="F13" s="262"/>
      <c r="G13" s="263"/>
    </row>
    <row r="14" spans="1:9" s="258" customFormat="1" ht="13.5" hidden="1" customHeight="1">
      <c r="A14" s="271" t="s">
        <v>10</v>
      </c>
      <c r="B14" s="259" t="s">
        <v>2339</v>
      </c>
      <c r="C14" s="255"/>
      <c r="D14" s="1036"/>
      <c r="E14" s="262"/>
      <c r="F14" s="262"/>
      <c r="G14" s="263" t="s">
        <v>2340</v>
      </c>
    </row>
    <row r="15" spans="1:9" s="258" customFormat="1" ht="13.5" hidden="1" customHeight="1">
      <c r="A15" s="271" t="s">
        <v>11</v>
      </c>
      <c r="B15" s="259" t="s">
        <v>2341</v>
      </c>
      <c r="C15" s="264"/>
      <c r="D15" s="1036"/>
      <c r="E15" s="262"/>
      <c r="F15" s="262"/>
      <c r="G15" s="263" t="s">
        <v>2342</v>
      </c>
    </row>
    <row r="16" spans="1:9" s="258" customFormat="1" ht="13.5" hidden="1" customHeight="1">
      <c r="A16" s="271" t="s">
        <v>12</v>
      </c>
      <c r="B16" s="259" t="s">
        <v>2339</v>
      </c>
      <c r="C16" s="264"/>
      <c r="D16" s="1036"/>
      <c r="E16" s="262"/>
      <c r="F16" s="262"/>
      <c r="G16" s="263"/>
    </row>
    <row r="17" spans="1:7" s="258" customFormat="1" ht="13.5" hidden="1" customHeight="1">
      <c r="A17" s="271" t="s">
        <v>13</v>
      </c>
      <c r="B17" s="259" t="s">
        <v>2343</v>
      </c>
      <c r="C17" s="273"/>
      <c r="D17" s="1037"/>
      <c r="E17" s="273"/>
      <c r="F17" s="273"/>
      <c r="G17" s="263" t="s">
        <v>2342</v>
      </c>
    </row>
    <row r="18" spans="1:7" s="258" customFormat="1" ht="13.5" hidden="1" customHeight="1">
      <c r="A18" s="271" t="s">
        <v>14</v>
      </c>
      <c r="B18" s="259" t="s">
        <v>2344</v>
      </c>
      <c r="C18" s="264">
        <v>0</v>
      </c>
      <c r="D18" s="1036"/>
      <c r="E18" s="262"/>
      <c r="F18" s="265">
        <v>3.0499999999999999E-2</v>
      </c>
      <c r="G18" s="263" t="s">
        <v>2345</v>
      </c>
    </row>
    <row r="19" spans="1:7" s="267" customFormat="1" ht="13.5" customHeight="1">
      <c r="A19" s="299" t="s">
        <v>2346</v>
      </c>
      <c r="B19" s="254" t="s">
        <v>2347</v>
      </c>
      <c r="C19" s="255" t="str">
        <f>IF(G19="已包含在土地取得成本中","0",ROUND(D19*E19/10000,0))</f>
        <v>0</v>
      </c>
      <c r="D19" s="1038">
        <f ca="1">D9+D10</f>
        <v>4900.1399999999994</v>
      </c>
      <c r="E19" s="255">
        <f>'数据-取费表'!B31</f>
        <v>100</v>
      </c>
      <c r="F19" s="275"/>
      <c r="G19" s="2553" t="s">
        <v>3296</v>
      </c>
    </row>
    <row r="20" spans="1:7" s="258" customFormat="1" ht="13.5" customHeight="1">
      <c r="A20" s="299" t="s">
        <v>2348</v>
      </c>
      <c r="B20" s="254" t="s">
        <v>2349</v>
      </c>
      <c r="C20" s="276">
        <f ca="1">ROUND((C5+C19)*F20,0)</f>
        <v>45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6">
        <f ca="1">ROUND(SUM(C23:C25),0)</f>
        <v>343</v>
      </c>
      <c r="D22" s="279">
        <f ca="1">C26</f>
        <v>1.4E-3</v>
      </c>
      <c r="E22" s="280" t="s">
        <v>2353</v>
      </c>
      <c r="F22" s="281">
        <f ca="1">'数据-取费表'!B40</f>
        <v>4.7500000000000001E-2</v>
      </c>
      <c r="G22" s="278" t="str">
        <f>IF('数据-取费表'!B22&lt;=1,"单利计息","复利计息")</f>
        <v>复利计息</v>
      </c>
    </row>
    <row r="23" spans="1:7" s="258" customFormat="1" ht="13.5" customHeight="1">
      <c r="A23" s="953" t="s">
        <v>2357</v>
      </c>
      <c r="B23" s="259" t="s">
        <v>2358</v>
      </c>
      <c r="C23" s="1357">
        <f ca="1">ROUND(IF('数据-取费表'!B22&lt;=1,C5*F22*'数据-取费表'!B23,C5*(POWER((1+F22),'数据-取费表'!B23)-1)),0)</f>
        <v>340</v>
      </c>
      <c r="D23" s="282"/>
      <c r="E23" s="282"/>
      <c r="F23" s="283"/>
      <c r="G23" s="284" t="s">
        <v>2359</v>
      </c>
    </row>
    <row r="24" spans="1:7" s="258" customFormat="1" ht="13.5" customHeight="1">
      <c r="A24" s="953" t="s">
        <v>2360</v>
      </c>
      <c r="B24" s="259" t="s">
        <v>2361</v>
      </c>
      <c r="C24" s="1357">
        <f ca="1">ROUND(IF('数据-取费表'!B22&lt;=1,C19*F22*('数据-取费表'!B19/2+'数据-取费表'!B21),C19*(POWER((1+F22),('数据-取费表'!B19/2+'数据-取费表'!B21))-1)),0)</f>
        <v>0</v>
      </c>
      <c r="D24" s="282"/>
      <c r="E24" s="282"/>
      <c r="F24" s="283"/>
      <c r="G24" s="284" t="s">
        <v>2362</v>
      </c>
    </row>
    <row r="25" spans="1:7" s="258" customFormat="1" ht="24">
      <c r="A25" s="953" t="s">
        <v>2363</v>
      </c>
      <c r="B25" s="259" t="s">
        <v>2364</v>
      </c>
      <c r="C25" s="1357">
        <f ca="1">ROUND(IF('数据-取费表'!B22&lt;=1,C20*F22*'数据-取费表'!B23/2,C20*(POWER((1+F22),'数据-取费表'!B23/2)-1)),0)</f>
        <v>3</v>
      </c>
      <c r="D25" s="282"/>
      <c r="E25" s="285"/>
      <c r="F25" s="283"/>
      <c r="G25" s="286" t="s">
        <v>2365</v>
      </c>
    </row>
    <row r="26" spans="1:7" s="258" customFormat="1">
      <c r="A26" s="953"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348</v>
      </c>
      <c r="D27" s="279">
        <f ca="1">C29</f>
        <v>3.0000000000000001E-3</v>
      </c>
      <c r="E27" s="280" t="s">
        <v>2369</v>
      </c>
      <c r="F27" s="290">
        <f ca="1">IF(B1="",'数据-取费表'!Q16,INDIRECT("'数据-取费表'!q"&amp;$G$1))</f>
        <v>0.15</v>
      </c>
      <c r="G27" s="291" t="s">
        <v>2370</v>
      </c>
    </row>
    <row r="28" spans="1:7" s="258" customFormat="1" ht="13.5" customHeight="1">
      <c r="A28" s="953" t="s">
        <v>791</v>
      </c>
      <c r="B28" s="292" t="s">
        <v>2371</v>
      </c>
      <c r="C28" s="293">
        <f ca="1">ROUND((C5+C19+C20)*F27*'数据-取费表'!B21/'数据-取费表'!B20,0)</f>
        <v>348</v>
      </c>
      <c r="D28" s="279"/>
      <c r="E28" s="280"/>
      <c r="F28" s="290"/>
      <c r="G28" s="291"/>
    </row>
    <row r="29" spans="1:7" s="258" customFormat="1" ht="13.5" customHeight="1">
      <c r="A29" s="953"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5.2400000000000002E-2</v>
      </c>
      <c r="D30" s="280" t="s">
        <v>2369</v>
      </c>
      <c r="E30" s="285"/>
      <c r="F30" s="281">
        <f>'数据-取费表'!B41</f>
        <v>5.5000000000000007E-2</v>
      </c>
      <c r="G30" s="278" t="s">
        <v>2375</v>
      </c>
    </row>
    <row r="31" spans="1:7" ht="16.5" customHeight="1">
      <c r="A31" s="253">
        <v>1</v>
      </c>
      <c r="B31" s="254" t="s">
        <v>2376</v>
      </c>
      <c r="C31" s="255">
        <f ca="1">ROUND((C5+C19+C20+C22+C27)/(1-C21-D22-D27-C30),0)</f>
        <v>3259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1384</v>
      </c>
      <c r="D33" s="276"/>
      <c r="E33" s="256"/>
      <c r="F33" s="285"/>
      <c r="G33" s="278"/>
    </row>
    <row r="34" spans="1:7" s="302" customFormat="1" ht="13.5" customHeight="1">
      <c r="A34" s="953" t="s">
        <v>791</v>
      </c>
      <c r="B34" s="259" t="s">
        <v>2380</v>
      </c>
      <c r="C34" s="264">
        <f ca="1">IF(B1="",IF(F34=100%,'数据-取费表'!M16,'数据-取费表'!O16),IF(F34=100%,INDIRECT("'数据-取费表'!m"&amp;$G$1)+INDIRECT("'数据-取费表'!t"&amp;$G$1),INDIRECT("'数据-取费表'!o"&amp;$G$1)+INDIRECT("'数据-取费表'!aq"&amp;$G$1)))</f>
        <v>1225</v>
      </c>
      <c r="D34" s="261"/>
      <c r="E34" s="264"/>
      <c r="F34" s="301">
        <f ca="1">IF('数据-取费表'!B24=0,1,IF(B1="",'数据-取费表'!N16,INDIRECT("'数据-取费表'!n"&amp;$G$1)))</f>
        <v>1</v>
      </c>
      <c r="G34" s="263" t="s">
        <v>2381</v>
      </c>
    </row>
    <row r="35" spans="1:7" ht="13.5" customHeight="1">
      <c r="A35" s="953" t="s">
        <v>796</v>
      </c>
      <c r="B35" s="259" t="s">
        <v>2382</v>
      </c>
      <c r="C35" s="264">
        <f ca="1">ROUND(C34*F35,0)</f>
        <v>43</v>
      </c>
      <c r="D35" s="264"/>
      <c r="E35" s="264"/>
      <c r="F35" s="303">
        <f>'数据-取费表'!B33</f>
        <v>3.5000000000000003E-2</v>
      </c>
      <c r="G35" s="263" t="s">
        <v>2383</v>
      </c>
    </row>
    <row r="36" spans="1:7" ht="24">
      <c r="A36" s="953"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3" t="s">
        <v>798</v>
      </c>
      <c r="B37" s="259" t="s">
        <v>2386</v>
      </c>
      <c r="C37" s="293">
        <f ca="1">ROUND(E37*D37*F34/10000,0)</f>
        <v>98</v>
      </c>
      <c r="D37" s="261">
        <f ca="1">D19</f>
        <v>4900.1399999999994</v>
      </c>
      <c r="E37" s="293">
        <f>'数据-取费表'!B35</f>
        <v>200</v>
      </c>
      <c r="F37" s="303"/>
      <c r="G37" s="305" t="s">
        <v>2387</v>
      </c>
    </row>
    <row r="38" spans="1:7" ht="13.5" customHeight="1">
      <c r="A38" s="953" t="s">
        <v>799</v>
      </c>
      <c r="B38" s="259" t="s">
        <v>2388</v>
      </c>
      <c r="C38" s="264">
        <f ca="1">ROUND(C34*F38,0)</f>
        <v>18</v>
      </c>
      <c r="D38" s="264"/>
      <c r="E38" s="264"/>
      <c r="F38" s="303">
        <f>'数据-取费表'!B36</f>
        <v>1.4999999999999999E-2</v>
      </c>
      <c r="G38" s="263" t="s">
        <v>2383</v>
      </c>
    </row>
    <row r="39" spans="1:7" s="258" customFormat="1" ht="13.5" customHeight="1">
      <c r="A39" s="299" t="s">
        <v>2389</v>
      </c>
      <c r="B39" s="254" t="s">
        <v>2390</v>
      </c>
      <c r="C39" s="276">
        <f ca="1">ROUND(C33*F20,0)</f>
        <v>28</v>
      </c>
      <c r="D39" s="276"/>
      <c r="E39" s="276"/>
      <c r="F39" s="277"/>
      <c r="G39" s="278" t="s">
        <v>2391</v>
      </c>
    </row>
    <row r="40" spans="1:7" s="258" customFormat="1" ht="13.5" customHeight="1">
      <c r="A40" s="299" t="s">
        <v>2392</v>
      </c>
      <c r="B40" s="254" t="s">
        <v>2393</v>
      </c>
      <c r="C40" s="1730">
        <f>F21</f>
        <v>0.02</v>
      </c>
      <c r="D40" s="280" t="s">
        <v>2394</v>
      </c>
      <c r="E40" s="276"/>
      <c r="F40" s="277"/>
      <c r="G40" s="278" t="s">
        <v>2395</v>
      </c>
    </row>
    <row r="41" spans="1:7" s="258" customFormat="1" ht="13.5" customHeight="1">
      <c r="A41" s="299" t="s">
        <v>2396</v>
      </c>
      <c r="B41" s="254" t="s">
        <v>2397</v>
      </c>
      <c r="C41" s="276">
        <f ca="1">ROUND(SUM(C42:C43),0)</f>
        <v>102</v>
      </c>
      <c r="D41" s="279">
        <f ca="1">C44</f>
        <v>1.4E-3</v>
      </c>
      <c r="E41" s="280" t="s">
        <v>2394</v>
      </c>
      <c r="F41" s="281"/>
      <c r="G41" s="278" t="str">
        <f>IF('数据-取费表'!B22&lt;=1,"单利计息","复利计息")</f>
        <v>复利计息</v>
      </c>
    </row>
    <row r="42" spans="1:7" ht="13.5" customHeight="1">
      <c r="A42" s="953" t="s">
        <v>791</v>
      </c>
      <c r="B42" s="259" t="s">
        <v>2398</v>
      </c>
      <c r="C42" s="282">
        <f ca="1">ROUND(IF('数据-取费表'!B22&lt;=1,C33*F22*'数据-取费表'!B21/2,C33*(POWER((1+F22),'数据-取费表'!B21/2)-1)),0)</f>
        <v>100</v>
      </c>
      <c r="D42" s="282"/>
      <c r="E42" s="282"/>
      <c r="F42" s="283"/>
      <c r="G42" s="3238" t="s">
        <v>2399</v>
      </c>
    </row>
    <row r="43" spans="1:7" ht="13.5" customHeight="1">
      <c r="A43" s="953" t="s">
        <v>792</v>
      </c>
      <c r="B43" s="259" t="s">
        <v>2400</v>
      </c>
      <c r="C43" s="282">
        <f ca="1">ROUND(IF('数据-取费表'!B22&lt;=1,C39*F22*'数据-取费表'!B21/2,C39*(POWER((1+F22),'数据-取费表'!B21/2)-1)),0)</f>
        <v>2</v>
      </c>
      <c r="D43" s="282"/>
      <c r="E43" s="282"/>
      <c r="F43" s="283"/>
      <c r="G43" s="3239"/>
    </row>
    <row r="44" spans="1:7" ht="13.5" customHeight="1">
      <c r="A44" s="953" t="s">
        <v>793</v>
      </c>
      <c r="B44" s="259" t="s">
        <v>2401</v>
      </c>
      <c r="C44" s="282">
        <f ca="1">ROUND(IF('数据-取费表'!B22&lt;=1,C40*F22*'数据-取费表'!B21/2,C40*(POWER((1+F22),'数据-取费表'!B21/2)-1)),4)</f>
        <v>1.4E-3</v>
      </c>
      <c r="D44" s="282"/>
      <c r="E44" s="282"/>
      <c r="F44" s="283"/>
      <c r="G44" s="3240"/>
    </row>
    <row r="45" spans="1:7" s="258" customFormat="1" ht="13.5" customHeight="1">
      <c r="A45" s="299" t="s">
        <v>2402</v>
      </c>
      <c r="B45" s="288" t="s">
        <v>2368</v>
      </c>
      <c r="C45" s="289">
        <f ca="1">C46</f>
        <v>212</v>
      </c>
      <c r="D45" s="279">
        <f ca="1">C47</f>
        <v>3.0000000000000001E-3</v>
      </c>
      <c r="E45" s="280" t="s">
        <v>2394</v>
      </c>
      <c r="F45" s="290"/>
      <c r="G45" s="291" t="s">
        <v>2403</v>
      </c>
    </row>
    <row r="46" spans="1:7" s="258" customFormat="1" ht="13.5" customHeight="1">
      <c r="A46" s="953" t="s">
        <v>791</v>
      </c>
      <c r="B46" s="292" t="s">
        <v>2404</v>
      </c>
      <c r="C46" s="293">
        <f ca="1">ROUND((C33+C39)*F27,0)</f>
        <v>212</v>
      </c>
      <c r="D46" s="307"/>
      <c r="E46" s="280"/>
      <c r="F46" s="290"/>
      <c r="G46" s="291"/>
    </row>
    <row r="47" spans="1:7" s="258" customFormat="1" ht="13.5" customHeight="1">
      <c r="A47" s="953" t="s">
        <v>792</v>
      </c>
      <c r="B47" s="292" t="s">
        <v>2405</v>
      </c>
      <c r="C47" s="282">
        <f ca="1">ROUND(C40*F27,4)</f>
        <v>3.0000000000000001E-3</v>
      </c>
      <c r="D47" s="307"/>
      <c r="E47" s="280"/>
      <c r="F47" s="290"/>
      <c r="G47" s="291"/>
    </row>
    <row r="48" spans="1:7" s="258" customFormat="1" ht="13.5" customHeight="1">
      <c r="A48" s="299" t="s">
        <v>2367</v>
      </c>
      <c r="B48" s="254" t="s">
        <v>2406</v>
      </c>
      <c r="C48" s="1730">
        <f>ROUND(F30/(1+'数据-取费表'!C42),4)</f>
        <v>5.2400000000000002E-2</v>
      </c>
      <c r="D48" s="280" t="s">
        <v>2394</v>
      </c>
      <c r="E48" s="276"/>
      <c r="F48" s="281"/>
      <c r="G48" s="278" t="s">
        <v>2407</v>
      </c>
    </row>
    <row r="49" spans="1:7" ht="16.5" customHeight="1">
      <c r="A49" s="299" t="s">
        <v>2373</v>
      </c>
      <c r="B49" s="254" t="s">
        <v>2408</v>
      </c>
      <c r="C49" s="276">
        <f ca="1">ROUND((C33+C39+C41+C45)/(1-C40-D41-D45-C48),0)</f>
        <v>1870</v>
      </c>
      <c r="D49" s="276"/>
      <c r="E49" s="276"/>
      <c r="F49" s="308"/>
      <c r="G49" s="278" t="s">
        <v>2409</v>
      </c>
    </row>
    <row r="50" spans="1:7" s="302" customFormat="1" ht="24">
      <c r="A50" s="299" t="s">
        <v>2410</v>
      </c>
      <c r="B50" s="254" t="s">
        <v>2411</v>
      </c>
      <c r="C50" s="276"/>
      <c r="D50" s="276"/>
      <c r="E50" s="276"/>
      <c r="F50" s="308">
        <f>IF('数据-取费表'!B24=0,'数据-取费表'!N16,1)</f>
        <v>0.95499999999999996</v>
      </c>
      <c r="G50" s="291" t="s">
        <v>2412</v>
      </c>
    </row>
    <row r="51" spans="1:7" ht="16.5" customHeight="1">
      <c r="A51" s="299" t="s">
        <v>2413</v>
      </c>
      <c r="B51" s="254" t="s">
        <v>2414</v>
      </c>
      <c r="C51" s="276">
        <f ca="1">ROUND(C49*F50,0)</f>
        <v>1786</v>
      </c>
      <c r="D51" s="276"/>
      <c r="E51" s="276"/>
      <c r="F51" s="308"/>
      <c r="G51" s="278" t="s">
        <v>2415</v>
      </c>
    </row>
    <row r="52" spans="1:7" s="252" customFormat="1" ht="16.5" thickBot="1">
      <c r="A52" s="309" t="s">
        <v>2416</v>
      </c>
      <c r="B52" s="310"/>
      <c r="C52" s="311">
        <f ca="1">C31+C51</f>
        <v>5045</v>
      </c>
      <c r="D52" s="310"/>
      <c r="E52" s="310"/>
      <c r="F52" s="310"/>
      <c r="G52" s="312"/>
    </row>
    <row r="55" spans="1:7" ht="15">
      <c r="B55" s="314" t="s">
        <v>2417</v>
      </c>
      <c r="C55" s="315"/>
    </row>
    <row r="56" spans="1:7">
      <c r="B56" s="317" t="s">
        <v>1509</v>
      </c>
      <c r="C56" s="319">
        <f ca="1">1-C57</f>
        <v>0.64600000000000002</v>
      </c>
    </row>
    <row r="57" spans="1:7">
      <c r="B57" s="317" t="s">
        <v>1510</v>
      </c>
      <c r="C57" s="318">
        <f ca="1">ROUND(C51/C52,3)</f>
        <v>0.35399999999999998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2449</v>
      </c>
      <c r="B1" s="1583"/>
      <c r="C1" s="1584"/>
      <c r="D1" s="1582"/>
      <c r="E1" s="320"/>
      <c r="F1" s="320"/>
      <c r="G1" s="1583"/>
      <c r="H1" s="320"/>
      <c r="I1" s="320"/>
      <c r="J1" s="320"/>
      <c r="K1" s="320">
        <f>MATCH(C1,'数据-取费表'!A6:A16,0)+5</f>
        <v>9</v>
      </c>
    </row>
    <row r="2" spans="1:33" ht="18" customHeight="1">
      <c r="A2" s="245" t="s">
        <v>2317</v>
      </c>
      <c r="B2" s="248">
        <f ca="1">C32</f>
        <v>-180</v>
      </c>
      <c r="C2" s="320" t="s">
        <v>2450</v>
      </c>
      <c r="D2" s="320"/>
      <c r="E2" s="320"/>
      <c r="F2" s="320"/>
      <c r="G2" s="320"/>
      <c r="H2" s="320"/>
      <c r="I2" s="320"/>
      <c r="J2" s="320"/>
      <c r="K2" s="320"/>
    </row>
    <row r="3" spans="1:33" ht="18" customHeight="1" thickBot="1">
      <c r="A3" s="247" t="s">
        <v>2319</v>
      </c>
      <c r="B3" s="248">
        <f ca="1">ROUND(B2*10000/IF(C1="",'数据-汇总表'!E3,INDIRECT("'数据-取费表'!K"&amp;$K$1)),0)</f>
        <v>-209</v>
      </c>
      <c r="C3" s="320" t="s">
        <v>2451</v>
      </c>
      <c r="D3" s="320"/>
      <c r="E3" s="320"/>
      <c r="F3" s="320"/>
      <c r="G3" s="320"/>
      <c r="H3" s="320"/>
      <c r="I3" s="320"/>
      <c r="J3" s="320"/>
      <c r="K3" s="320"/>
    </row>
    <row r="4" spans="1:33" s="958" customFormat="1" ht="16.5" customHeight="1">
      <c r="A4" s="955" t="s">
        <v>2452</v>
      </c>
      <c r="B4" s="956"/>
      <c r="C4" s="998">
        <f>SUM(C8:K8)</f>
        <v>0</v>
      </c>
      <c r="D4" s="956"/>
      <c r="E4" s="956"/>
      <c r="F4" s="956"/>
      <c r="G4" s="956"/>
      <c r="H4" s="956"/>
      <c r="I4" s="956"/>
      <c r="J4" s="956"/>
      <c r="K4" s="957"/>
    </row>
    <row r="5" spans="1:33" s="962" customFormat="1" ht="24.75">
      <c r="A5" s="959" t="s">
        <v>2453</v>
      </c>
      <c r="B5" s="960" t="s">
        <v>2454</v>
      </c>
      <c r="C5" s="2557" t="s">
        <v>2455</v>
      </c>
      <c r="D5" s="2557" t="s">
        <v>2456</v>
      </c>
      <c r="E5" s="2557" t="s">
        <v>2457</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133.35999999999999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2461</v>
      </c>
      <c r="B8" s="177" t="s">
        <v>2462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2463</v>
      </c>
      <c r="B9" s="956"/>
      <c r="C9" s="956"/>
      <c r="D9" s="956"/>
      <c r="E9" s="956"/>
      <c r="F9" s="956"/>
      <c r="G9" s="956"/>
      <c r="H9" s="956"/>
      <c r="I9" s="956"/>
      <c r="J9" s="956"/>
      <c r="K9" s="957"/>
    </row>
    <row r="10" spans="1:33" s="972" customFormat="1" ht="13.5" customHeight="1">
      <c r="A10" s="959" t="s">
        <v>2464</v>
      </c>
      <c r="B10" s="8" t="s">
        <v>2465</v>
      </c>
      <c r="C10" s="968" t="s">
        <v>2466</v>
      </c>
      <c r="D10" s="969" t="s">
        <v>2467</v>
      </c>
      <c r="E10" s="969" t="s">
        <v>2468</v>
      </c>
      <c r="F10" s="969" t="s">
        <v>2469</v>
      </c>
      <c r="G10" s="8"/>
      <c r="H10" s="970"/>
      <c r="I10" s="970"/>
      <c r="J10" s="970"/>
      <c r="K10" s="971"/>
    </row>
    <row r="11" spans="1:33" s="977" customFormat="1" ht="13.5" customHeight="1">
      <c r="A11" s="973" t="s">
        <v>1330</v>
      </c>
      <c r="B11" s="974" t="s">
        <v>2470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2471</v>
      </c>
      <c r="C12" s="24">
        <f ca="1">ROUND(C11*F12,0)</f>
        <v>0</v>
      </c>
      <c r="D12" s="975"/>
      <c r="E12" s="375"/>
      <c r="F12" s="978">
        <f>'数据-取费表'!B33</f>
        <v>3.5000000000000003E-2</v>
      </c>
      <c r="G12" s="8" t="s">
        <v>2472</v>
      </c>
      <c r="H12" s="970"/>
      <c r="I12" s="970"/>
      <c r="J12" s="970"/>
      <c r="K12" s="971"/>
    </row>
    <row r="13" spans="1:33" s="977" customFormat="1" ht="13.5" customHeight="1">
      <c r="A13" s="973" t="s">
        <v>1332</v>
      </c>
      <c r="B13" s="974" t="s">
        <v>2473</v>
      </c>
      <c r="C13" s="24">
        <f ca="1">ROUND(IF(C1="",SUMIF('数据-取费表'!C:C,"住宅",'数据-取费表'!P:P)*F13,IF(INDIRECT("'数据-取费表'!c"&amp;$K$1)="住宅",INDIRECT("'数据-取费表'!P"&amp;$K$1)*F13,0)),0)</f>
        <v>0</v>
      </c>
      <c r="D13" s="1035"/>
      <c r="E13" s="375"/>
      <c r="F13" s="978">
        <f>'数据-取费表'!B34</f>
        <v>0.05</v>
      </c>
      <c r="G13" s="8" t="s">
        <v>2474</v>
      </c>
      <c r="H13" s="970"/>
      <c r="I13" s="970"/>
      <c r="J13" s="970"/>
      <c r="K13" s="971"/>
    </row>
    <row r="14" spans="1:33" s="979" customFormat="1" ht="13.5" customHeight="1">
      <c r="A14" s="973" t="s">
        <v>1333</v>
      </c>
      <c r="B14" s="974" t="s">
        <v>2475</v>
      </c>
      <c r="C14" s="24">
        <f ca="1">ROUND(D14*E14*F11/10000,0)</f>
        <v>0</v>
      </c>
      <c r="D14" s="1035">
        <f ca="1">IF(C1="",'数据-汇总表'!E3,INDIRECT("'数据-取费表'!K"&amp;$K$1)+INDIRECT("'数据-取费表'!S"&amp;$K$1))</f>
        <v>8622.76</v>
      </c>
      <c r="E14" s="24">
        <f>'数据-取费表'!B35</f>
        <v>200</v>
      </c>
      <c r="F14" s="978"/>
      <c r="G14" s="8" t="s">
        <v>2476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2477</v>
      </c>
      <c r="C15" s="985">
        <f ca="1">ROUND(C11*F15,0)</f>
        <v>0</v>
      </c>
      <c r="D15" s="980"/>
      <c r="E15" s="985"/>
      <c r="F15" s="986">
        <f>'数据-取费表'!B36</f>
        <v>1.4999999999999999E-2</v>
      </c>
      <c r="G15" s="140" t="s">
        <v>2478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2479</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2480</v>
      </c>
      <c r="C17" s="24">
        <f ca="1">ROUND(D17*E17/10000,0)</f>
        <v>0</v>
      </c>
      <c r="D17" s="1035">
        <f ca="1">D14</f>
        <v>8622.76</v>
      </c>
      <c r="E17" s="24">
        <f>'数据-取费表'!B32</f>
        <v>0</v>
      </c>
      <c r="F17" s="980"/>
      <c r="G17" s="140" t="s">
        <v>2481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2482</v>
      </c>
      <c r="C18" s="24">
        <f ca="1">C19+C20-IF(C1="",'数据-取费表'!B29,IF(G18="已全部缴纳",C19+C20,H18))</f>
        <v>164</v>
      </c>
      <c r="D18" s="1035"/>
      <c r="E18" s="24"/>
      <c r="F18" s="978"/>
      <c r="G18" s="2559"/>
      <c r="H18" s="1579"/>
      <c r="I18" s="2560" t="s">
        <v>2483</v>
      </c>
      <c r="J18" s="981"/>
      <c r="K18" s="982"/>
    </row>
    <row r="19" spans="1:33" s="977" customFormat="1" ht="13.5" customHeight="1">
      <c r="A19" s="973" t="s">
        <v>805</v>
      </c>
      <c r="B19" s="974" t="s">
        <v>2484</v>
      </c>
      <c r="C19" s="24">
        <f ca="1">ROUND(D19*E19/10000,0)</f>
        <v>0</v>
      </c>
      <c r="D19" s="1035">
        <f ca="1">IF(C1="",'数据-汇总表'!E5,IF(INDIRECT("'数据-取费表'!c"&amp;$K$1)="住宅",INDIRECT("'数据-取费表'!k"&amp;$K$1),0))</f>
        <v>0</v>
      </c>
      <c r="E19" s="24">
        <f>'数据-取费表'!B27</f>
        <v>150</v>
      </c>
      <c r="F19" s="978"/>
      <c r="G19" s="15"/>
      <c r="H19" s="1581"/>
      <c r="I19" s="983"/>
      <c r="J19" s="983"/>
      <c r="K19" s="984"/>
    </row>
    <row r="20" spans="1:33" s="977" customFormat="1" ht="13.5" customHeight="1">
      <c r="A20" s="973" t="s">
        <v>806</v>
      </c>
      <c r="B20" s="974" t="s">
        <v>2485</v>
      </c>
      <c r="C20" s="24">
        <f ca="1">ROUND(D20*E20/10000,0)</f>
        <v>164</v>
      </c>
      <c r="D20" s="1035">
        <f ca="1">IF(C1="",'数据-汇总表'!E6,IF(INDIRECT("'数据-取费表'!c"&amp;$K$1)="住宅",INDIRECT("'数据-取费表'!s"&amp;$K$1),INDIRECT("'数据-取费表'!k"&amp;$K$1)+INDIRECT("'数据-取费表'!s"&amp;$K$1)))</f>
        <v>8622.76</v>
      </c>
      <c r="E20" s="24">
        <f>'数据-取费表'!B28</f>
        <v>190</v>
      </c>
      <c r="F20" s="978"/>
      <c r="G20" s="15"/>
      <c r="H20" s="983"/>
      <c r="I20" s="983"/>
      <c r="J20" s="983"/>
      <c r="K20" s="984"/>
    </row>
    <row r="21" spans="1:33" s="977" customFormat="1" ht="13.5" customHeight="1">
      <c r="A21" s="963" t="s">
        <v>802</v>
      </c>
      <c r="B21" s="987" t="s">
        <v>2486</v>
      </c>
      <c r="C21" s="988">
        <f ca="1">C16+C17+C18</f>
        <v>164</v>
      </c>
      <c r="D21" s="989"/>
      <c r="E21" s="325"/>
      <c r="F21" s="325"/>
      <c r="G21" s="140" t="s">
        <v>2487</v>
      </c>
      <c r="H21" s="981"/>
      <c r="I21" s="981"/>
      <c r="J21" s="981"/>
      <c r="K21" s="982"/>
    </row>
    <row r="22" spans="1:33" s="977" customFormat="1" ht="13.5" customHeight="1">
      <c r="A22" s="963" t="s">
        <v>2459</v>
      </c>
      <c r="B22" s="987" t="s">
        <v>2488</v>
      </c>
      <c r="C22" s="988">
        <f ca="1">ROUND(C21*F22,0)</f>
        <v>3</v>
      </c>
      <c r="D22" s="325"/>
      <c r="E22" s="325"/>
      <c r="F22" s="990">
        <f>'数据-取费表'!B37</f>
        <v>0.02</v>
      </c>
      <c r="G22" s="8" t="s">
        <v>2489</v>
      </c>
      <c r="H22" s="970"/>
      <c r="I22" s="970"/>
      <c r="J22" s="970"/>
      <c r="K22" s="971"/>
    </row>
    <row r="23" spans="1:33" s="977" customFormat="1" ht="13.5" customHeight="1">
      <c r="A23" s="963" t="s">
        <v>2461</v>
      </c>
      <c r="B23" s="987" t="s">
        <v>2490</v>
      </c>
      <c r="C23" s="988">
        <f ca="1">ROUND(C4*F23*F11,0)</f>
        <v>0</v>
      </c>
      <c r="D23" s="325"/>
      <c r="E23" s="325"/>
      <c r="F23" s="990">
        <f>'数据-取费表'!B38</f>
        <v>0.02</v>
      </c>
      <c r="G23" s="8" t="s">
        <v>2491</v>
      </c>
      <c r="H23" s="970"/>
      <c r="I23" s="970"/>
      <c r="J23" s="970"/>
      <c r="K23" s="971"/>
    </row>
    <row r="24" spans="1:33" s="977" customFormat="1" ht="13.5" customHeight="1">
      <c r="A24" s="963" t="s">
        <v>2492</v>
      </c>
      <c r="B24" s="987" t="s">
        <v>2493</v>
      </c>
      <c r="C24" s="324">
        <f>ROUND(F24/(1+'数据-取费表'!C42),4)</f>
        <v>2.9000000000000001E-2</v>
      </c>
      <c r="D24" s="325" t="s">
        <v>15</v>
      </c>
      <c r="E24" s="325"/>
      <c r="F24" s="990">
        <f>'数据-取费表'!B48+'数据-取费表'!B49</f>
        <v>3.0499999999999999E-2</v>
      </c>
      <c r="G24" s="8" t="s">
        <v>2494</v>
      </c>
      <c r="H24" s="992"/>
      <c r="I24" s="992"/>
      <c r="J24" s="992"/>
      <c r="K24" s="993"/>
    </row>
    <row r="25" spans="1:33" s="977" customFormat="1" ht="13.5" customHeight="1">
      <c r="A25" s="963" t="s">
        <v>2495</v>
      </c>
      <c r="B25" s="989" t="s">
        <v>2496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2497</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2498</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2499</v>
      </c>
      <c r="B28" s="2562" t="s">
        <v>2500</v>
      </c>
      <c r="C28" s="331">
        <f ca="1">C30</f>
        <v>18</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2501</v>
      </c>
      <c r="C29" s="328">
        <f ca="1">ROUND((1+C24)*F28*'数据-取费表'!B24/'数据-取费表'!B20,4)</f>
        <v>0</v>
      </c>
      <c r="D29" s="328"/>
      <c r="E29" s="329"/>
      <c r="F29" s="334"/>
      <c r="G29" s="140" t="s">
        <v>2502</v>
      </c>
      <c r="H29" s="981"/>
      <c r="I29" s="981"/>
      <c r="J29" s="981"/>
      <c r="K29" s="982"/>
    </row>
    <row r="30" spans="1:33" s="335" customFormat="1" ht="13.5" customHeight="1">
      <c r="A30" s="973" t="s">
        <v>804</v>
      </c>
      <c r="B30" s="996" t="s">
        <v>2503</v>
      </c>
      <c r="C30" s="336">
        <f ca="1">ROUND((C21+C22+C23)*F28,0)</f>
        <v>18</v>
      </c>
      <c r="D30" s="328"/>
      <c r="E30" s="329"/>
      <c r="F30" s="334"/>
      <c r="G30" s="140"/>
      <c r="H30" s="981"/>
      <c r="I30" s="981"/>
      <c r="J30" s="981"/>
      <c r="K30" s="982"/>
    </row>
    <row r="31" spans="1:33" s="977" customFormat="1" ht="13.5" customHeight="1" thickBot="1">
      <c r="A31" s="2563" t="s">
        <v>2504</v>
      </c>
      <c r="B31" s="1007" t="s">
        <v>2505</v>
      </c>
      <c r="C31" s="1008">
        <f>ROUND(C4*F31/(1+'数据-取费表'!C42),0)</f>
        <v>0</v>
      </c>
      <c r="D31" s="1009"/>
      <c r="E31" s="1010"/>
      <c r="F31" s="1011">
        <f>'数据-取费表'!B41</f>
        <v>5.5000000000000007E-2</v>
      </c>
      <c r="G31" s="1012" t="s">
        <v>2506</v>
      </c>
      <c r="H31" s="1013"/>
      <c r="I31" s="1013"/>
      <c r="J31" s="1013"/>
      <c r="K31" s="1014"/>
    </row>
    <row r="32" spans="1:33" s="972" customFormat="1" ht="13.5" customHeight="1" thickBot="1">
      <c r="A32" s="1002" t="s">
        <v>2507</v>
      </c>
      <c r="B32" s="1003"/>
      <c r="C32" s="1004">
        <f ca="1">ROUND((C4-C21-C22-C23-C25-C28-C31)/(1+C24+D25+D28),0)</f>
        <v>-180</v>
      </c>
      <c r="D32" s="1003"/>
      <c r="E32" s="1003"/>
      <c r="F32" s="1003"/>
      <c r="G32" s="1005" t="s">
        <v>2508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2794</v>
      </c>
      <c r="B1" s="241"/>
      <c r="C1" s="245" t="s">
        <v>2795</v>
      </c>
      <c r="D1" s="388">
        <f>SUM(D29:D30,D33:D39)</f>
        <v>6270.91</v>
      </c>
      <c r="E1" s="2720"/>
      <c r="F1" s="2720"/>
      <c r="G1" s="2720"/>
      <c r="H1" s="2720"/>
      <c r="I1" s="2720"/>
      <c r="J1" s="2720"/>
      <c r="K1" s="1372"/>
      <c r="L1" s="2721" t="s">
        <v>2796</v>
      </c>
      <c r="M1" s="1082">
        <f>SUMPRODUCT((区片价!B5:B9=I2)*(区片价!C3:F3=E2)*(区片价!C5:F9))</f>
        <v>0</v>
      </c>
      <c r="N1" s="1085">
        <f>SUMPRODUCT((因素修正幅度!B5:B9=I2)*(因素修正幅度!C3:F3=E2)*(因素修正幅度!C5:F9))</f>
        <v>0</v>
      </c>
      <c r="O1" s="2722"/>
      <c r="P1" s="2722"/>
      <c r="Q1" s="1372"/>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f ca="1">C26</f>
        <v>1782</v>
      </c>
      <c r="C2" s="2724" t="s">
        <v>2803</v>
      </c>
      <c r="D2" s="2725" t="s">
        <v>2804</v>
      </c>
      <c r="E2" s="2726" t="s">
        <v>1373</v>
      </c>
      <c r="F2" s="2725" t="s">
        <v>2805</v>
      </c>
      <c r="G2" s="2727" t="str">
        <f>IF(E2="商业",项目基本情况!B37,IF(E2="办公",项目基本情况!C37,IF(E2="住宅",项目基本情况!D37,项目基本情况!E37)))</f>
        <v>八级</v>
      </c>
      <c r="H2" s="2725" t="s">
        <v>2806</v>
      </c>
      <c r="I2" s="2727" t="str">
        <f>IF(E2="商业",项目基本情况!B38,IF(E2="办公",项目基本情况!C38,IF(E2="住宅",项目基本情况!D38,项目基本情况!E38)))</f>
        <v>Ⅷ-兴1</v>
      </c>
      <c r="J2" s="2728"/>
      <c r="K2" s="1372"/>
      <c r="L2" s="2729" t="s">
        <v>2807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14637</v>
      </c>
      <c r="U2" s="1605"/>
      <c r="V2" s="1604">
        <f ca="1">ROUND(T2*U2/10000,0)</f>
        <v>0</v>
      </c>
      <c r="W2" s="1608"/>
      <c r="X2" s="1608"/>
      <c r="Y2" s="1608"/>
      <c r="Z2" s="1608"/>
      <c r="AA2" s="1608"/>
      <c r="AB2" s="1608"/>
      <c r="AC2" s="1609"/>
      <c r="AD2" s="1610"/>
      <c r="AE2" s="1610"/>
      <c r="AF2" s="1610"/>
      <c r="AG2" s="1610"/>
      <c r="AH2" s="1610"/>
      <c r="AI2" s="1610"/>
      <c r="AJ2" s="1611"/>
    </row>
    <row r="3" spans="1:36" ht="15.75">
      <c r="A3" s="247" t="s">
        <v>2808</v>
      </c>
      <c r="B3" s="248">
        <f ca="1">ROUND(B2*10000/D1,0)</f>
        <v>2842</v>
      </c>
      <c r="C3" s="2724" t="s">
        <v>2809</v>
      </c>
      <c r="D3" s="2725" t="s">
        <v>2810</v>
      </c>
      <c r="E3" s="2730" t="s">
        <v>3289</v>
      </c>
      <c r="F3" s="2731" t="s">
        <v>2811</v>
      </c>
      <c r="G3" s="915">
        <f>IF(F3="宗地容积率",'数据-汇总表'!I4,IF(F3="估价对象容积率",'数据-汇总表'!I6,'数据-汇总表'!I7))</f>
        <v>1.1100000000000001</v>
      </c>
      <c r="H3" s="198" t="s">
        <v>2812</v>
      </c>
      <c r="I3" s="946"/>
      <c r="J3" s="2728" t="s">
        <v>2813</v>
      </c>
      <c r="K3" s="1372"/>
      <c r="L3" s="2729" t="s">
        <v>2814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9646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9" t="s">
        <v>2815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7591</v>
      </c>
      <c r="U4" s="1605">
        <f>面积!H93</f>
        <v>402.43</v>
      </c>
      <c r="V4" s="1604">
        <f t="shared" ca="1" si="1"/>
        <v>305</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2816</v>
      </c>
      <c r="C5" s="916">
        <f>ROUND(IF(E2="商业",IF(F16="增加",C6*C7+C16,C6*C7-C16),IF(E2="住宅",IF(F16="增加",C6*C12+C16,C6*C12-C16),IF(F16="增加",C6+C16,C6-C16))),0)</f>
        <v>5730</v>
      </c>
      <c r="D5" s="1789">
        <f>ROUND(IF(E2="商业",IF(F16="增加",C6+C16,C6-C16)),0)</f>
        <v>5730</v>
      </c>
      <c r="E5" s="2734"/>
      <c r="F5" s="2734"/>
      <c r="G5" s="2735"/>
      <c r="H5" s="2735"/>
      <c r="I5" s="2735"/>
      <c r="J5" s="2736"/>
      <c r="K5" s="2737"/>
      <c r="L5" s="2729" t="s">
        <v>2817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5671</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2818</v>
      </c>
      <c r="B6" s="2743" t="s">
        <v>2819</v>
      </c>
      <c r="C6" s="917">
        <f>SUMIF(L1:L12,G2,M1:M12)</f>
        <v>5730</v>
      </c>
      <c r="D6" s="2744" t="s">
        <v>2820</v>
      </c>
      <c r="E6" s="2745"/>
      <c r="F6" s="2745"/>
      <c r="G6" s="2746"/>
      <c r="H6" s="2746"/>
      <c r="I6" s="2746"/>
      <c r="J6" s="2747"/>
      <c r="K6" s="1844"/>
      <c r="L6" s="2729" t="s">
        <v>2821</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4265</v>
      </c>
      <c r="U6" s="1605"/>
      <c r="V6" s="1604">
        <f t="shared" ca="1" si="1"/>
        <v>0</v>
      </c>
      <c r="W6" s="1608"/>
      <c r="X6" s="1608"/>
      <c r="Y6" s="1608"/>
      <c r="Z6" s="1608"/>
      <c r="AA6" s="1608"/>
      <c r="AB6" s="1608"/>
      <c r="AC6" s="2738"/>
      <c r="AD6" s="2739"/>
      <c r="AE6" s="2739"/>
      <c r="AF6" s="2739"/>
      <c r="AG6" s="2739"/>
      <c r="AH6" s="2739"/>
      <c r="AI6" s="2739"/>
      <c r="AJ6" s="2740"/>
    </row>
    <row r="7" spans="1:36" ht="24" hidden="1">
      <c r="A7" s="3241" t="str">
        <f>IF(E2="商业",IF(C8="不临58条商业街","",2),"")</f>
        <v/>
      </c>
      <c r="B7" s="2748" t="s">
        <v>2822</v>
      </c>
      <c r="C7" s="918">
        <f>IF(C8="不临58条商业街",1,ROUND(1+(1.6*E8+1.2*E9+0.8*E10+0.4*E11)*C9,4))</f>
        <v>1</v>
      </c>
      <c r="D7" s="2749" t="s">
        <v>2823</v>
      </c>
      <c r="E7" s="947"/>
      <c r="F7" s="2750"/>
      <c r="G7" s="2751"/>
      <c r="H7" s="2751"/>
      <c r="I7" s="2751"/>
      <c r="J7" s="2752"/>
      <c r="K7" s="1844"/>
      <c r="L7" s="2729" t="s">
        <v>2824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3410</v>
      </c>
      <c r="U7" s="1605"/>
      <c r="V7" s="1604">
        <f t="shared" ca="1" si="1"/>
        <v>0</v>
      </c>
      <c r="W7" s="1818" t="s">
        <v>2825</v>
      </c>
      <c r="X7" s="1606" t="str">
        <f>G2</f>
        <v>八级</v>
      </c>
      <c r="Y7" s="1606" t="s">
        <v>2826</v>
      </c>
      <c r="Z7" s="1607">
        <f>G3</f>
        <v>1.1100000000000001</v>
      </c>
      <c r="AA7" s="1608"/>
      <c r="AB7" s="1608"/>
      <c r="AC7" s="1609"/>
      <c r="AD7" s="1610"/>
      <c r="AE7" s="1610"/>
      <c r="AF7" s="1610"/>
      <c r="AG7" s="1610"/>
      <c r="AH7" s="1610"/>
      <c r="AI7" s="1610"/>
      <c r="AJ7" s="1611"/>
    </row>
    <row r="8" spans="1:36" ht="25.5" hidden="1">
      <c r="A8" s="3242"/>
      <c r="B8" s="198" t="s">
        <v>2827</v>
      </c>
      <c r="C8" s="2753" t="s">
        <v>3290</v>
      </c>
      <c r="D8" s="919" t="s">
        <v>139</v>
      </c>
      <c r="E8" s="920" t="e">
        <f>ROUND(C11/E7,4)</f>
        <v>#DIV/0!</v>
      </c>
      <c r="F8" s="2754" t="s">
        <v>2828</v>
      </c>
      <c r="G8" s="2755"/>
      <c r="H8" s="2755"/>
      <c r="I8" s="2755"/>
      <c r="J8" s="2756"/>
      <c r="K8" s="1372"/>
      <c r="L8" s="2729" t="s">
        <v>2829</v>
      </c>
      <c r="M8" s="1083">
        <f>SUMPRODUCT((区片价!B206:B244=I2)*(区片价!C3:F3=E2)*(区片价!C206:F244))</f>
        <v>5730</v>
      </c>
      <c r="N8" s="1085">
        <f>SUMPRODUCT((因素修正幅度!B206:B244=I2)*(因素修正幅度!C3:F3=E2)*(因素修正幅度!C206:F244))</f>
        <v>0.15</v>
      </c>
      <c r="O8" s="1372"/>
      <c r="P8" s="1372"/>
      <c r="Q8" s="1372"/>
      <c r="R8" s="1604">
        <v>7</v>
      </c>
      <c r="S8" s="1605"/>
      <c r="T8" s="1604">
        <f t="shared" ca="1" si="0"/>
        <v>0</v>
      </c>
      <c r="U8" s="1605"/>
      <c r="V8" s="1604">
        <f t="shared" ca="1" si="1"/>
        <v>0</v>
      </c>
      <c r="W8" s="3252" t="s">
        <v>2830</v>
      </c>
      <c r="X8" s="3253"/>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 hidden="1">
      <c r="A9" s="3242"/>
      <c r="B9" s="198" t="s">
        <v>2843</v>
      </c>
      <c r="C9" s="921">
        <f>SUMIF(修正!C59:C119,C8,修正!E59:E119)</f>
        <v>0</v>
      </c>
      <c r="D9" s="200" t="s">
        <v>140</v>
      </c>
      <c r="E9" s="200" t="e">
        <f>ROUND(C11/E7,4)</f>
        <v>#DIV/0!</v>
      </c>
      <c r="F9" s="2754" t="s">
        <v>2844</v>
      </c>
      <c r="G9" s="2755"/>
      <c r="H9" s="2755"/>
      <c r="I9" s="2755"/>
      <c r="J9" s="2756"/>
      <c r="K9" s="1372"/>
      <c r="L9" s="2729" t="s">
        <v>2845</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4"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242"/>
      <c r="B10" s="198" t="s">
        <v>2848</v>
      </c>
      <c r="C10" s="200">
        <f>SUMIF(修正!C59:C119,C8,修正!F59:F119)</f>
        <v>0</v>
      </c>
      <c r="D10" s="200" t="s">
        <v>141</v>
      </c>
      <c r="E10" s="200" t="e">
        <f>ROUND(C11/E7,4)</f>
        <v>#DIV/0!</v>
      </c>
      <c r="F10" s="2754" t="s">
        <v>2849</v>
      </c>
      <c r="G10" s="2755"/>
      <c r="H10" s="2755"/>
      <c r="I10" s="2755"/>
      <c r="J10" s="2756"/>
      <c r="K10" s="1372"/>
      <c r="L10" s="2729" t="s">
        <v>2850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242"/>
      <c r="B11" s="2757" t="s">
        <v>2851</v>
      </c>
      <c r="C11" s="922">
        <f>C10/4</f>
        <v>0</v>
      </c>
      <c r="D11" s="922" t="s">
        <v>142</v>
      </c>
      <c r="E11" s="922" t="e">
        <f>ROUND(C11/E7,4)</f>
        <v>#DIV/0!</v>
      </c>
      <c r="F11" s="2758" t="s">
        <v>2852</v>
      </c>
      <c r="G11" s="2759"/>
      <c r="H11" s="2759"/>
      <c r="I11" s="2759"/>
      <c r="J11" s="2760"/>
      <c r="K11" s="1372"/>
      <c r="L11" s="2729" t="s">
        <v>2853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4" t="s">
        <v>2854</v>
      </c>
      <c r="X11" s="1616" t="s">
        <v>2855</v>
      </c>
      <c r="Y11" s="1617">
        <f>$G$3</f>
        <v>1.1100000000000001</v>
      </c>
      <c r="Z11" s="1617">
        <f t="shared" ref="Z11:AJ11" si="3">$G$3</f>
        <v>1.1100000000000001</v>
      </c>
      <c r="AA11" s="1617">
        <f t="shared" si="3"/>
        <v>1.1100000000000001</v>
      </c>
      <c r="AB11" s="1617">
        <f t="shared" si="3"/>
        <v>1.1100000000000001</v>
      </c>
      <c r="AC11" s="1617">
        <f t="shared" si="3"/>
        <v>1.1100000000000001</v>
      </c>
      <c r="AD11" s="1617">
        <f t="shared" si="3"/>
        <v>1.1100000000000001</v>
      </c>
      <c r="AE11" s="1617">
        <f t="shared" si="3"/>
        <v>1.1100000000000001</v>
      </c>
      <c r="AF11" s="1617">
        <f t="shared" si="3"/>
        <v>1.1100000000000001</v>
      </c>
      <c r="AG11" s="1617">
        <f t="shared" si="3"/>
        <v>1.1100000000000001</v>
      </c>
      <c r="AH11" s="1617">
        <f t="shared" si="3"/>
        <v>1.1100000000000001</v>
      </c>
      <c r="AI11" s="1617">
        <f t="shared" si="3"/>
        <v>1.1100000000000001</v>
      </c>
      <c r="AJ11" s="1617">
        <f t="shared" si="3"/>
        <v>1.1100000000000001</v>
      </c>
    </row>
    <row r="12" spans="1:36" ht="25.5" hidden="1" thickBot="1">
      <c r="A12" s="3241" t="s">
        <v>2856</v>
      </c>
      <c r="B12" s="2761" t="s">
        <v>2857</v>
      </c>
      <c r="C12" s="918">
        <f>ROUND(C15*D15*E15*F15*G15*H15*I15*J15,4)</f>
        <v>1</v>
      </c>
      <c r="D12" s="2762" t="s">
        <v>2858</v>
      </c>
      <c r="E12" s="2763"/>
      <c r="F12" s="2763"/>
      <c r="G12" s="2764"/>
      <c r="H12" s="2764"/>
      <c r="I12" s="2764"/>
      <c r="J12" s="2765"/>
      <c r="K12" s="1372"/>
      <c r="L12" s="2766" t="s">
        <v>2859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4"/>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259"/>
      <c r="B13" s="2767" t="s">
        <v>2861</v>
      </c>
      <c r="C13" s="2768" t="s">
        <v>2862</v>
      </c>
      <c r="D13" s="1810" t="s">
        <v>2863</v>
      </c>
      <c r="E13" s="1810" t="s">
        <v>2864</v>
      </c>
      <c r="F13" s="30" t="s">
        <v>2865</v>
      </c>
      <c r="G13" s="2769" t="s">
        <v>2866</v>
      </c>
      <c r="H13" s="2769" t="s">
        <v>2866</v>
      </c>
      <c r="I13" s="2769" t="s">
        <v>2866</v>
      </c>
      <c r="J13" s="2770" t="s">
        <v>2866</v>
      </c>
      <c r="K13" s="1372"/>
      <c r="L13" s="1372"/>
      <c r="M13" s="1372"/>
      <c r="N13" s="1372"/>
      <c r="O13" s="1372"/>
      <c r="P13" s="1372"/>
      <c r="Q13" s="1372"/>
      <c r="R13" s="1604">
        <v>12</v>
      </c>
      <c r="S13" s="1605"/>
      <c r="T13" s="1604">
        <f t="shared" ca="1" si="0"/>
        <v>0</v>
      </c>
      <c r="U13" s="1605"/>
      <c r="V13" s="1604">
        <f t="shared" ca="1" si="1"/>
        <v>0</v>
      </c>
      <c r="W13" s="3254"/>
      <c r="X13" s="1618"/>
      <c r="Y13" s="1615">
        <f>(-0.163*(Y12^2)-0.59*Y12+7617)*(10^(-4))/Y11</f>
        <v>0.6862162162162162</v>
      </c>
      <c r="Z13" s="1615">
        <f t="shared" ref="Z13:AJ13" si="5">(-0.163*(Z12^2)-0.59*Z12+7617)*(10^(-4))/Z11</f>
        <v>0.6862162162162162</v>
      </c>
      <c r="AA13" s="1615">
        <f t="shared" si="5"/>
        <v>0.6862162162162162</v>
      </c>
      <c r="AB13" s="1615">
        <f t="shared" si="5"/>
        <v>0.6862162162162162</v>
      </c>
      <c r="AC13" s="1615">
        <f t="shared" si="5"/>
        <v>0.6862162162162162</v>
      </c>
      <c r="AD13" s="1615">
        <f t="shared" si="5"/>
        <v>0.6862162162162162</v>
      </c>
      <c r="AE13" s="1615">
        <f t="shared" si="5"/>
        <v>0.6862162162162162</v>
      </c>
      <c r="AF13" s="1615">
        <f t="shared" si="5"/>
        <v>0.6862162162162162</v>
      </c>
      <c r="AG13" s="1615">
        <f t="shared" si="5"/>
        <v>0.6862162162162162</v>
      </c>
      <c r="AH13" s="1615">
        <f t="shared" si="5"/>
        <v>0.6862162162162162</v>
      </c>
      <c r="AI13" s="1615">
        <f t="shared" si="5"/>
        <v>0.6862162162162162</v>
      </c>
      <c r="AJ13" s="1615">
        <f t="shared" si="5"/>
        <v>0.6862162162162162</v>
      </c>
    </row>
    <row r="14" spans="1:36" ht="15" hidden="1">
      <c r="A14" s="3259"/>
      <c r="B14" s="2771"/>
      <c r="C14" s="2772"/>
      <c r="D14" s="2773"/>
      <c r="E14" s="2773"/>
      <c r="F14" s="2774"/>
      <c r="G14" s="2775" t="s">
        <v>2867</v>
      </c>
      <c r="H14" s="2776"/>
      <c r="I14" s="2777"/>
      <c r="J14" s="2778"/>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60"/>
      <c r="B15" s="2779" t="s">
        <v>2868</v>
      </c>
      <c r="C15" s="229">
        <f>IF(C14="有",1.1,1)</f>
        <v>1</v>
      </c>
      <c r="D15" s="229">
        <f>IF(D14="有",1.1,1)</f>
        <v>1</v>
      </c>
      <c r="E15" s="229">
        <f>IF(E14="有",1.1,1)</f>
        <v>1</v>
      </c>
      <c r="F15" s="229">
        <f>IF(F14="500米范围内",1.2,IF(F14="500-1000米",1.1,1))</f>
        <v>1</v>
      </c>
      <c r="G15" s="948">
        <v>1</v>
      </c>
      <c r="H15" s="948">
        <v>1</v>
      </c>
      <c r="I15" s="948">
        <v>1</v>
      </c>
      <c r="J15" s="949">
        <v>1</v>
      </c>
      <c r="K15" s="1372"/>
      <c r="L15" s="2780" t="s">
        <v>2804</v>
      </c>
      <c r="M15" s="919" t="s">
        <v>2869</v>
      </c>
      <c r="N15" s="919" t="s">
        <v>2870</v>
      </c>
      <c r="O15" s="919" t="s">
        <v>2871</v>
      </c>
      <c r="P15" s="2781" t="s">
        <v>2872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1" t="s">
        <v>2873</v>
      </c>
      <c r="B16" s="2748" t="s">
        <v>2874</v>
      </c>
      <c r="C16" s="1803">
        <f>ROUND(SUM(G17:J17)/C17,0)</f>
        <v>0</v>
      </c>
      <c r="D16" s="2782" t="s">
        <v>2875</v>
      </c>
      <c r="E16" s="2783" t="s">
        <v>3291</v>
      </c>
      <c r="F16" s="2784" t="s">
        <v>3292</v>
      </c>
      <c r="G16" s="2785"/>
      <c r="H16" s="2785"/>
      <c r="I16" s="2785"/>
      <c r="J16" s="2786"/>
      <c r="K16" s="1372"/>
      <c r="L16" s="2787" t="s">
        <v>2876</v>
      </c>
      <c r="M16" s="921">
        <v>0.25</v>
      </c>
      <c r="N16" s="921">
        <v>0.2</v>
      </c>
      <c r="O16" s="921">
        <v>0.15</v>
      </c>
      <c r="P16" s="1371">
        <v>0.1</v>
      </c>
      <c r="Q16" s="1372"/>
      <c r="R16" s="1604">
        <v>15</v>
      </c>
      <c r="S16" s="1605">
        <f>ROUND((-0.214*49-21.991*7+4665)*10^-4,4)</f>
        <v>0.4501</v>
      </c>
      <c r="T16" s="1604">
        <f t="shared" ca="1" si="0"/>
        <v>3392</v>
      </c>
      <c r="U16" s="1605">
        <f>面积!H97</f>
        <v>1534.58</v>
      </c>
      <c r="V16" s="1604">
        <f t="shared" ca="1" si="1"/>
        <v>521</v>
      </c>
      <c r="W16" s="1608"/>
      <c r="X16" s="1608"/>
      <c r="Y16" s="1608"/>
      <c r="Z16" s="1608"/>
      <c r="AA16" s="1608"/>
      <c r="AB16" s="1608"/>
      <c r="AC16" s="1609"/>
      <c r="AD16" s="1610"/>
      <c r="AE16" s="1610"/>
      <c r="AF16" s="1610"/>
      <c r="AG16" s="1610"/>
      <c r="AH16" s="1610"/>
      <c r="AI16" s="1610"/>
      <c r="AJ16" s="1611"/>
    </row>
    <row r="17" spans="1:37" ht="13.5" thickBot="1">
      <c r="A17" s="3242"/>
      <c r="B17" s="2788" t="s">
        <v>2877</v>
      </c>
      <c r="C17" s="923">
        <f>SUMPRODUCT((修正!A2:A5=E2)*(修正!B1:M1=G2)*(修正!B2:M5))</f>
        <v>2</v>
      </c>
      <c r="D17" s="2789" t="s">
        <v>2878</v>
      </c>
      <c r="E17" s="922" t="str">
        <f>IF(OR(G2="八级",G2="九级",G2="十级",G2="十一级",G2="十二级"),"五通一平","七通一平")</f>
        <v>五通一平</v>
      </c>
      <c r="F17" s="923" t="s">
        <v>2879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2881</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2882</v>
      </c>
      <c r="C19" s="926">
        <f>ROUND(IF(H19="按公示增长率计算",SUMPRODUCT((地价!A3:A24=YEAR(G19)&amp;"-"&amp;ROUNDUP(MONTH(G19)/3,0))*(地价!X2:AB2=E2)*(地价!X3:AB24)),IF(H19="地价指数",M20/M19,(1+I19)^O19)),4)</f>
        <v>1.3217000000000001</v>
      </c>
      <c r="D19" s="2800" t="s">
        <v>2883</v>
      </c>
      <c r="E19" s="927">
        <v>41640</v>
      </c>
      <c r="F19" s="2800" t="s">
        <v>2884</v>
      </c>
      <c r="G19" s="928">
        <f>'数据-取费表'!B2</f>
        <v>43437</v>
      </c>
      <c r="H19" s="2801" t="s">
        <v>2885</v>
      </c>
      <c r="I19" s="929" t="str">
        <f>IF(H19="季度增幅（自定义）",SUMIF(N21:N24,E2,O21:O24),"")</f>
        <v/>
      </c>
      <c r="J19" s="2798"/>
      <c r="K19" s="1379"/>
      <c r="L19" s="2802" t="s">
        <v>2886</v>
      </c>
      <c r="M19" s="1736">
        <f>ROUND(SUMIF(地价!B2:F2,E2,地价!B24:F24),0)</f>
        <v>258</v>
      </c>
      <c r="N19" s="2803" t="s">
        <v>2887</v>
      </c>
      <c r="O19" s="930">
        <f>ROUNDDOWN(DATEDIF(E19,G19,"M")/3,0)</f>
        <v>19</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2888</v>
      </c>
      <c r="C20" s="931">
        <f ca="1">ROUND(POWER(1+G20,J20-I20)*(POWER(1+G20,I20)-1)/(POWER(1+G20,J20)-1),4)</f>
        <v>0.92859999999999998</v>
      </c>
      <c r="D20" s="2809" t="s">
        <v>2889</v>
      </c>
      <c r="E20" s="1770">
        <f ca="1">存贷款利率!D4/100</f>
        <v>4.3499999999999997E-2</v>
      </c>
      <c r="F20" s="2809" t="s">
        <v>2880</v>
      </c>
      <c r="G20" s="936">
        <f ca="1">SUMIF(M15:P15,E2,M17:P17)</f>
        <v>5.3999999999999999E-2</v>
      </c>
      <c r="H20" s="2809" t="s">
        <v>2890</v>
      </c>
      <c r="I20" s="937">
        <f>SUMIF('数据-取费表'!C6:C15,E2,'数据-取费表'!F6:F15)/COUNTIF('数据-取费表'!C6:C15,E2)</f>
        <v>32.119999999999997</v>
      </c>
      <c r="J20" s="938">
        <f>IF(E2="住宅",70,IF(E2="商业",40,50))</f>
        <v>40</v>
      </c>
      <c r="K20" s="1379"/>
      <c r="L20" s="2810" t="s">
        <v>2891</v>
      </c>
      <c r="M20" s="1737">
        <f>ROUND(SUMPRODUCT((地价!A4:A24=YEAR(G19)&amp;"-"&amp;ROUNDUP(MONTH(G19)/3,0))*(地价!B2:F2=E2)*(地价!B4:F24)),0)</f>
        <v>341</v>
      </c>
      <c r="N20" s="2811" t="s">
        <v>2892</v>
      </c>
      <c r="O20" s="2812" t="s">
        <v>2893</v>
      </c>
      <c r="P20" s="2813" t="s">
        <v>2894</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2895</v>
      </c>
      <c r="C21" s="939">
        <f>IF(B21="容积率修正",IF(G3&lt;=10,D22,J22),C23)</f>
        <v>0</v>
      </c>
      <c r="D21" s="2816"/>
      <c r="E21" s="2816"/>
      <c r="F21" s="2816"/>
      <c r="G21" s="2816"/>
      <c r="H21" s="2816"/>
      <c r="I21" s="2816"/>
      <c r="J21" s="2817"/>
      <c r="K21" s="1379"/>
      <c r="N21" s="2818" t="s">
        <v>2896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1" customFormat="1" ht="14.25">
      <c r="A22" s="2667" t="s">
        <v>2897</v>
      </c>
      <c r="B22" s="2819" t="s">
        <v>2898</v>
      </c>
      <c r="C22" s="1812" t="s">
        <v>2899</v>
      </c>
      <c r="D22" s="1812">
        <f>IF(E22=G22,F22,IF(G3&lt;=10,ROUND(F22+(H22-F22)*(G3-E22)/(G22-E22),4),"——"))</f>
        <v>1.3371999999999999</v>
      </c>
      <c r="E22" s="915">
        <f>ROUNDDOWN(G3,1)</f>
        <v>1.1000000000000001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1.343</v>
      </c>
      <c r="G22" s="915">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1.2845</v>
      </c>
      <c r="I22" s="1812" t="s">
        <v>155</v>
      </c>
      <c r="J22" s="940" t="str">
        <f>IF(G3&gt;10,D113,"——")</f>
        <v>——</v>
      </c>
      <c r="K22" s="1379"/>
      <c r="N22" s="2818" t="s">
        <v>2900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7" t="s">
        <v>2901</v>
      </c>
      <c r="B23" s="2820" t="s">
        <v>2902</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2903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2904</v>
      </c>
      <c r="C24" s="926">
        <f>SUMIF(A45:A88,E2,B45:B88)</f>
        <v>1.0717000000000001</v>
      </c>
      <c r="D24" s="2796"/>
      <c r="E24" s="2826"/>
      <c r="F24" s="2826"/>
      <c r="G24" s="2826"/>
      <c r="H24" s="2826"/>
      <c r="I24" s="2826"/>
      <c r="J24" s="2827"/>
      <c r="K24" s="1379"/>
      <c r="N24" s="2828" t="s">
        <v>2905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2906</v>
      </c>
      <c r="C25" s="932"/>
      <c r="D25" s="2751"/>
      <c r="E25" s="2751"/>
      <c r="F25" s="2830"/>
      <c r="G25" s="2751"/>
      <c r="H25" s="2751"/>
      <c r="I25" s="2751"/>
      <c r="J25" s="2752"/>
      <c r="K25" s="1372"/>
      <c r="N25" s="2831" t="s">
        <v>2907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2"/>
      <c r="B26" s="2819" t="s">
        <v>2908</v>
      </c>
      <c r="C26" s="206">
        <f ca="1">E29+SUM(E33:E39)</f>
        <v>1782</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2909</v>
      </c>
      <c r="C27" s="933">
        <f ca="1">E30+SUM(I33:I39)</f>
        <v>446</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2910</v>
      </c>
      <c r="C28" s="2843" t="s">
        <v>2911</v>
      </c>
      <c r="D28" s="2843" t="s">
        <v>2912</v>
      </c>
      <c r="E28" s="2844" t="s">
        <v>2913</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2914</v>
      </c>
      <c r="C29" s="206">
        <f ca="1">ROUND(C5*C18*C19*C20*C21*C24,0)</f>
        <v>0</v>
      </c>
      <c r="D29" s="2848"/>
      <c r="E29" s="944">
        <f ca="1">ROUND(C29*D29/10000,0)</f>
        <v>0</v>
      </c>
      <c r="F29" s="2849" t="s">
        <v>2915</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2916</v>
      </c>
      <c r="C30" s="229">
        <f ca="1">ROUND(IF(E2="工业",C29*M39,C29*M38),0)</f>
        <v>0</v>
      </c>
      <c r="D30" s="2854"/>
      <c r="E30" s="944">
        <f ca="1">ROUND(C30*D30/10000,0)</f>
        <v>0</v>
      </c>
      <c r="F30" s="2855" t="s">
        <v>2917</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49" t="s">
        <v>2922</v>
      </c>
      <c r="B33" s="2864" t="s">
        <v>2923</v>
      </c>
      <c r="C33" s="206">
        <f ca="1">ROUND(D5*C19*C20*C24*F33,0)</f>
        <v>4522</v>
      </c>
      <c r="D33" s="2848">
        <f>面积!H90</f>
        <v>2735.2599999999993</v>
      </c>
      <c r="E33" s="200">
        <f ca="1">ROUND(C33*D33/10000,0)</f>
        <v>1237</v>
      </c>
      <c r="F33" s="200">
        <f>SUMIF(修正!A45:A56,G2,修正!B45:B56)</f>
        <v>0.6</v>
      </c>
      <c r="G33" s="200">
        <f t="shared" ref="G33" ca="1" si="6">ROUND(IF(E2="工业",C33*$M$39,C33*$M$38),0)</f>
        <v>1131</v>
      </c>
      <c r="H33" s="200">
        <f>D33</f>
        <v>2735.2599999999993</v>
      </c>
      <c r="I33" s="200">
        <f ca="1">ROUND(G33*H33/10000,0)</f>
        <v>309</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0"/>
      <c r="B34" s="2768" t="s">
        <v>2924</v>
      </c>
      <c r="C34" s="206">
        <f ca="1">ROUND(D5*C19*C20*C24*F34,0)</f>
        <v>2261</v>
      </c>
      <c r="D34" s="2848">
        <f>面积!H89</f>
        <v>227.87</v>
      </c>
      <c r="E34" s="200">
        <f t="shared" ref="E34:E39" ca="1" si="7">ROUND(C34*D34/10000,0)</f>
        <v>52</v>
      </c>
      <c r="F34" s="200">
        <f>SUMIF(修正!A45:A56,G2,修正!C45:C56)</f>
        <v>0.3</v>
      </c>
      <c r="G34" s="200">
        <f ca="1">ROUND(IF(E2="工业",C34*$M$39,C34*$M$38),0)</f>
        <v>565</v>
      </c>
      <c r="H34" s="200">
        <f t="shared" ref="H34:H39" si="8">D34</f>
        <v>227.87</v>
      </c>
      <c r="I34" s="200">
        <f t="shared" ref="I34:I39" ca="1" si="9">ROUND(G34*H34/10000,0)</f>
        <v>13</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0"/>
      <c r="B35" s="2768" t="s">
        <v>2925</v>
      </c>
      <c r="C35" s="206">
        <f ca="1">ROUND(D5*C19*C20*C24*F35,0)</f>
        <v>1507</v>
      </c>
      <c r="D35" s="2848"/>
      <c r="E35" s="200">
        <f t="shared" ca="1" si="7"/>
        <v>0</v>
      </c>
      <c r="F35" s="200">
        <f>SUMIF(修正!A45:A56,G2,修正!D45:D56)</f>
        <v>0.2</v>
      </c>
      <c r="G35" s="200">
        <f ca="1">ROUND(IF(E2="工业",C35*$M$39,C35*$M$38),0)</f>
        <v>377</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51"/>
      <c r="B36" s="2768" t="s">
        <v>2926</v>
      </c>
      <c r="C36" s="206">
        <f ca="1">ROUND(D5*C19*C20*C24*F36,0)</f>
        <v>1507</v>
      </c>
      <c r="D36" s="2848"/>
      <c r="E36" s="200">
        <f t="shared" ca="1" si="7"/>
        <v>0</v>
      </c>
      <c r="F36" s="200">
        <f>SUMIF(修正!A45:A56,G2,修正!E45:E56)</f>
        <v>0.2</v>
      </c>
      <c r="G36" s="200">
        <f ca="1">ROUND(IF(E2="工业",C36*$M$39,C36*$M$38),0)</f>
        <v>377</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2927</v>
      </c>
      <c r="C37" s="200">
        <f ca="1">ROUND(C5*C19*C20*C24*F37,0)</f>
        <v>1507</v>
      </c>
      <c r="D37" s="2848"/>
      <c r="E37" s="200">
        <f t="shared" ca="1" si="7"/>
        <v>0</v>
      </c>
      <c r="F37" s="206">
        <f>SUMIF(修正!A45:A56,G2,修正!F45:F56)</f>
        <v>0.2</v>
      </c>
      <c r="G37" s="200">
        <f ca="1">ROUND(IF(E2="工业",C37*$M$39,C37*$M$38),0)</f>
        <v>377</v>
      </c>
      <c r="H37" s="200">
        <f t="shared" si="8"/>
        <v>0</v>
      </c>
      <c r="I37" s="200">
        <f t="shared" ca="1" si="9"/>
        <v>0</v>
      </c>
      <c r="J37" s="2865"/>
      <c r="K37" s="1372"/>
      <c r="L37" s="2867" t="s">
        <v>2928</v>
      </c>
      <c r="M37" s="2868"/>
      <c r="N37" s="1372"/>
      <c r="O37" s="1372"/>
      <c r="P37" s="1372"/>
      <c r="Q37" s="1372"/>
      <c r="R37" s="1372"/>
      <c r="S37" s="1372"/>
      <c r="T37" s="1372"/>
      <c r="U37" s="1372"/>
      <c r="V37" s="1372"/>
      <c r="W37" s="1372"/>
      <c r="X37" s="1372"/>
      <c r="Y37" s="1372"/>
      <c r="Z37" s="1373"/>
    </row>
    <row r="38" spans="1:37">
      <c r="A38" s="2866"/>
      <c r="B38" s="2768" t="s">
        <v>2929</v>
      </c>
      <c r="C38" s="200">
        <f ca="1">ROUND(C5*C19*C20*C24*F38,0)</f>
        <v>1507</v>
      </c>
      <c r="D38" s="2848">
        <f>'数据-汇总表'!G20</f>
        <v>3174.420000000001</v>
      </c>
      <c r="E38" s="200">
        <f t="shared" ca="1" si="7"/>
        <v>478</v>
      </c>
      <c r="F38" s="206">
        <f>SUMIF(修正!A45:A56,G2,修正!G45:G56)</f>
        <v>0.2</v>
      </c>
      <c r="G38" s="200">
        <f ca="1">ROUND(IF(E2="工业",C38*$M$39,C38*$M$38),0)</f>
        <v>377</v>
      </c>
      <c r="H38" s="200">
        <f t="shared" si="8"/>
        <v>3174.420000000001</v>
      </c>
      <c r="I38" s="200">
        <f t="shared" ca="1" si="9"/>
        <v>120</v>
      </c>
      <c r="J38" s="2865"/>
      <c r="K38" s="1372"/>
      <c r="L38" s="1889" t="s">
        <v>2930</v>
      </c>
      <c r="M38" s="2869">
        <v>0.25</v>
      </c>
      <c r="N38" s="1372"/>
      <c r="O38" s="1372"/>
      <c r="P38" s="1372"/>
      <c r="Q38" s="1372"/>
      <c r="R38" s="1372"/>
      <c r="S38" s="1372"/>
      <c r="T38" s="1372"/>
      <c r="U38" s="1372"/>
      <c r="V38" s="1372"/>
      <c r="W38" s="1372"/>
      <c r="X38" s="1372"/>
      <c r="Y38" s="1372"/>
      <c r="Z38" s="1373"/>
    </row>
    <row r="39" spans="1:37" ht="13.5" thickBot="1">
      <c r="A39" s="2852"/>
      <c r="B39" s="2870" t="s">
        <v>2931</v>
      </c>
      <c r="C39" s="229">
        <f ca="1">ROUND(C5*C19*C20*C24*F39,0)</f>
        <v>1131</v>
      </c>
      <c r="D39" s="2854">
        <f>'数据-汇总表'!G21</f>
        <v>133.35999999999999</v>
      </c>
      <c r="E39" s="229">
        <f t="shared" ca="1" si="7"/>
        <v>15</v>
      </c>
      <c r="F39" s="934">
        <f>SUMIF(修正!A45:A56,G2,修正!H45:H56)</f>
        <v>0.15</v>
      </c>
      <c r="G39" s="229">
        <f ca="1">ROUND(IF(E2="工业",C39*$M$39,C39*$M$38),0)</f>
        <v>283</v>
      </c>
      <c r="H39" s="229">
        <f t="shared" si="8"/>
        <v>133.35999999999999</v>
      </c>
      <c r="I39" s="229">
        <f t="shared" ca="1" si="9"/>
        <v>4</v>
      </c>
      <c r="J39" s="2871"/>
      <c r="K39" s="1372"/>
      <c r="L39" s="2872" t="s">
        <v>2872</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2932</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2933</v>
      </c>
      <c r="B46" s="2878">
        <f>1+E48</f>
        <v>1.0717000000000001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2934</v>
      </c>
      <c r="B47" s="1811" t="s">
        <v>2935</v>
      </c>
      <c r="C47" s="1811" t="s">
        <v>2936</v>
      </c>
      <c r="D47" s="1811" t="s">
        <v>2937</v>
      </c>
      <c r="E47" s="818" t="s">
        <v>2938</v>
      </c>
      <c r="F47" s="2882" t="s">
        <v>2939</v>
      </c>
      <c r="G47" s="1811" t="s">
        <v>754</v>
      </c>
      <c r="H47" s="2883" t="s">
        <v>2940</v>
      </c>
      <c r="I47" s="1811" t="s">
        <v>2941</v>
      </c>
      <c r="J47" s="603" t="s">
        <v>2587</v>
      </c>
      <c r="K47" s="603" t="s">
        <v>2588</v>
      </c>
      <c r="L47" s="603" t="s">
        <v>2589</v>
      </c>
      <c r="M47" s="603" t="s">
        <v>2590</v>
      </c>
      <c r="N47" s="603" t="s">
        <v>2591</v>
      </c>
      <c r="AA47" s="1373"/>
      <c r="AB47" s="1373"/>
      <c r="AC47" s="1373"/>
      <c r="AD47" s="1373"/>
      <c r="AE47" s="1373"/>
      <c r="AF47" s="1373"/>
      <c r="AG47" s="1373"/>
      <c r="AH47" s="1373"/>
      <c r="AI47" s="1373"/>
      <c r="AJ47" s="1373"/>
      <c r="AK47" s="1373"/>
    </row>
    <row r="48" spans="1:37" s="1372" customFormat="1" ht="24.75">
      <c r="A48" s="2881" t="s">
        <v>2942</v>
      </c>
      <c r="B48" s="2884" t="str">
        <f>估价对象房地状况!C4</f>
        <v>较好</v>
      </c>
      <c r="C48" s="2773" t="s">
        <v>3276</v>
      </c>
      <c r="D48" s="1288">
        <f t="shared" ref="D48:D56" si="10">SUMIF($J$47:$N$47,C48,J48:N48)</f>
        <v>2.47E-2</v>
      </c>
      <c r="E48" s="820">
        <f>ROUND(SUM(D48:D56),4)</f>
        <v>7.17E-2</v>
      </c>
      <c r="F48" s="2504">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14.25">
      <c r="A49" s="2881" t="s">
        <v>2943</v>
      </c>
      <c r="B49" s="2885" t="str">
        <f>估价对象房地状况!C18</f>
        <v>较好</v>
      </c>
      <c r="C49" s="2773" t="s">
        <v>3276</v>
      </c>
      <c r="D49" s="1288">
        <f t="shared" si="10"/>
        <v>1.8700000000000001E-2</v>
      </c>
      <c r="E49" s="821"/>
      <c r="F49" s="2504"/>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1" t="s">
        <v>2944</v>
      </c>
      <c r="B50" s="2885">
        <f>估价对象房地状况!C19</f>
        <v>0</v>
      </c>
      <c r="C50" s="2773" t="s">
        <v>3276</v>
      </c>
      <c r="D50" s="1288">
        <f t="shared" si="10"/>
        <v>3.7000000000000002E-3</v>
      </c>
      <c r="E50" s="821"/>
      <c r="F50" s="2504"/>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24">
      <c r="A51" s="2881" t="s">
        <v>2945</v>
      </c>
      <c r="B51" s="2886"/>
      <c r="C51" s="2773" t="s">
        <v>3276</v>
      </c>
      <c r="D51" s="1288">
        <f t="shared" si="10"/>
        <v>3.7000000000000002E-3</v>
      </c>
      <c r="E51" s="821"/>
      <c r="F51" s="2504"/>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1" t="s">
        <v>2947</v>
      </c>
      <c r="B52" s="2885">
        <f>估价对象房地状况!C24</f>
        <v>0</v>
      </c>
      <c r="C52" s="2773" t="s">
        <v>3275</v>
      </c>
      <c r="D52" s="1288">
        <f t="shared" si="10"/>
        <v>0</v>
      </c>
      <c r="E52" s="821"/>
      <c r="F52" s="2504"/>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1" t="s">
        <v>2948</v>
      </c>
      <c r="B53" s="2887"/>
      <c r="C53" s="2773" t="s">
        <v>3276</v>
      </c>
      <c r="D53" s="1288">
        <f t="shared" si="10"/>
        <v>2.2000000000000001E-3</v>
      </c>
      <c r="E53" s="821"/>
      <c r="F53" s="2504"/>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4">
      <c r="A54" s="2888" t="s">
        <v>2950</v>
      </c>
      <c r="B54" s="1727" t="str">
        <f>估价对象房地状况!C21</f>
        <v>较好</v>
      </c>
      <c r="C54" s="2773" t="s">
        <v>3276</v>
      </c>
      <c r="D54" s="1288">
        <f t="shared" si="10"/>
        <v>3.7000000000000002E-3</v>
      </c>
      <c r="E54" s="821"/>
      <c r="F54" s="2504"/>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4">
      <c r="A55" s="2888" t="s">
        <v>2951</v>
      </c>
      <c r="B55" s="2885" t="str">
        <f>估价对象房地状况!C22</f>
        <v>七通</v>
      </c>
      <c r="C55" s="2773" t="s">
        <v>3293</v>
      </c>
      <c r="D55" s="1288">
        <f t="shared" si="10"/>
        <v>1.4999999999999999E-2</v>
      </c>
      <c r="E55" s="821"/>
      <c r="F55" s="2504"/>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24.75" thickBot="1">
      <c r="A56" s="2889" t="s">
        <v>2952</v>
      </c>
      <c r="B56" s="2890" t="str">
        <f>估价对象房地状况!C20</f>
        <v>一般</v>
      </c>
      <c r="C56" s="2773" t="s">
        <v>3275</v>
      </c>
      <c r="D56" s="1288">
        <f t="shared" si="10"/>
        <v>0</v>
      </c>
      <c r="E56" s="824"/>
      <c r="F56" s="2504"/>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7" t="s">
        <v>2953</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2934</v>
      </c>
      <c r="B58" s="1811"/>
      <c r="C58" s="1811" t="s">
        <v>2936</v>
      </c>
      <c r="D58" s="1811" t="s">
        <v>2937</v>
      </c>
      <c r="E58" s="818" t="s">
        <v>2938</v>
      </c>
      <c r="F58" s="2882" t="s">
        <v>2954</v>
      </c>
      <c r="G58" s="1811" t="s">
        <v>754</v>
      </c>
      <c r="H58" s="2883" t="s">
        <v>2940</v>
      </c>
      <c r="I58" s="1811" t="s">
        <v>2941</v>
      </c>
      <c r="J58" s="603" t="s">
        <v>2587</v>
      </c>
      <c r="K58" s="603" t="s">
        <v>2588</v>
      </c>
      <c r="L58" s="603" t="s">
        <v>2589</v>
      </c>
      <c r="M58" s="603" t="s">
        <v>2590</v>
      </c>
      <c r="N58" s="603" t="s">
        <v>2591</v>
      </c>
      <c r="AA58" s="1373"/>
      <c r="AB58" s="1373"/>
      <c r="AC58" s="1373"/>
      <c r="AD58" s="1373"/>
      <c r="AE58" s="1373"/>
      <c r="AF58" s="1373"/>
      <c r="AG58" s="1373"/>
      <c r="AH58" s="1373"/>
      <c r="AI58" s="1373"/>
      <c r="AJ58" s="1373"/>
      <c r="AK58" s="1373"/>
    </row>
    <row r="59" spans="1:37" s="1372" customFormat="1" ht="24">
      <c r="A59" s="2881" t="s">
        <v>2955</v>
      </c>
      <c r="B59" s="2884">
        <f>估价对象房地状况!C17</f>
        <v>0</v>
      </c>
      <c r="C59" s="2773"/>
      <c r="D59" s="1288">
        <f t="shared" ref="D59:D67" si="16">SUMIF($J$58:$N$58,C59,J59:N59)</f>
        <v>0</v>
      </c>
      <c r="E59" s="820">
        <f>ROUND(SUM(D59:D67),4)</f>
        <v>0</v>
      </c>
      <c r="F59" s="2504"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14.25">
      <c r="A60" s="2881" t="s">
        <v>2943</v>
      </c>
      <c r="B60" s="2885" t="str">
        <f>估价对象房地状况!C18</f>
        <v>较好</v>
      </c>
      <c r="C60" s="2773"/>
      <c r="D60" s="1288">
        <f t="shared" si="16"/>
        <v>0</v>
      </c>
      <c r="E60" s="821"/>
      <c r="F60" s="2504"/>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1" t="s">
        <v>2944</v>
      </c>
      <c r="B61" s="2885">
        <f>估价对象房地状况!C19</f>
        <v>0</v>
      </c>
      <c r="C61" s="2773"/>
      <c r="D61" s="1288">
        <f t="shared" si="16"/>
        <v>0</v>
      </c>
      <c r="E61" s="821"/>
      <c r="F61" s="2504"/>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1" t="s">
        <v>2945</v>
      </c>
      <c r="B62" s="2886" t="s">
        <v>2946</v>
      </c>
      <c r="C62" s="2773"/>
      <c r="D62" s="1288">
        <f t="shared" si="16"/>
        <v>0</v>
      </c>
      <c r="E62" s="821"/>
      <c r="F62" s="2504"/>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1" t="s">
        <v>2947</v>
      </c>
      <c r="B63" s="2885">
        <f>估价对象房地状况!C24</f>
        <v>0</v>
      </c>
      <c r="C63" s="2773"/>
      <c r="D63" s="1288">
        <f t="shared" si="16"/>
        <v>0</v>
      </c>
      <c r="E63" s="821"/>
      <c r="F63" s="2504"/>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1" t="s">
        <v>2948</v>
      </c>
      <c r="B64" s="2887" t="s">
        <v>2949</v>
      </c>
      <c r="C64" s="2773"/>
      <c r="D64" s="1288">
        <f t="shared" si="16"/>
        <v>0</v>
      </c>
      <c r="E64" s="821"/>
      <c r="F64" s="2504"/>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4">
      <c r="A65" s="2881" t="s">
        <v>2950</v>
      </c>
      <c r="B65" s="1727" t="str">
        <f>估价对象房地状况!C21</f>
        <v>较好</v>
      </c>
      <c r="C65" s="2773"/>
      <c r="D65" s="1288">
        <f t="shared" si="16"/>
        <v>0</v>
      </c>
      <c r="E65" s="821"/>
      <c r="F65" s="2504"/>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4">
      <c r="A66" s="2881" t="s">
        <v>2951</v>
      </c>
      <c r="B66" s="1727" t="str">
        <f>估价对象房地状况!C22</f>
        <v>七通</v>
      </c>
      <c r="C66" s="2773"/>
      <c r="D66" s="1288">
        <f t="shared" si="16"/>
        <v>0</v>
      </c>
      <c r="E66" s="821"/>
      <c r="F66" s="2504"/>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24.75" thickBot="1">
      <c r="A67" s="2889" t="s">
        <v>2952</v>
      </c>
      <c r="B67" s="2891" t="str">
        <f>估价对象房地状况!C20</f>
        <v>一般</v>
      </c>
      <c r="C67" s="2773"/>
      <c r="D67" s="1288">
        <f t="shared" si="16"/>
        <v>0</v>
      </c>
      <c r="E67" s="824"/>
      <c r="F67" s="2504"/>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7" t="s">
        <v>2956</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2934</v>
      </c>
      <c r="B69" s="1811"/>
      <c r="C69" s="1811" t="s">
        <v>2936</v>
      </c>
      <c r="D69" s="1811" t="s">
        <v>2937</v>
      </c>
      <c r="E69" s="818" t="s">
        <v>2938</v>
      </c>
      <c r="F69" s="2882" t="s">
        <v>2954</v>
      </c>
      <c r="G69" s="1811" t="s">
        <v>754</v>
      </c>
      <c r="H69" s="2883" t="s">
        <v>2940</v>
      </c>
      <c r="I69" s="1811" t="s">
        <v>2941</v>
      </c>
      <c r="J69" s="603" t="s">
        <v>2587</v>
      </c>
      <c r="K69" s="603" t="s">
        <v>2588</v>
      </c>
      <c r="L69" s="603" t="s">
        <v>2589</v>
      </c>
      <c r="M69" s="603" t="s">
        <v>2590</v>
      </c>
      <c r="N69" s="603" t="s">
        <v>2591</v>
      </c>
      <c r="AA69" s="1373"/>
      <c r="AB69" s="1373"/>
      <c r="AC69" s="1373"/>
      <c r="AD69" s="1373"/>
      <c r="AE69" s="1373"/>
      <c r="AF69" s="1373"/>
      <c r="AG69" s="1373"/>
      <c r="AH69" s="1373"/>
      <c r="AI69" s="1373"/>
      <c r="AJ69" s="1373"/>
      <c r="AK69" s="1373"/>
    </row>
    <row r="70" spans="1:37" s="1372" customFormat="1" ht="24">
      <c r="A70" s="2881" t="s">
        <v>2957</v>
      </c>
      <c r="B70" s="2884" t="str">
        <f>估价对象房地状况!C15</f>
        <v>较好</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14.25">
      <c r="A71" s="2881" t="s">
        <v>2943</v>
      </c>
      <c r="B71" s="2885" t="str">
        <f>估价对象房地状况!C18</f>
        <v>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2944</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1" t="s">
        <v>2958</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4">
      <c r="A74" s="2881" t="s">
        <v>2950</v>
      </c>
      <c r="B74" s="1727" t="str">
        <f>估价对象房地状况!C21</f>
        <v>较好</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81" t="s">
        <v>2951</v>
      </c>
      <c r="B75" s="1727" t="str">
        <f>估价对象房地状况!C22</f>
        <v>七通</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24">
      <c r="A76" s="2881" t="s">
        <v>2948</v>
      </c>
      <c r="B76" s="2887" t="s">
        <v>2949</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24">
      <c r="A77" s="2881" t="s">
        <v>2952</v>
      </c>
      <c r="B77" s="2884" t="str">
        <f>估价对象房地状况!C20</f>
        <v>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24.75" thickBot="1">
      <c r="A78" s="2889" t="s">
        <v>2959</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5">
      <c r="A79" s="2877" t="s">
        <v>2960</v>
      </c>
      <c r="B79" s="2878">
        <f>1+E81</f>
        <v>1</v>
      </c>
      <c r="C79" s="813"/>
      <c r="D79" s="813"/>
      <c r="E79" s="814"/>
      <c r="F79" s="2880"/>
      <c r="G79" s="6"/>
      <c r="H79" s="6"/>
      <c r="I79" s="6"/>
      <c r="J79" s="7"/>
      <c r="K79" s="7"/>
      <c r="L79" s="7"/>
      <c r="M79" s="7"/>
      <c r="N79" s="7"/>
      <c r="Z79" s="2723"/>
      <c r="AA79" s="2799"/>
      <c r="AG79" s="1374"/>
      <c r="AK79" s="2799"/>
    </row>
    <row r="80" spans="1:37" ht="24.75">
      <c r="A80" s="2881" t="s">
        <v>2934</v>
      </c>
      <c r="B80" s="1811"/>
      <c r="C80" s="1811" t="s">
        <v>2936</v>
      </c>
      <c r="D80" s="1811" t="s">
        <v>2937</v>
      </c>
      <c r="E80" s="818" t="s">
        <v>2938</v>
      </c>
      <c r="F80" s="2882" t="s">
        <v>2954</v>
      </c>
      <c r="G80" s="1811" t="s">
        <v>754</v>
      </c>
      <c r="H80" s="2883" t="s">
        <v>2940</v>
      </c>
      <c r="I80" s="1811" t="s">
        <v>2941</v>
      </c>
      <c r="J80" s="603" t="s">
        <v>2587</v>
      </c>
      <c r="K80" s="603" t="s">
        <v>2588</v>
      </c>
      <c r="L80" s="603" t="s">
        <v>2589</v>
      </c>
      <c r="M80" s="603" t="s">
        <v>2590</v>
      </c>
      <c r="N80" s="603" t="s">
        <v>2591</v>
      </c>
      <c r="Z80" s="2723"/>
      <c r="AA80" s="2799"/>
      <c r="AG80" s="1374"/>
      <c r="AK80" s="2799"/>
    </row>
    <row r="81" spans="1:37" ht="24">
      <c r="A81" s="2881" t="s">
        <v>2961</v>
      </c>
      <c r="B81" s="2885">
        <f>估价对象房地状况!G15</f>
        <v>0</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14.25">
      <c r="A82" s="2881" t="s">
        <v>2943</v>
      </c>
      <c r="B82" s="2885">
        <f>估价对象房地状况!G16</f>
        <v>0</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2944</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4.25">
      <c r="A84" s="2881" t="s">
        <v>2958</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4">
      <c r="A85" s="2881" t="s">
        <v>2950</v>
      </c>
      <c r="B85" s="1727">
        <f>估价对象房地状况!G19</f>
        <v>0</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4">
      <c r="A86" s="2881" t="s">
        <v>2951</v>
      </c>
      <c r="B86" s="1727">
        <f>估价对象房地状况!G20</f>
        <v>0</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24">
      <c r="A87" s="2881" t="s">
        <v>2948</v>
      </c>
      <c r="B87" s="2887" t="s">
        <v>2962</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15" thickBot="1">
      <c r="A88" s="2889" t="s">
        <v>2963</v>
      </c>
      <c r="B88" s="2894">
        <f>估价对象房地状况!G18</f>
        <v>0</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243" t="s">
        <v>2964</v>
      </c>
      <c r="B90" s="3243"/>
      <c r="C90" s="3243"/>
      <c r="D90" s="3243"/>
      <c r="E90" s="3243"/>
      <c r="F90" s="3243"/>
      <c r="G90" s="3243"/>
      <c r="H90" s="3243"/>
      <c r="I90" s="3243"/>
      <c r="J90" s="3243"/>
      <c r="K90" s="2895"/>
      <c r="L90" s="2895"/>
      <c r="M90" s="2895"/>
      <c r="N90" s="2895"/>
    </row>
    <row r="91" spans="1:37">
      <c r="A91" s="3245" t="s">
        <v>2965</v>
      </c>
      <c r="B91" s="3245" t="s">
        <v>2966</v>
      </c>
      <c r="C91" s="2849" t="s">
        <v>2967</v>
      </c>
      <c r="D91" s="2850"/>
      <c r="E91" s="2850"/>
      <c r="F91" s="2850"/>
      <c r="G91" s="2850"/>
      <c r="H91" s="2850"/>
      <c r="I91" s="2850"/>
      <c r="J91" s="2896"/>
      <c r="K91" s="2897"/>
      <c r="L91" s="2897"/>
      <c r="M91" s="2897"/>
      <c r="N91" s="2897"/>
    </row>
    <row r="92" spans="1:37">
      <c r="A92" s="3245"/>
      <c r="B92" s="3245"/>
      <c r="C92" s="944" t="s">
        <v>2831</v>
      </c>
      <c r="D92" s="944" t="s">
        <v>2832</v>
      </c>
      <c r="E92" s="944" t="s">
        <v>2833</v>
      </c>
      <c r="F92" s="944" t="s">
        <v>2834</v>
      </c>
      <c r="G92" s="944" t="s">
        <v>2835</v>
      </c>
      <c r="H92" s="944" t="s">
        <v>2836</v>
      </c>
      <c r="I92" s="944" t="s">
        <v>2837</v>
      </c>
      <c r="J92" s="944" t="s">
        <v>2838</v>
      </c>
      <c r="K92" s="944" t="s">
        <v>2839</v>
      </c>
      <c r="L92" s="944" t="s">
        <v>2840</v>
      </c>
      <c r="M92" s="944" t="s">
        <v>2841</v>
      </c>
      <c r="N92" s="944" t="s">
        <v>2842</v>
      </c>
    </row>
    <row r="93" spans="1:37">
      <c r="A93" s="3246"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7"/>
      <c r="B99" s="2898" t="s">
        <v>2847</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4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6" t="s">
        <v>2969</v>
      </c>
      <c r="B101" s="2902" t="s">
        <v>2970</v>
      </c>
      <c r="C101" s="2903">
        <f>$G$3</f>
        <v>1.1100000000000001</v>
      </c>
      <c r="D101" s="2903">
        <f t="shared" ref="D101:N101" si="32">$G$3</f>
        <v>1.1100000000000001</v>
      </c>
      <c r="E101" s="2903">
        <f t="shared" si="32"/>
        <v>1.1100000000000001</v>
      </c>
      <c r="F101" s="2903">
        <f t="shared" si="32"/>
        <v>1.1100000000000001</v>
      </c>
      <c r="G101" s="2903">
        <f t="shared" si="32"/>
        <v>1.1100000000000001</v>
      </c>
      <c r="H101" s="2903">
        <f t="shared" si="32"/>
        <v>1.1100000000000001</v>
      </c>
      <c r="I101" s="2903">
        <f t="shared" si="32"/>
        <v>1.1100000000000001</v>
      </c>
      <c r="J101" s="2903">
        <f t="shared" si="32"/>
        <v>1.1100000000000001</v>
      </c>
      <c r="K101" s="2903">
        <f t="shared" si="32"/>
        <v>1.1100000000000001</v>
      </c>
      <c r="L101" s="2903">
        <f t="shared" si="32"/>
        <v>1.1100000000000001</v>
      </c>
      <c r="M101" s="2903">
        <f t="shared" si="32"/>
        <v>1.1100000000000001</v>
      </c>
      <c r="N101" s="2903">
        <f t="shared" si="32"/>
        <v>1.1100000000000001</v>
      </c>
    </row>
    <row r="102" spans="1:14">
      <c r="A102" s="3247"/>
      <c r="B102" s="2898">
        <v>1</v>
      </c>
      <c r="C102" s="2899">
        <f>1.9362/C101</f>
        <v>1.744324324324324</v>
      </c>
      <c r="D102" s="2899">
        <f>1.9362/D101</f>
        <v>1.744324324324324</v>
      </c>
      <c r="E102" s="2899">
        <f>1.8629/E101</f>
        <v>1.6782882882882881</v>
      </c>
      <c r="F102" s="2899">
        <f>1.8629/F101</f>
        <v>1.6782882882882881</v>
      </c>
      <c r="G102" s="2899">
        <f>1.8629/G101</f>
        <v>1.6782882882882881</v>
      </c>
      <c r="H102" s="2899">
        <f>1.8629/H101</f>
        <v>1.6782882882882881</v>
      </c>
      <c r="I102" s="2899">
        <f>1.8629/I101</f>
        <v>1.6782882882882881</v>
      </c>
      <c r="J102" s="2899">
        <f>1.942/J101</f>
        <v>1.7495495495495494</v>
      </c>
      <c r="K102" s="2899">
        <f>1.942/K101</f>
        <v>1.7495495495495494</v>
      </c>
      <c r="L102" s="2899">
        <f>1.942/L101</f>
        <v>1.7495495495495494</v>
      </c>
      <c r="M102" s="2899">
        <f>1.942/M101</f>
        <v>1.7495495495495494</v>
      </c>
      <c r="N102" s="2899">
        <f>1.942/N101</f>
        <v>1.7495495495495494</v>
      </c>
    </row>
    <row r="103" spans="1:14">
      <c r="A103" s="3247"/>
      <c r="B103" s="2898">
        <v>2</v>
      </c>
      <c r="C103" s="2899">
        <f>1.4198/C101</f>
        <v>1.2790990990990989</v>
      </c>
      <c r="D103" s="2899">
        <f>1.4198/D101</f>
        <v>1.2790990990990989</v>
      </c>
      <c r="E103" s="2899">
        <f>1.3372/E101</f>
        <v>1.2046846846846846</v>
      </c>
      <c r="F103" s="2899">
        <f>1.3372/F101</f>
        <v>1.2046846846846846</v>
      </c>
      <c r="G103" s="2899">
        <f>1.3372/G101</f>
        <v>1.2046846846846846</v>
      </c>
      <c r="H103" s="2899">
        <f>1.3372/H101</f>
        <v>1.2046846846846846</v>
      </c>
      <c r="I103" s="2899">
        <f>1.3372/I101</f>
        <v>1.2046846846846846</v>
      </c>
      <c r="J103" s="2899">
        <f>1.2799/J101</f>
        <v>1.1530630630630629</v>
      </c>
      <c r="K103" s="2899">
        <f>1.2799/K101</f>
        <v>1.1530630630630629</v>
      </c>
      <c r="L103" s="2899">
        <f>1.2799/L101</f>
        <v>1.1530630630630629</v>
      </c>
      <c r="M103" s="2899">
        <f>1.2799/M101</f>
        <v>1.1530630630630629</v>
      </c>
      <c r="N103" s="2899">
        <f>1.2799/N101</f>
        <v>1.1530630630630629</v>
      </c>
    </row>
    <row r="104" spans="1:14">
      <c r="A104" s="3247"/>
      <c r="B104" s="2898">
        <v>3</v>
      </c>
      <c r="C104" s="2899">
        <f>1.1594/C101</f>
        <v>1.0445045045045045</v>
      </c>
      <c r="D104" s="2899">
        <f>1.1594/D101</f>
        <v>1.0445045045045045</v>
      </c>
      <c r="E104" s="2899">
        <f>1.0788/E101</f>
        <v>0.97189189189189173</v>
      </c>
      <c r="F104" s="2899">
        <f>1.0788/F101</f>
        <v>0.97189189189189173</v>
      </c>
      <c r="G104" s="2899">
        <f>1.0788/G101</f>
        <v>0.97189189189189173</v>
      </c>
      <c r="H104" s="2899">
        <f>1.0788/H101</f>
        <v>0.97189189189189173</v>
      </c>
      <c r="I104" s="2899">
        <f>1.0788/I101</f>
        <v>0.97189189189189173</v>
      </c>
      <c r="J104" s="2899">
        <f>1.0072/J101</f>
        <v>0.90738738738738745</v>
      </c>
      <c r="K104" s="2899">
        <f>1.0072/K101</f>
        <v>0.90738738738738745</v>
      </c>
      <c r="L104" s="2899">
        <f>1.0072/L101</f>
        <v>0.90738738738738745</v>
      </c>
      <c r="M104" s="2899">
        <f>1.0072/M101</f>
        <v>0.90738738738738745</v>
      </c>
      <c r="N104" s="2899">
        <f>1.0072/N101</f>
        <v>0.90738738738738745</v>
      </c>
    </row>
    <row r="105" spans="1:14">
      <c r="A105" s="3247"/>
      <c r="B105" s="2898">
        <v>4</v>
      </c>
      <c r="C105" s="2899">
        <f>0.9622/C101</f>
        <v>0.86684684684684687</v>
      </c>
      <c r="D105" s="2899">
        <f>0.9622/D101</f>
        <v>0.86684684684684687</v>
      </c>
      <c r="E105" s="2899">
        <f>0.8656/E101</f>
        <v>0.77981981981981974</v>
      </c>
      <c r="F105" s="2899">
        <f>0.8656/F101</f>
        <v>0.77981981981981974</v>
      </c>
      <c r="G105" s="2899">
        <f>0.8656/G101</f>
        <v>0.77981981981981974</v>
      </c>
      <c r="H105" s="2899">
        <f>0.8656/H101</f>
        <v>0.77981981981981974</v>
      </c>
      <c r="I105" s="2899">
        <f>0.8656/I101</f>
        <v>0.77981981981981974</v>
      </c>
      <c r="J105" s="2899">
        <f>0.7525/J101</f>
        <v>0.67792792792792778</v>
      </c>
      <c r="K105" s="2899">
        <f>0.7525/K101</f>
        <v>0.67792792792792778</v>
      </c>
      <c r="L105" s="2899">
        <f>0.7525/L101</f>
        <v>0.67792792792792778</v>
      </c>
      <c r="M105" s="2899">
        <f>0.7525/M101</f>
        <v>0.67792792792792778</v>
      </c>
      <c r="N105" s="2899">
        <f>0.7525/N101</f>
        <v>0.67792792792792778</v>
      </c>
    </row>
    <row r="106" spans="1:14">
      <c r="A106" s="3247"/>
      <c r="B106" s="2898">
        <v>5</v>
      </c>
      <c r="C106" s="2899">
        <f>0.8417/C101</f>
        <v>0.7582882882882882</v>
      </c>
      <c r="D106" s="2899">
        <f>0.8417/D101</f>
        <v>0.7582882882882882</v>
      </c>
      <c r="E106" s="2899">
        <f>0.7371/E101</f>
        <v>0.66405405405405393</v>
      </c>
      <c r="F106" s="2899">
        <f>0.7371/F101</f>
        <v>0.66405405405405393</v>
      </c>
      <c r="G106" s="2899">
        <f>0.7371/G101</f>
        <v>0.66405405405405393</v>
      </c>
      <c r="H106" s="2899">
        <f>0.7371/H101</f>
        <v>0.66405405405405393</v>
      </c>
      <c r="I106" s="2899">
        <f>0.7371/I101</f>
        <v>0.66405405405405393</v>
      </c>
      <c r="J106" s="2899">
        <f>0.5659/J101</f>
        <v>0.50981981981981972</v>
      </c>
      <c r="K106" s="2899">
        <f>0.5659/K101</f>
        <v>0.50981981981981972</v>
      </c>
      <c r="L106" s="2899">
        <f>0.5659/L101</f>
        <v>0.50981981981981972</v>
      </c>
      <c r="M106" s="2899">
        <f>0.5659/M101</f>
        <v>0.50981981981981972</v>
      </c>
      <c r="N106" s="2899">
        <f>0.5659/N101</f>
        <v>0.50981981981981972</v>
      </c>
    </row>
    <row r="107" spans="1:14">
      <c r="A107" s="3247"/>
      <c r="B107" s="2898">
        <v>6</v>
      </c>
      <c r="C107" s="2899">
        <f>0.7608/C101</f>
        <v>0.6854054054054054</v>
      </c>
      <c r="D107" s="2899">
        <f>0.7608/D101</f>
        <v>0.6854054054054054</v>
      </c>
      <c r="E107" s="2899">
        <f>0.6482/E101</f>
        <v>0.58396396396396388</v>
      </c>
      <c r="F107" s="2899">
        <f>0.6482/F101</f>
        <v>0.58396396396396388</v>
      </c>
      <c r="G107" s="2899">
        <f>0.6482/G101</f>
        <v>0.58396396396396388</v>
      </c>
      <c r="H107" s="2899">
        <f>0.6482/H101</f>
        <v>0.58396396396396388</v>
      </c>
      <c r="I107" s="2899">
        <f>0.6482/I101</f>
        <v>0.58396396396396388</v>
      </c>
      <c r="J107" s="2899">
        <f>0.4525/J101</f>
        <v>0.40765765765765766</v>
      </c>
      <c r="K107" s="2899">
        <f>0.4525/K101</f>
        <v>0.40765765765765766</v>
      </c>
      <c r="L107" s="2899">
        <f>0.4525/L101</f>
        <v>0.40765765765765766</v>
      </c>
      <c r="M107" s="2899">
        <f>0.4525/M101</f>
        <v>0.40765765765765766</v>
      </c>
      <c r="N107" s="2899">
        <f>0.4525/N101</f>
        <v>0.40765765765765766</v>
      </c>
    </row>
    <row r="108" spans="1:14">
      <c r="A108" s="3247"/>
      <c r="B108" s="3122" t="s">
        <v>2971</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48"/>
      <c r="B109" s="3123"/>
      <c r="C109" s="2901">
        <f>(-0.163*(C108^2)-0.59*C108+7617)*(10^(-4))/C101</f>
        <v>0.6862162162162162</v>
      </c>
      <c r="D109" s="2901">
        <f>(-0.163*(D108^2)-0.59*D108+7617)*(10^(-4))/D101</f>
        <v>0.6862162162162162</v>
      </c>
      <c r="E109" s="2901">
        <f>(-0.161*(E108^2)-7.509*E108+6533)*(10^(-4))/E101</f>
        <v>0.58855855855855854</v>
      </c>
      <c r="F109" s="2901">
        <f>(-0.161*(F108^2)-7.509*F108+6533)*(10^(-4))/F101</f>
        <v>0.58855855855855854</v>
      </c>
      <c r="G109" s="2901">
        <f>(-0.161*(G108^2)-7.509*G108+6533)*(10^(-4))/G101</f>
        <v>0.58855855855855854</v>
      </c>
      <c r="H109" s="2901">
        <f>(-0.161*(H108^2)-7.509*H108+6533)*(10^(-4))/H101</f>
        <v>0.58855855855855854</v>
      </c>
      <c r="I109" s="2901">
        <f>(-0.161*(I108^2)-7.509*I108+6533)*(10^(-4))/I101</f>
        <v>0.58855855855855854</v>
      </c>
      <c r="J109" s="2901">
        <f>(-0.214*(J108^2)-21.991*J108+4665)*(10^(-4))/J101</f>
        <v>0.42027027027027025</v>
      </c>
      <c r="K109" s="2901">
        <f>(-0.214*(K108^2)-21.991*K108+4665)*(10^(-4))/K101</f>
        <v>0.42027027027027025</v>
      </c>
      <c r="L109" s="2901">
        <f>(-0.214*(L108^2)-21.991*L108+4665)*(10^(-4))/L101</f>
        <v>0.42027027027027025</v>
      </c>
      <c r="M109" s="2901">
        <f>(-0.214*(M108^2)-21.991*M108+4665)*(10^(-4))/M101</f>
        <v>0.42027027027027025</v>
      </c>
      <c r="N109" s="2901">
        <f>(-0.214*(N108^2)-21.991*N108+4665)*(10^(-4))/N101</f>
        <v>0.42027027027027025</v>
      </c>
    </row>
    <row r="110" spans="1:14">
      <c r="A110" s="3244" t="s">
        <v>2972</v>
      </c>
      <c r="B110" s="3244"/>
      <c r="C110" s="3244"/>
      <c r="D110" s="3244"/>
      <c r="E110" s="3244"/>
      <c r="F110" s="3244"/>
      <c r="G110" s="3244"/>
      <c r="H110" s="3244"/>
      <c r="I110" s="3244"/>
      <c r="J110" s="3244"/>
      <c r="K110" s="2904"/>
      <c r="L110" s="2904"/>
      <c r="M110" s="2904"/>
      <c r="N110" s="2904"/>
    </row>
    <row r="112" spans="1:14" ht="13.5" thickBot="1"/>
    <row r="113" spans="1:13" ht="25.5" thickBot="1">
      <c r="A113" s="902" t="s">
        <v>2973</v>
      </c>
      <c r="B113" s="1289">
        <f>G3</f>
        <v>1.1100000000000001</v>
      </c>
      <c r="C113" s="903" t="s">
        <v>2974</v>
      </c>
      <c r="D113" s="904">
        <f>SUMPRODUCT((A115:A118=F113)*(B114:M114=H113)*B115:M118)</f>
        <v>0.67179999999999995</v>
      </c>
      <c r="E113" s="2727" t="s">
        <v>2804</v>
      </c>
      <c r="F113" s="2906" t="str">
        <f>E2</f>
        <v>商业</v>
      </c>
      <c r="G113" s="2727" t="s">
        <v>2805</v>
      </c>
      <c r="H113" s="2906" t="str">
        <f>G2</f>
        <v>八级</v>
      </c>
      <c r="I113" s="2727"/>
      <c r="J113" s="2907"/>
      <c r="K113" s="2907"/>
      <c r="L113" s="2907"/>
      <c r="M113" s="2907"/>
    </row>
    <row r="114" spans="1:13">
      <c r="A114" s="907"/>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8" t="s">
        <v>2869</v>
      </c>
      <c r="B115" s="909">
        <f>ROUND(0.9335-0.0094*B113,4)</f>
        <v>0.92310000000000003</v>
      </c>
      <c r="C115" s="909">
        <f>B115</f>
        <v>0.92310000000000003</v>
      </c>
      <c r="D115" s="909">
        <f>ROUND(0.8331-0.0109*B113,4)</f>
        <v>0.82099999999999995</v>
      </c>
      <c r="E115" s="909">
        <f>D115</f>
        <v>0.82099999999999995</v>
      </c>
      <c r="F115" s="909">
        <f>E115</f>
        <v>0.82099999999999995</v>
      </c>
      <c r="G115" s="909">
        <f>F115</f>
        <v>0.82099999999999995</v>
      </c>
      <c r="H115" s="909">
        <f>G115</f>
        <v>0.82099999999999995</v>
      </c>
      <c r="I115" s="909">
        <f>ROUND(0.689-0.0155*B113,4)</f>
        <v>0.67179999999999995</v>
      </c>
      <c r="J115" s="909">
        <f t="shared" ref="J115:M118" si="34">I115</f>
        <v>0.67179999999999995</v>
      </c>
      <c r="K115" s="909">
        <f t="shared" si="34"/>
        <v>0.67179999999999995</v>
      </c>
      <c r="L115" s="909">
        <f t="shared" si="34"/>
        <v>0.67179999999999995</v>
      </c>
      <c r="M115" s="910">
        <f t="shared" si="34"/>
        <v>0.67179999999999995</v>
      </c>
    </row>
    <row r="116" spans="1:13">
      <c r="A116" s="908" t="s">
        <v>2870</v>
      </c>
      <c r="B116" s="909">
        <f>ROUND(0.949-0.012*B113,4)</f>
        <v>0.93569999999999998</v>
      </c>
      <c r="C116" s="909">
        <f>B116</f>
        <v>0.93569999999999998</v>
      </c>
      <c r="D116" s="909">
        <f>ROUND(0.8567-0.013*B113,4)</f>
        <v>0.84230000000000005</v>
      </c>
      <c r="E116" s="909">
        <f t="shared" ref="E116:H117" si="35">D116</f>
        <v>0.84230000000000005</v>
      </c>
      <c r="F116" s="909">
        <f t="shared" si="35"/>
        <v>0.84230000000000005</v>
      </c>
      <c r="G116" s="909">
        <f t="shared" si="35"/>
        <v>0.84230000000000005</v>
      </c>
      <c r="H116" s="909">
        <f t="shared" si="35"/>
        <v>0.84230000000000005</v>
      </c>
      <c r="I116" s="909">
        <f>ROUND(0.7694-0.014*B113,4)</f>
        <v>0.75390000000000001</v>
      </c>
      <c r="J116" s="909">
        <f t="shared" si="34"/>
        <v>0.75390000000000001</v>
      </c>
      <c r="K116" s="909">
        <f t="shared" si="34"/>
        <v>0.75390000000000001</v>
      </c>
      <c r="L116" s="909">
        <f t="shared" si="34"/>
        <v>0.75390000000000001</v>
      </c>
      <c r="M116" s="910">
        <f t="shared" si="34"/>
        <v>0.75390000000000001</v>
      </c>
    </row>
    <row r="117" spans="1:13">
      <c r="A117" s="908" t="s">
        <v>2871</v>
      </c>
      <c r="B117" s="909">
        <f>ROUND(0.8808-0.006*B113,4)</f>
        <v>0.87409999999999999</v>
      </c>
      <c r="C117" s="909">
        <f>B117</f>
        <v>0.87409999999999999</v>
      </c>
      <c r="D117" s="909">
        <f>ROUND(0.8748-0.008*B113,4)</f>
        <v>0.8659</v>
      </c>
      <c r="E117" s="909">
        <f t="shared" si="35"/>
        <v>0.8659</v>
      </c>
      <c r="F117" s="909">
        <f t="shared" si="35"/>
        <v>0.8659</v>
      </c>
      <c r="G117" s="909">
        <f t="shared" si="35"/>
        <v>0.8659</v>
      </c>
      <c r="H117" s="909">
        <f t="shared" si="35"/>
        <v>0.8659</v>
      </c>
      <c r="I117" s="909">
        <f>ROUND(0.7412-0.0095*B113,4)</f>
        <v>0.73070000000000002</v>
      </c>
      <c r="J117" s="909">
        <f t="shared" si="34"/>
        <v>0.73070000000000002</v>
      </c>
      <c r="K117" s="909">
        <f t="shared" si="34"/>
        <v>0.73070000000000002</v>
      </c>
      <c r="L117" s="909">
        <f t="shared" si="34"/>
        <v>0.73070000000000002</v>
      </c>
      <c r="M117" s="910">
        <f t="shared" si="34"/>
        <v>0.73070000000000002</v>
      </c>
    </row>
    <row r="118" spans="1:13" ht="13.5" thickBot="1">
      <c r="A118" s="714" t="s">
        <v>2872</v>
      </c>
      <c r="B118" s="911">
        <f>ROUND(0.7275-0.01*B113,4)</f>
        <v>0.71640000000000004</v>
      </c>
      <c r="C118" s="911">
        <f>B118</f>
        <v>0.71640000000000004</v>
      </c>
      <c r="D118" s="911">
        <f>ROUND(0.7043-0.012*B113,4)</f>
        <v>0.69099999999999995</v>
      </c>
      <c r="E118" s="911">
        <f>D118</f>
        <v>0.69099999999999995</v>
      </c>
      <c r="F118" s="911">
        <f>E118</f>
        <v>0.69099999999999995</v>
      </c>
      <c r="G118" s="911">
        <f>ROUND(0.6299-0.0122*B113,4)</f>
        <v>0.61639999999999995</v>
      </c>
      <c r="H118" s="911">
        <f>G118</f>
        <v>0.61639999999999995</v>
      </c>
      <c r="I118" s="911">
        <f>ROUND(0.5667-0.0136*B113,4)</f>
        <v>0.55159999999999998</v>
      </c>
      <c r="J118" s="911">
        <f t="shared" si="34"/>
        <v>0.55159999999999998</v>
      </c>
      <c r="K118" s="911">
        <f t="shared" si="34"/>
        <v>0.55159999999999998</v>
      </c>
      <c r="L118" s="911">
        <f t="shared" si="34"/>
        <v>0.55159999999999998</v>
      </c>
      <c r="M118" s="912">
        <f t="shared" si="34"/>
        <v>0.55159999999999998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dxfId="14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G37" sqref="G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1373</v>
      </c>
      <c r="D1" s="1822" t="s">
        <v>70</v>
      </c>
      <c r="E1" s="1823" t="s">
        <v>1383</v>
      </c>
      <c r="F1" s="1285">
        <f ca="1">J53</f>
        <v>32.119999999999997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5035</v>
      </c>
      <c r="C2" s="1847" t="s">
        <v>1512</v>
      </c>
      <c r="D2" s="1847"/>
      <c r="E2" s="1848"/>
      <c r="F2" s="1849"/>
      <c r="G2" s="1850"/>
      <c r="H2" s="1842"/>
      <c r="I2" s="1842"/>
      <c r="J2" s="1842"/>
      <c r="K2" s="1843"/>
      <c r="L2" s="1842"/>
      <c r="M2" s="1842"/>
    </row>
    <row r="3" spans="1:37" ht="18" customHeight="1" thickBot="1">
      <c r="A3" s="1851" t="s">
        <v>1513</v>
      </c>
      <c r="B3" s="1852">
        <f ca="1">IF(ISERROR(B2*10000/F43),0,ROUND(B2*10000/F43,0))</f>
        <v>10275</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337</v>
      </c>
      <c r="D5" s="1824" t="s">
        <v>1398</v>
      </c>
      <c r="E5" s="1295"/>
      <c r="F5" s="1296"/>
      <c r="G5" s="1853"/>
      <c r="H5" s="344">
        <v>1</v>
      </c>
      <c r="I5" s="345" t="s">
        <v>1397</v>
      </c>
      <c r="J5" s="1294">
        <f ca="1">J6+J10+J12</f>
        <v>0</v>
      </c>
      <c r="K5" s="1824" t="s">
        <v>1398</v>
      </c>
      <c r="L5" s="1295"/>
      <c r="M5" s="1296"/>
    </row>
    <row r="6" spans="1:37" ht="18" customHeight="1">
      <c r="A6" s="1293" t="s">
        <v>1032</v>
      </c>
      <c r="B6" s="3263" t="s">
        <v>1399</v>
      </c>
      <c r="C6" s="1298">
        <f ca="1">ROUND(F6*F8*F7*(1-F9)/10000,0)</f>
        <v>337</v>
      </c>
      <c r="D6" s="164" t="s">
        <v>3024</v>
      </c>
      <c r="E6" s="347" t="s">
        <v>1401</v>
      </c>
      <c r="F6" s="348">
        <f ca="1">INDIRECT("'数据-取费表'!u"&amp;$G$1)</f>
        <v>2.14</v>
      </c>
      <c r="G6" s="1853"/>
      <c r="H6" s="1293" t="s">
        <v>1032</v>
      </c>
      <c r="I6" s="3263" t="s">
        <v>1399</v>
      </c>
      <c r="J6" s="346">
        <f ca="1">ROUND(M6*M8*M7*(1-M9)/10000,0)</f>
        <v>0</v>
      </c>
      <c r="K6" s="164" t="s">
        <v>3023</v>
      </c>
      <c r="L6" s="347" t="s">
        <v>1401</v>
      </c>
      <c r="M6" s="348">
        <f ca="1">INDIRECT("'数据-取费表'!z"&amp;$G$1)</f>
        <v>0</v>
      </c>
    </row>
    <row r="7" spans="1:37" ht="18" customHeight="1">
      <c r="A7" s="1297"/>
      <c r="B7" s="3264"/>
      <c r="C7" s="1299"/>
      <c r="D7" s="352"/>
      <c r="E7" s="1300" t="s">
        <v>1402</v>
      </c>
      <c r="F7" s="348">
        <f ca="1">IF(INDIRECT("'数据-取费表'!ah"&amp;$G$1)="",INDIRECT("'数据-取费表'!k"&amp;$G$1),INDIRECT("'数据-取费表'!ah"&amp;$G$1))</f>
        <v>4900.1399999999994</v>
      </c>
      <c r="G7" s="1853"/>
      <c r="H7" s="349"/>
      <c r="I7" s="3264"/>
      <c r="J7" s="351"/>
      <c r="K7" s="352"/>
      <c r="L7" s="347" t="s">
        <v>1402</v>
      </c>
      <c r="M7" s="348">
        <f ca="1">F7</f>
        <v>4900.1399999999994</v>
      </c>
    </row>
    <row r="8" spans="1:37" ht="18" customHeight="1">
      <c r="A8" s="349"/>
      <c r="B8" s="3264"/>
      <c r="C8" s="351"/>
      <c r="D8" s="352"/>
      <c r="E8" s="347" t="s">
        <v>1403</v>
      </c>
      <c r="F8" s="348">
        <f ca="1">INDIRECT("'数据-取费表'!ai"&amp;$G$1)</f>
        <v>365</v>
      </c>
      <c r="G8" s="1853"/>
      <c r="H8" s="349"/>
      <c r="I8" s="3264"/>
      <c r="J8" s="351"/>
      <c r="K8" s="352"/>
      <c r="L8" s="347" t="s">
        <v>1403</v>
      </c>
      <c r="M8" s="348">
        <f ca="1">INDIRECT("'数据-取费表'!ai"&amp;$G$1)</f>
        <v>365</v>
      </c>
    </row>
    <row r="9" spans="1:37" ht="18" customHeight="1">
      <c r="A9" s="349"/>
      <c r="B9" s="3265"/>
      <c r="C9" s="351"/>
      <c r="D9" s="352"/>
      <c r="E9" s="347" t="s">
        <v>1404</v>
      </c>
      <c r="F9" s="357">
        <f ca="1">INDIRECT("'数据-取费表'!w"&amp;$G$1)</f>
        <v>0.12</v>
      </c>
      <c r="G9" s="1853"/>
      <c r="H9" s="349"/>
      <c r="I9" s="3265"/>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3033</v>
      </c>
      <c r="E10" s="358" t="s">
        <v>1406</v>
      </c>
      <c r="F10" s="1368" t="s">
        <v>3285</v>
      </c>
      <c r="G10" s="1853"/>
      <c r="H10" s="1293" t="s">
        <v>1036</v>
      </c>
      <c r="I10" s="1825" t="s">
        <v>1405</v>
      </c>
      <c r="J10" s="346">
        <f ca="1">ROUND(IF(M10="押一",J6/12*M11,IF(M10="押二",J6/12*2*M11,IF(M10="押三",J6/12*3*M11,J11*M11))),0)</f>
        <v>0</v>
      </c>
      <c r="K10" s="1826" t="s">
        <v>3032</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1786</v>
      </c>
      <c r="D13" s="1333" t="s">
        <v>1411</v>
      </c>
      <c r="E13" s="1333" t="s">
        <v>1412</v>
      </c>
      <c r="F13" s="1334">
        <f ca="1">INDIRECT("'数据-取费表'!y"&amp;$G$1)</f>
        <v>0.95499999999999996</v>
      </c>
      <c r="G13" s="1853"/>
      <c r="H13" s="1331">
        <v>2</v>
      </c>
      <c r="I13" s="1332" t="s">
        <v>1410</v>
      </c>
      <c r="J13" s="1292">
        <f ca="1">ROUND(J14*J15,0)</f>
        <v>0</v>
      </c>
      <c r="K13" s="1339" t="s">
        <v>1411</v>
      </c>
      <c r="L13" s="1854"/>
      <c r="M13" s="1855"/>
    </row>
    <row r="14" spans="1:37" ht="18" customHeight="1">
      <c r="A14" s="1203" t="s">
        <v>1031</v>
      </c>
      <c r="B14" s="347" t="s">
        <v>1413</v>
      </c>
      <c r="C14" s="363">
        <f ca="1">INDIRECT("'数据-取费表'!m"&amp;$G$1)+INDIRECT("'数据-取费表'!t"&amp;$G$1)</f>
        <v>1225</v>
      </c>
      <c r="D14" s="1802" t="s">
        <v>1414</v>
      </c>
      <c r="E14" s="1796"/>
      <c r="F14" s="364"/>
      <c r="G14" s="1853"/>
      <c r="H14" s="1203" t="s">
        <v>1032</v>
      </c>
      <c r="I14" s="347" t="s">
        <v>1415</v>
      </c>
      <c r="J14" s="24">
        <f ca="1">C29</f>
        <v>1870</v>
      </c>
      <c r="K14" s="15"/>
      <c r="L14" s="981"/>
      <c r="M14" s="982"/>
    </row>
    <row r="15" spans="1:37" s="1860" customFormat="1" ht="18" customHeight="1" thickBot="1">
      <c r="A15" s="1203" t="s">
        <v>1033</v>
      </c>
      <c r="B15" s="347" t="s">
        <v>1416</v>
      </c>
      <c r="C15" s="24">
        <f ca="1">ROUND(C14*F15,0)</f>
        <v>43</v>
      </c>
      <c r="D15" s="365" t="s">
        <v>1417</v>
      </c>
      <c r="E15" s="365" t="s">
        <v>1418</v>
      </c>
      <c r="F15" s="366">
        <f>'数据-取费表'!B33</f>
        <v>3.5000000000000003E-2</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54</v>
      </c>
      <c r="K16" s="1339" t="s">
        <v>1421</v>
      </c>
      <c r="L16" s="1340"/>
      <c r="M16" s="1296"/>
    </row>
    <row r="17" spans="1:37" s="1860" customFormat="1" ht="18" customHeight="1">
      <c r="A17" s="1203" t="s">
        <v>1386</v>
      </c>
      <c r="B17" s="347" t="s">
        <v>1422</v>
      </c>
      <c r="C17" s="24">
        <f ca="1">ROUND(F17*(F43+INDIRECT("'数据-取费表'!S"&amp;$G$1))/10000,0)</f>
        <v>98</v>
      </c>
      <c r="D17" s="347" t="s">
        <v>1423</v>
      </c>
      <c r="E17" s="347" t="s">
        <v>1424</v>
      </c>
      <c r="F17" s="26">
        <f>'数据-取费表'!B35</f>
        <v>200</v>
      </c>
      <c r="G17" s="1856"/>
      <c r="H17" s="1203" t="s">
        <v>1032</v>
      </c>
      <c r="I17" s="347" t="s">
        <v>1425</v>
      </c>
      <c r="J17" s="24">
        <f ca="1">ROUND(IF(项目基本情况!B11="自然人",J5*M17,J18+J19+J20),1)</f>
        <v>16.100000000000001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18</v>
      </c>
      <c r="D18" s="347" t="s">
        <v>1417</v>
      </c>
      <c r="E18" s="347" t="s">
        <v>1418</v>
      </c>
      <c r="F18" s="367">
        <f>'数据-取费表'!B36</f>
        <v>1.4999999999999999E-2</v>
      </c>
      <c r="G18" s="1856"/>
      <c r="H18" s="1203"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1384</v>
      </c>
      <c r="D19" s="140" t="s">
        <v>1432</v>
      </c>
      <c r="E19" s="1820"/>
      <c r="F19" s="26"/>
      <c r="G19" s="1853"/>
      <c r="H19" s="1203" t="s">
        <v>1033</v>
      </c>
      <c r="I19" s="347" t="s">
        <v>1433</v>
      </c>
      <c r="J19" s="24">
        <f ca="1">IF(K19="按租金收入计税",ROUND(J5*M19,2),ROUND(C29*M19*0.7,2))</f>
        <v>15.71</v>
      </c>
      <c r="K19" s="1830" t="s">
        <v>1434</v>
      </c>
      <c r="L19" s="347" t="s">
        <v>1418</v>
      </c>
      <c r="M19" s="367">
        <f>IF(K19="按租金收入计税",'数据-取费表'!B51,'数据-取费表'!B50)</f>
        <v>1.2E-2</v>
      </c>
    </row>
    <row r="20" spans="1:37" s="1860" customFormat="1" ht="18" customHeight="1">
      <c r="A20" s="1203" t="s">
        <v>1036</v>
      </c>
      <c r="B20" s="347" t="s">
        <v>1435</v>
      </c>
      <c r="C20" s="24">
        <f ca="1">ROUND(C19*F20,0)</f>
        <v>28</v>
      </c>
      <c r="D20" s="369" t="s">
        <v>1436</v>
      </c>
      <c r="E20" s="347" t="s">
        <v>1418</v>
      </c>
      <c r="F20" s="367">
        <f>'数据-取费表'!B37</f>
        <v>0.02</v>
      </c>
      <c r="G20" s="1856"/>
      <c r="H20" s="1203" t="s">
        <v>1385</v>
      </c>
      <c r="I20" s="164" t="s">
        <v>1437</v>
      </c>
      <c r="J20" s="25">
        <f ca="1">ROUND(M20*M21/10000,2)</f>
        <v>0.36</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1208.58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1036</v>
      </c>
      <c r="I22" s="347" t="s">
        <v>1445</v>
      </c>
      <c r="J22" s="24">
        <f ca="1">ROUND(J14*M22,1)</f>
        <v>37.4</v>
      </c>
      <c r="K22" s="1800" t="s">
        <v>1446</v>
      </c>
      <c r="L22" s="347" t="s">
        <v>1418</v>
      </c>
      <c r="M22" s="374">
        <f ca="1">INDIRECT("'数据-取费表'!Ak"&amp;$G$1)</f>
        <v>0.02</v>
      </c>
    </row>
    <row r="23" spans="1:37" s="1860" customFormat="1" ht="18" customHeight="1">
      <c r="A23" s="1203" t="s">
        <v>1031</v>
      </c>
      <c r="B23" s="347" t="s">
        <v>1447</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1448</v>
      </c>
      <c r="F23" s="371">
        <f>'数据-取费表'!B20</f>
        <v>3</v>
      </c>
      <c r="G23" s="1856"/>
      <c r="H23" s="1203" t="s">
        <v>1072</v>
      </c>
      <c r="I23" s="347" t="s">
        <v>1449</v>
      </c>
      <c r="J23" s="24">
        <f ca="1">ROUND(J13*M23,1)</f>
        <v>0</v>
      </c>
      <c r="K23" s="1800" t="s">
        <v>1450</v>
      </c>
      <c r="L23" s="347" t="s">
        <v>1451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1820"/>
      <c r="F25" s="26"/>
      <c r="G25" s="1853"/>
      <c r="H25" s="1331" t="s">
        <v>1028</v>
      </c>
      <c r="I25" s="1346" t="s">
        <v>1459</v>
      </c>
      <c r="J25" s="355">
        <f ca="1">J5-J16</f>
        <v>-54</v>
      </c>
      <c r="K25" s="1347" t="s">
        <v>1460</v>
      </c>
      <c r="L25" s="1348"/>
      <c r="M25" s="1349"/>
    </row>
    <row r="26" spans="1:37">
      <c r="A26" s="1203" t="s">
        <v>1031</v>
      </c>
      <c r="B26" s="347" t="s">
        <v>1461</v>
      </c>
      <c r="C26" s="24">
        <f ca="1">ROUND((C19+C20)*F26,0)</f>
        <v>212</v>
      </c>
      <c r="D26" s="369" t="s">
        <v>1462</v>
      </c>
      <c r="E26" s="358" t="s">
        <v>1463</v>
      </c>
      <c r="F26" s="357">
        <f ca="1">INDIRECT("'数据-取费表'!q"&amp;$G$1)</f>
        <v>0.15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3" t="s">
        <v>1033</v>
      </c>
      <c r="B27" s="347" t="s">
        <v>1467</v>
      </c>
      <c r="C27" s="24">
        <f ca="1">ROUND(F21*F26,4)</f>
        <v>3.0000000000000001E-3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1870</v>
      </c>
      <c r="D29" s="1344"/>
      <c r="E29" s="1342"/>
      <c r="F29" s="1345"/>
      <c r="G29" s="1856"/>
      <c r="H29" s="380" t="s">
        <v>1030</v>
      </c>
      <c r="I29" s="381" t="s">
        <v>1475</v>
      </c>
      <c r="J29" s="382">
        <f ca="1">ROUND(J26/(1+F40)^F41,0)</f>
        <v>0</v>
      </c>
      <c r="K29" s="383" t="s">
        <v>1476</v>
      </c>
      <c r="L29" s="384"/>
      <c r="M29" s="385">
        <f ca="1">INDIRECT("'数据-取费表'!k"&amp;$G$1)</f>
        <v>4900.1399999999994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106</v>
      </c>
      <c r="D30" s="1339" t="s">
        <v>1421</v>
      </c>
      <c r="E30" s="1340"/>
      <c r="F30" s="1296"/>
      <c r="G30" s="1853"/>
      <c r="H30" s="745"/>
      <c r="I30" s="746"/>
      <c r="J30" s="747"/>
      <c r="K30" s="748"/>
      <c r="L30" s="749"/>
      <c r="M30" s="750"/>
    </row>
    <row r="31" spans="1:37" ht="18" customHeight="1">
      <c r="A31" s="1203" t="s">
        <v>1032</v>
      </c>
      <c r="B31" s="347" t="s">
        <v>1425</v>
      </c>
      <c r="C31" s="24">
        <f ca="1">ROUND(IF(项目基本情况!B11="自然人",C5*F31,C32+C33+C34),1)</f>
        <v>58.5</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IF(项目基本情况!B11="自然人","——",ROUND(C5*F32/(1+'数据-取费表'!C42),2))</f>
        <v>17.649999999999999</v>
      </c>
      <c r="D32" s="1800" t="s">
        <v>1430</v>
      </c>
      <c r="E32" s="347" t="s">
        <v>1418</v>
      </c>
      <c r="F32" s="377">
        <f>'数据-取费表'!B41</f>
        <v>5.5000000000000007E-2</v>
      </c>
      <c r="G32" s="1853"/>
      <c r="H32" s="745"/>
      <c r="I32" s="746"/>
      <c r="J32" s="747"/>
      <c r="K32" s="748"/>
      <c r="L32" s="749"/>
      <c r="M32" s="750"/>
    </row>
    <row r="33" spans="1:18" ht="18" customHeight="1">
      <c r="A33" s="1203" t="s">
        <v>1033</v>
      </c>
      <c r="B33" s="347" t="s">
        <v>1433</v>
      </c>
      <c r="C33" s="24">
        <f ca="1">IF(项目基本情况!B11="自然人","——",IF(D33="按租金收入计税",ROUND(C5*F33,2),IF(D33="按房产原值计税",ROUND(C29*F33*0.7,2),INDIRECT("'数据-取费表'!Aj"&amp;$G$1))))</f>
        <v>40.44</v>
      </c>
      <c r="D33" s="1830" t="s">
        <v>3286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0.36</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1208.58</v>
      </c>
      <c r="G35" s="1853"/>
      <c r="H35" s="745"/>
      <c r="I35" s="1862"/>
      <c r="J35" s="1863"/>
      <c r="K35" s="1864"/>
      <c r="L35" s="1861"/>
      <c r="M35" s="1861"/>
    </row>
    <row r="36" spans="1:18" ht="18" customHeight="1">
      <c r="A36" s="1354" t="s">
        <v>1036</v>
      </c>
      <c r="B36" s="347" t="s">
        <v>1445</v>
      </c>
      <c r="C36" s="24">
        <f ca="1">ROUND(C29*F36,1)</f>
        <v>37.4</v>
      </c>
      <c r="D36" s="1800" t="s">
        <v>1478</v>
      </c>
      <c r="E36" s="347" t="s">
        <v>1418</v>
      </c>
      <c r="F36" s="374">
        <f ca="1">INDIRECT("'数据-取费表'!Ak"&amp;$G$1)</f>
        <v>0.02</v>
      </c>
      <c r="G36" s="1853"/>
      <c r="H36" s="1861"/>
      <c r="I36" s="1862"/>
      <c r="J36" s="1863"/>
      <c r="K36" s="751"/>
      <c r="L36" s="1861"/>
      <c r="M36" s="1861"/>
    </row>
    <row r="37" spans="1:18" ht="18" customHeight="1">
      <c r="A37" s="1203" t="s">
        <v>1072</v>
      </c>
      <c r="B37" s="347" t="s">
        <v>1449</v>
      </c>
      <c r="C37" s="24">
        <f ca="1">ROUND(C13*F37,1)</f>
        <v>3.6</v>
      </c>
      <c r="D37" s="1800" t="s">
        <v>1450</v>
      </c>
      <c r="E37" s="347" t="s">
        <v>1451</v>
      </c>
      <c r="F37" s="376">
        <f ca="1">INDIRECT("'数据-取费表'!Al"&amp;$G$1)</f>
        <v>2E-3</v>
      </c>
      <c r="G37" s="1853"/>
      <c r="H37" s="1861"/>
      <c r="I37" s="1862"/>
      <c r="J37" s="1863"/>
      <c r="K37" s="751"/>
      <c r="L37" s="1861"/>
      <c r="M37" s="1861"/>
    </row>
    <row r="38" spans="1:18" ht="18" customHeight="1" thickBot="1">
      <c r="A38" s="1341" t="s">
        <v>1389</v>
      </c>
      <c r="B38" s="1342" t="s">
        <v>1435</v>
      </c>
      <c r="C38" s="1343">
        <f ca="1">ROUND(C5*F38,1)</f>
        <v>6.7</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231</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4979</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32.119999999999997</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10161</v>
      </c>
      <c r="D43" s="383" t="s">
        <v>1484</v>
      </c>
      <c r="E43" s="384" t="s">
        <v>1485</v>
      </c>
      <c r="F43" s="385">
        <f ca="1">INDIRECT("'数据-取费表'!k"&amp;$G$1)</f>
        <v>4900.1399999999994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-8113</v>
      </c>
      <c r="D46" s="1874" t="str">
        <f>C2</f>
        <v>万元</v>
      </c>
      <c r="E46" s="1868"/>
      <c r="F46" s="1868"/>
      <c r="I46" s="1875" t="s">
        <v>1517</v>
      </c>
      <c r="J46" s="1876"/>
      <c r="K46" s="1877"/>
      <c r="L46" s="1878">
        <f ca="1">IF(M47="住宅",0,IF(L48&gt;J51,L60,J60))</f>
        <v>56</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2"/>
      <c r="I47" s="1882" t="s">
        <v>1522</v>
      </c>
      <c r="J47" s="1883" t="s">
        <v>3287</v>
      </c>
      <c r="K47" s="1884" t="s">
        <v>1523</v>
      </c>
      <c r="L47" s="1885">
        <f ca="1">INDIRECT("'数据-取费表'!d"&amp;$G$1)</f>
        <v>40</v>
      </c>
      <c r="M47" s="1840" t="str">
        <f>IF(ISNUMBER(FIND("住宅",C1)),"住宅","非住宅")</f>
        <v>非住宅</v>
      </c>
      <c r="O47" s="1886" t="s">
        <v>1037</v>
      </c>
      <c r="P47" s="1887" t="s">
        <v>1524</v>
      </c>
      <c r="Q47" s="1888">
        <f ca="1">C40+J29</f>
        <v>4979</v>
      </c>
      <c r="R47" s="1888" t="s">
        <v>1525</v>
      </c>
    </row>
    <row r="48" spans="1:18" s="1844" customFormat="1" ht="28.5" thickBot="1">
      <c r="A48" s="1362" t="s">
        <v>1132</v>
      </c>
      <c r="B48" s="345" t="s">
        <v>1397</v>
      </c>
      <c r="C48" s="1819">
        <f ca="1">C49+C53+C55</f>
        <v>0</v>
      </c>
      <c r="D48" s="1364"/>
      <c r="E48" s="1365"/>
      <c r="F48" s="1183"/>
      <c r="G48" s="792"/>
      <c r="H48" s="793"/>
      <c r="I48" s="1889" t="s">
        <v>1526</v>
      </c>
      <c r="J48" s="1890" t="s">
        <v>3288</v>
      </c>
      <c r="K48" s="1891" t="s">
        <v>1527</v>
      </c>
      <c r="L48" s="1892">
        <f ca="1">INDIRECT("'数据-取费表'!f"&amp;$G$1)</f>
        <v>32.119999999999997</v>
      </c>
      <c r="O48" s="1886" t="s">
        <v>1038</v>
      </c>
      <c r="P48" s="1887" t="s">
        <v>1528</v>
      </c>
      <c r="Q48" s="1888">
        <f ca="1">J60</f>
        <v>56</v>
      </c>
      <c r="R48" s="1888" t="s">
        <v>1529</v>
      </c>
    </row>
    <row r="49" spans="1:18" s="1844" customFormat="1" ht="13.5" thickBot="1">
      <c r="A49" s="1196" t="s">
        <v>1133</v>
      </c>
      <c r="B49" s="1831" t="s">
        <v>1486</v>
      </c>
      <c r="C49" s="1366">
        <f ca="1">ROUND(F49*F51*F50*(1-F52)/10000,0)</f>
        <v>0</v>
      </c>
      <c r="D49" s="1278" t="s">
        <v>3025</v>
      </c>
      <c r="E49" s="1832" t="s">
        <v>1487</v>
      </c>
      <c r="F49" s="1283"/>
      <c r="G49" s="1893"/>
      <c r="H49" s="793"/>
      <c r="I49" s="1889" t="s">
        <v>1530</v>
      </c>
      <c r="J49" s="1894">
        <v>2015</v>
      </c>
      <c r="K49" s="1891" t="s">
        <v>1531</v>
      </c>
      <c r="L49" s="1895"/>
      <c r="O49" s="1896" t="s">
        <v>1039</v>
      </c>
      <c r="P49" s="1887" t="s">
        <v>1532</v>
      </c>
      <c r="Q49" s="1888">
        <f ca="1">C29</f>
        <v>1870</v>
      </c>
      <c r="R49" s="1888" t="s">
        <v>1525</v>
      </c>
    </row>
    <row r="50" spans="1:18" s="1844" customFormat="1" ht="13.5" thickBot="1">
      <c r="A50" s="1197"/>
      <c r="B50" s="1200"/>
      <c r="C50" s="1370"/>
      <c r="D50" s="1174"/>
      <c r="E50" s="1279" t="s">
        <v>1402</v>
      </c>
      <c r="F50" s="1280">
        <f ca="1">F7</f>
        <v>4900.1399999999994</v>
      </c>
      <c r="H50" s="793"/>
      <c r="I50" s="1889" t="s">
        <v>1533</v>
      </c>
      <c r="J50" s="1897">
        <f>SUMPRODUCT((I63:I65=J47)*(J62:L62=J48)*(J63:L65))</f>
        <v>60</v>
      </c>
      <c r="K50" s="1891" t="s">
        <v>1534</v>
      </c>
      <c r="L50" s="1895"/>
      <c r="M50" s="1898"/>
      <c r="O50" s="1896" t="s">
        <v>1040</v>
      </c>
      <c r="P50" s="1887" t="s">
        <v>1535</v>
      </c>
      <c r="Q50" s="1899">
        <f ca="1">J58</f>
        <v>0.41499999999999998</v>
      </c>
      <c r="R50" s="1888"/>
    </row>
    <row r="51" spans="1:18" s="1844" customFormat="1" ht="13.5" thickBot="1">
      <c r="A51" s="1198"/>
      <c r="B51" s="1200"/>
      <c r="C51" s="1201"/>
      <c r="D51" s="1174"/>
      <c r="E51" s="1202" t="s">
        <v>1403</v>
      </c>
      <c r="F51" s="348">
        <f ca="1">F8</f>
        <v>365</v>
      </c>
      <c r="I51" s="1900" t="s">
        <v>1536</v>
      </c>
      <c r="J51" s="1901">
        <f>IF(J49="",J50,J49+J50-YEAR('数据-取费表'!B2))</f>
        <v>57</v>
      </c>
      <c r="K51" s="1902" t="s">
        <v>1537</v>
      </c>
      <c r="L51" s="1903">
        <f ca="1">ROUND(-PV(INDIRECT("'数据-取费表'!h"&amp;$G$1),L48,(C39-C13*C76),0),0)</f>
        <v>1482</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32.119999999999997</v>
      </c>
      <c r="R52" s="1888" t="s">
        <v>1542</v>
      </c>
    </row>
    <row r="53" spans="1:18" s="1844" customFormat="1" ht="24.75" thickBot="1">
      <c r="A53" s="1407" t="s">
        <v>1134</v>
      </c>
      <c r="B53" s="1833" t="s">
        <v>1405</v>
      </c>
      <c r="C53" s="361">
        <f ca="1">ROUND(IF(F53="押一",C49/12*F11,IF(F53="押二",C49/12*2*F11,IF(F53="押三",C49/12*3*F11,C54*F11))),0)</f>
        <v>0</v>
      </c>
      <c r="D53" s="1826" t="s">
        <v>3032</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32.119999999999997</v>
      </c>
      <c r="K53" s="3261" t="s">
        <v>1544</v>
      </c>
      <c r="L53" s="3262"/>
      <c r="O53" s="1886" t="s">
        <v>1043</v>
      </c>
      <c r="P53" s="1887" t="s">
        <v>1545</v>
      </c>
      <c r="Q53" s="1888">
        <f ca="1">Q47+Q48</f>
        <v>5035</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0.41499999999999998</v>
      </c>
      <c r="K55" s="1914" t="s">
        <v>1548</v>
      </c>
      <c r="L55" s="1915" t="s">
        <v>1549</v>
      </c>
      <c r="O55" s="1879" t="s">
        <v>1518</v>
      </c>
      <c r="P55" s="1880" t="s">
        <v>1519</v>
      </c>
      <c r="Q55" s="1881" t="s">
        <v>1520</v>
      </c>
      <c r="R55" s="1881" t="s">
        <v>1521</v>
      </c>
    </row>
    <row r="56" spans="1:18" s="1844" customFormat="1" ht="25.5" thickTop="1" thickBot="1">
      <c r="A56" s="1178">
        <v>2</v>
      </c>
      <c r="B56" s="1179" t="s">
        <v>1410</v>
      </c>
      <c r="C56" s="276">
        <f ca="1">C13</f>
        <v>1786</v>
      </c>
      <c r="D56" s="1916"/>
      <c r="E56" s="1917"/>
      <c r="F56" s="1909"/>
      <c r="I56" s="1918" t="s">
        <v>1550</v>
      </c>
      <c r="J56" s="1919" t="s">
        <v>3054</v>
      </c>
      <c r="K56" s="1889" t="s">
        <v>1551</v>
      </c>
      <c r="L56" s="1892" t="str">
        <f ca="1">IF(L48&lt;J51,"——",L48-J53)</f>
        <v>——</v>
      </c>
      <c r="O56" s="1886" t="s">
        <v>1037</v>
      </c>
      <c r="P56" s="1887" t="s">
        <v>1524</v>
      </c>
      <c r="Q56" s="1888">
        <f ca="1">C40+J29</f>
        <v>4979</v>
      </c>
      <c r="R56" s="1888" t="s">
        <v>1525</v>
      </c>
    </row>
    <row r="57" spans="1:18" s="1844" customFormat="1" ht="24.75" thickBot="1">
      <c r="A57" s="1920"/>
      <c r="B57" s="1171" t="s">
        <v>1474</v>
      </c>
      <c r="C57" s="282">
        <f ca="1">C29</f>
        <v>1870</v>
      </c>
      <c r="D57" s="1921"/>
      <c r="E57" s="1922"/>
      <c r="F57" s="1923"/>
      <c r="I57" s="1924" t="s">
        <v>1552</v>
      </c>
      <c r="J57" s="1925">
        <f ca="1">IF(OR(M47="住宅",J51&lt;L48,J56="是"),"——",J51-L48)</f>
        <v>24.880000000000003</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79" t="s">
        <v>1420</v>
      </c>
      <c r="C58" s="361">
        <f ca="1">ROUND(C59+C64+C65+C66,0)</f>
        <v>198</v>
      </c>
      <c r="D58" s="1181" t="s">
        <v>1421</v>
      </c>
      <c r="E58" s="1182"/>
      <c r="F58" s="1183"/>
      <c r="I58" s="1924" t="s">
        <v>1556</v>
      </c>
      <c r="J58" s="1926">
        <f ca="1">IF(J55&lt;0.4,0.4,J55)</f>
        <v>0.41499999999999998</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157.4</v>
      </c>
      <c r="D59" s="1184" t="s">
        <v>1426</v>
      </c>
      <c r="E59" s="1185" t="s">
        <v>1427</v>
      </c>
      <c r="F59" s="368" t="str">
        <f ca="1">IF(项目基本情况!B11="企业","",IF(INDIRECT("'数据-取费表'!c"&amp;$G$1)="住宅",5%,IF(F49*F50*F51/12/(1+'数据-取费表'!C42)&gt;20000,12%,7%)))</f>
        <v/>
      </c>
      <c r="I59" s="1924" t="s">
        <v>1559</v>
      </c>
      <c r="J59" s="1925">
        <f ca="1">IF(OR(M47="住宅",J51&lt;L48,J56="是"),"——",ROUND(C29*J58,0))</f>
        <v>776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7" t="s">
        <v>1561</v>
      </c>
      <c r="J60" s="1928">
        <f ca="1">IF(OR(M47="住宅",J51&lt;L48,J56="是"),"0",ROUND(J59/(1+J52)^J53,0))</f>
        <v>56</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157.08000000000001</v>
      </c>
      <c r="D61" s="1830" t="s">
        <v>1434</v>
      </c>
      <c r="E61" s="1171"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0.36</v>
      </c>
      <c r="D62" s="1186" t="s">
        <v>1493</v>
      </c>
      <c r="E62" s="1171" t="s">
        <v>1494</v>
      </c>
      <c r="F62" s="371">
        <f t="shared" si="0"/>
        <v>3</v>
      </c>
      <c r="I62" s="1931" t="s">
        <v>1566</v>
      </c>
      <c r="J62" s="1932" t="s">
        <v>1567</v>
      </c>
      <c r="K62" s="1932" t="s">
        <v>1568</v>
      </c>
      <c r="L62" s="1932" t="s">
        <v>1569</v>
      </c>
      <c r="M62" s="1933" t="s">
        <v>1570</v>
      </c>
      <c r="O62" s="1886" t="s">
        <v>1043</v>
      </c>
      <c r="P62" s="1887" t="s">
        <v>1571</v>
      </c>
      <c r="Q62" s="1888">
        <f ca="1">Q56+Q57</f>
        <v>4979</v>
      </c>
      <c r="R62" s="1888" t="s">
        <v>1044</v>
      </c>
    </row>
    <row r="63" spans="1:18" s="1844" customFormat="1" ht="13.5" thickBot="1">
      <c r="A63" s="372"/>
      <c r="B63" s="1177"/>
      <c r="C63" s="29"/>
      <c r="D63" s="1187"/>
      <c r="E63" s="1171" t="s">
        <v>1495</v>
      </c>
      <c r="F63" s="348">
        <f t="shared" ca="1" si="0"/>
        <v>1208.58</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37.4</v>
      </c>
      <c r="D64" s="1185" t="s">
        <v>1498</v>
      </c>
      <c r="E64" s="1171" t="s">
        <v>1490</v>
      </c>
      <c r="F64" s="374">
        <f t="shared" ca="1" si="0"/>
        <v>0.02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3.6</v>
      </c>
      <c r="D65" s="1185" t="s">
        <v>1450</v>
      </c>
      <c r="E65" s="1171" t="s">
        <v>1451</v>
      </c>
      <c r="F65" s="376">
        <f t="shared" ca="1" si="0"/>
        <v>2E-3</v>
      </c>
      <c r="I65" s="1931" t="s">
        <v>1575</v>
      </c>
      <c r="J65" s="1932">
        <v>40</v>
      </c>
      <c r="K65" s="1932">
        <v>30</v>
      </c>
      <c r="L65" s="1932">
        <v>50</v>
      </c>
      <c r="M65" s="1934">
        <v>0.02</v>
      </c>
      <c r="O65" s="1886" t="s">
        <v>1037</v>
      </c>
      <c r="P65" s="1887" t="s">
        <v>1576</v>
      </c>
      <c r="Q65" s="1888">
        <f ca="1">C40+J29</f>
        <v>4979</v>
      </c>
      <c r="R65" s="1888" t="s">
        <v>1525</v>
      </c>
    </row>
    <row r="66" spans="1:18" s="1844" customFormat="1" ht="16.5" thickBot="1">
      <c r="A66" s="1203" t="s">
        <v>1500</v>
      </c>
      <c r="B66" s="1171" t="s">
        <v>1435</v>
      </c>
      <c r="C66" s="24">
        <f ca="1">ROUND(C48*F66,1)</f>
        <v>0</v>
      </c>
      <c r="D66" s="1185" t="s">
        <v>1501</v>
      </c>
      <c r="E66" s="1171" t="s">
        <v>1418</v>
      </c>
      <c r="F66" s="357">
        <f t="shared" ca="1" si="0"/>
        <v>0.02</v>
      </c>
      <c r="O66" s="1886" t="s">
        <v>1038</v>
      </c>
      <c r="P66" s="1887" t="s">
        <v>1554</v>
      </c>
      <c r="Q66" s="1888">
        <f ca="1">L60</f>
        <v>0</v>
      </c>
      <c r="R66" s="1888" t="s">
        <v>1577</v>
      </c>
    </row>
    <row r="67" spans="1:18" s="1844" customFormat="1" ht="16.5" thickBot="1">
      <c r="A67" s="1178" t="s">
        <v>1028</v>
      </c>
      <c r="B67" s="1188" t="s">
        <v>1459</v>
      </c>
      <c r="C67" s="361">
        <f ca="1">C48-C58</f>
        <v>-198</v>
      </c>
      <c r="D67" s="1184" t="s">
        <v>1460</v>
      </c>
      <c r="E67" s="1189"/>
      <c r="F67" s="1190"/>
      <c r="O67" s="1896" t="s">
        <v>1039</v>
      </c>
      <c r="P67" s="1887" t="s">
        <v>1558</v>
      </c>
      <c r="Q67" s="1935">
        <f ca="1">L51</f>
        <v>1482</v>
      </c>
      <c r="R67" s="1888" t="s">
        <v>1578</v>
      </c>
    </row>
    <row r="68" spans="1:18" s="1844" customFormat="1" ht="16.5" thickBot="1">
      <c r="A68" s="1168" t="s">
        <v>1029</v>
      </c>
      <c r="B68" s="1169" t="s">
        <v>1481</v>
      </c>
      <c r="C68" s="346">
        <f ca="1">ROUND(C67*(1-((1+F70)/(1+F68))^F69)/(F68-F70),0)</f>
        <v>-3134</v>
      </c>
      <c r="D68" s="1186" t="s">
        <v>1465</v>
      </c>
      <c r="E68" s="1171" t="s">
        <v>1466</v>
      </c>
      <c r="F68" s="357">
        <f ca="1">F40</f>
        <v>0.05</v>
      </c>
      <c r="O68" s="1896" t="s">
        <v>1040</v>
      </c>
      <c r="P68" s="1936" t="s">
        <v>1579</v>
      </c>
      <c r="Q68" s="1888">
        <f ca="1">ROUND(Q69-Q70*Q71,0)</f>
        <v>88</v>
      </c>
      <c r="R68" s="1888" t="s">
        <v>1048</v>
      </c>
    </row>
    <row r="69" spans="1:18" s="1844" customFormat="1" ht="13.5" thickBot="1">
      <c r="A69" s="1172"/>
      <c r="B69" s="1173"/>
      <c r="C69" s="351"/>
      <c r="D69" s="1191" t="s">
        <v>1469</v>
      </c>
      <c r="E69" s="1171" t="s">
        <v>1470</v>
      </c>
      <c r="F69" s="379">
        <f ca="1">F41</f>
        <v>32.119999999999997</v>
      </c>
      <c r="O69" s="1896" t="s">
        <v>1045</v>
      </c>
      <c r="P69" s="1936" t="s">
        <v>1580</v>
      </c>
      <c r="Q69" s="1888">
        <f ca="1">C39</f>
        <v>231</v>
      </c>
      <c r="R69" s="1888" t="s">
        <v>1525</v>
      </c>
    </row>
    <row r="70" spans="1:18" s="1844" customFormat="1" ht="13.5" thickBot="1">
      <c r="A70" s="1175"/>
      <c r="B70" s="1176"/>
      <c r="C70" s="355"/>
      <c r="D70" s="1187"/>
      <c r="E70" s="1171" t="s">
        <v>1473</v>
      </c>
      <c r="F70" s="1277"/>
      <c r="O70" s="1896" t="s">
        <v>1046</v>
      </c>
      <c r="P70" s="1936" t="s">
        <v>1581</v>
      </c>
      <c r="Q70" s="1888">
        <f ca="1">C13</f>
        <v>1786</v>
      </c>
      <c r="R70" s="1888" t="s">
        <v>1525</v>
      </c>
    </row>
    <row r="71" spans="1:18" s="1844" customFormat="1" ht="13.5" thickBot="1">
      <c r="A71" s="1192" t="s">
        <v>1030</v>
      </c>
      <c r="B71" s="1193" t="s">
        <v>1483</v>
      </c>
      <c r="C71" s="382">
        <f ca="1">ROUND(C68*10000/F71,0)</f>
        <v>-6396</v>
      </c>
      <c r="D71" s="1194" t="s">
        <v>1484</v>
      </c>
      <c r="E71" s="1195" t="s">
        <v>1485</v>
      </c>
      <c r="F71" s="385">
        <f ca="1">F43</f>
        <v>4900.1399999999994</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143</v>
      </c>
      <c r="D75" s="1844"/>
      <c r="E75" s="1844"/>
      <c r="F75" s="1844"/>
      <c r="K75" s="1870"/>
      <c r="L75" s="1844"/>
      <c r="O75" s="1886" t="s">
        <v>1043</v>
      </c>
      <c r="P75" s="1887" t="s">
        <v>1545</v>
      </c>
      <c r="Q75" s="1888">
        <f ca="1">Q65+Q66</f>
        <v>4979</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0.38100000000000001</v>
      </c>
    </row>
    <row r="80" spans="1:18">
      <c r="B80" s="386" t="s">
        <v>1507</v>
      </c>
      <c r="C80" s="318">
        <f ca="1">ROUND(C75/C39,3)</f>
        <v>0.61899999999999999</v>
      </c>
    </row>
    <row r="81" spans="2:3">
      <c r="B81" s="314" t="s">
        <v>1508</v>
      </c>
      <c r="C81" s="282"/>
    </row>
    <row r="82" spans="2:3">
      <c r="B82" s="317" t="s">
        <v>1509</v>
      </c>
      <c r="C82" s="319">
        <f ca="1">1-C83</f>
        <v>0.64100000000000001</v>
      </c>
    </row>
    <row r="83" spans="2:3">
      <c r="B83" s="317" t="s">
        <v>1510</v>
      </c>
      <c r="C83" s="318">
        <f ca="1">ROUND(C13/C40,3)</f>
        <v>0.35899999999999999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2107</v>
      </c>
      <c r="B1" s="2419"/>
      <c r="C1" s="2420" t="s">
        <v>3252</v>
      </c>
      <c r="D1" s="2419"/>
      <c r="E1" s="2419"/>
      <c r="F1" s="2421" t="s">
        <v>2108</v>
      </c>
      <c r="G1" s="2072" t="s">
        <v>3060</v>
      </c>
      <c r="H1" s="2422" t="str">
        <f>IF(G1="现房","——","估价对象范围")</f>
        <v>——</v>
      </c>
      <c r="I1" s="2423" t="s">
        <v>3281</v>
      </c>
    </row>
    <row r="2" spans="1:12" ht="21.75" customHeight="1" thickBot="1">
      <c r="A2" s="3167" t="str">
        <f>项目基本情况!S2</f>
        <v>北京市大兴区永兴路7号院6号楼-101号商业用房房地产</v>
      </c>
      <c r="B2" s="3168"/>
      <c r="C2" s="3168"/>
      <c r="D2" s="3168"/>
      <c r="E2" s="3168"/>
      <c r="F2" s="3168"/>
      <c r="G2" s="3168"/>
      <c r="H2" s="3168"/>
      <c r="I2" s="3169"/>
    </row>
    <row r="3" spans="1:12" ht="12.75">
      <c r="A3" s="3170" t="s">
        <v>2109</v>
      </c>
      <c r="B3" s="3171"/>
      <c r="C3" s="3171"/>
      <c r="D3" s="3171"/>
      <c r="E3" s="3171"/>
      <c r="F3" s="3171"/>
      <c r="G3" s="3171"/>
      <c r="H3" s="3171"/>
      <c r="I3" s="3171"/>
    </row>
    <row r="4" spans="1:12" ht="14.25">
      <c r="A4" s="2426" t="s">
        <v>2110</v>
      </c>
      <c r="B4" s="2427" t="s">
        <v>2111</v>
      </c>
      <c r="C4" s="2428" t="s">
        <v>3302</v>
      </c>
      <c r="D4" s="2428" t="s">
        <v>3304</v>
      </c>
      <c r="E4" s="3151" t="s">
        <v>2112</v>
      </c>
      <c r="F4" s="3164"/>
      <c r="G4" s="3164"/>
      <c r="H4" s="3164"/>
      <c r="I4" s="3152"/>
      <c r="K4" s="2429" t="str">
        <f>IF(ISNUMBER(FIND("比较法",'结果表(地下仓储)'!C4)),"比较法",IF(ISNUMBER(FIND("成本法",'结果表(地下仓储)'!C4)),"成本法",IF(ISNUMBER(FIND("假设开发法",'结果表(地下仓储)'!C4)),"假设开发法",IF(ISNUMBER(FIND("收益法",'结果表(地下仓储)'!C4)),"收益法","基准地价系数修正法"))))</f>
        <v>成本法</v>
      </c>
      <c r="L4" s="2429" t="str">
        <f>IF(ISNUMBER(FIND("比较法",'结果表(地下仓储)'!D4)),"比较法",IF(ISNUMBER(FIND("成本法",'结果表(地下仓储)'!D4)),"成本法",IF(ISNUMBER(FIND("假设开发法",'结果表(地下仓储)'!D4)),"假设开发法",IF(ISNUMBER(FIND("收益法",'结果表(地下仓储)'!D4)),"收益法","基准地价系数修正法"))))</f>
        <v>收益法</v>
      </c>
    </row>
    <row r="5" spans="1:12" ht="12.75">
      <c r="A5" s="3142" t="s">
        <v>2113</v>
      </c>
      <c r="B5" s="3064">
        <v>25</v>
      </c>
      <c r="C5" s="3172"/>
      <c r="D5" s="3160"/>
      <c r="E5" s="140" t="s">
        <v>2114</v>
      </c>
      <c r="F5" s="2430"/>
      <c r="G5" s="2430"/>
      <c r="H5" s="2430"/>
      <c r="I5" s="1833"/>
    </row>
    <row r="6" spans="1:12" ht="12.75">
      <c r="A6" s="3142"/>
      <c r="B6" s="3064"/>
      <c r="C6" s="3174"/>
      <c r="D6" s="3160"/>
      <c r="E6" s="140" t="s">
        <v>2115</v>
      </c>
      <c r="F6" s="2430"/>
      <c r="G6" s="2430"/>
      <c r="H6" s="2430"/>
      <c r="I6" s="1833"/>
    </row>
    <row r="7" spans="1:12" ht="12.75">
      <c r="A7" s="3142"/>
      <c r="B7" s="3064"/>
      <c r="C7" s="3173"/>
      <c r="D7" s="3160"/>
      <c r="E7" s="140" t="s">
        <v>2116</v>
      </c>
      <c r="F7" s="2430"/>
      <c r="G7" s="2430"/>
      <c r="H7" s="2430"/>
      <c r="I7" s="1833"/>
    </row>
    <row r="8" spans="1:12" ht="12.75">
      <c r="A8" s="3142" t="s">
        <v>2117</v>
      </c>
      <c r="B8" s="3064">
        <v>15</v>
      </c>
      <c r="C8" s="3172"/>
      <c r="D8" s="3160"/>
      <c r="E8" s="140" t="s">
        <v>2118</v>
      </c>
      <c r="F8" s="2430"/>
      <c r="G8" s="2430"/>
      <c r="H8" s="2430"/>
      <c r="I8" s="1833"/>
    </row>
    <row r="9" spans="1:12" ht="12.75">
      <c r="A9" s="3142"/>
      <c r="B9" s="3064"/>
      <c r="C9" s="3173"/>
      <c r="D9" s="3160"/>
      <c r="E9" s="140" t="s">
        <v>2119</v>
      </c>
      <c r="F9" s="2430"/>
      <c r="G9" s="2430"/>
      <c r="H9" s="2430"/>
      <c r="I9" s="1833"/>
    </row>
    <row r="10" spans="1:12" ht="12.75">
      <c r="A10" s="3142" t="s">
        <v>2120</v>
      </c>
      <c r="B10" s="3064">
        <v>15</v>
      </c>
      <c r="C10" s="3172"/>
      <c r="D10" s="3160"/>
      <c r="E10" s="140" t="s">
        <v>2121</v>
      </c>
      <c r="F10" s="2430"/>
      <c r="G10" s="2430"/>
      <c r="H10" s="2430"/>
      <c r="I10" s="1833"/>
    </row>
    <row r="11" spans="1:12" ht="12.75">
      <c r="A11" s="3142"/>
      <c r="B11" s="3064"/>
      <c r="C11" s="3173"/>
      <c r="D11" s="3160"/>
      <c r="E11" s="140" t="s">
        <v>2122</v>
      </c>
      <c r="F11" s="2430"/>
      <c r="G11" s="2430"/>
      <c r="H11" s="2430"/>
      <c r="I11" s="1833"/>
    </row>
    <row r="12" spans="1:12" ht="12.75">
      <c r="A12" s="3142" t="s">
        <v>2123</v>
      </c>
      <c r="B12" s="3064">
        <v>15</v>
      </c>
      <c r="C12" s="3172"/>
      <c r="D12" s="3160"/>
      <c r="E12" s="140" t="s">
        <v>2124</v>
      </c>
      <c r="F12" s="2430"/>
      <c r="G12" s="2430"/>
      <c r="H12" s="2430"/>
      <c r="I12" s="1833"/>
    </row>
    <row r="13" spans="1:12" ht="12.75">
      <c r="A13" s="3142"/>
      <c r="B13" s="3064"/>
      <c r="C13" s="3173"/>
      <c r="D13" s="3160"/>
      <c r="E13" s="140" t="s">
        <v>2125</v>
      </c>
      <c r="F13" s="2430"/>
      <c r="G13" s="2430"/>
      <c r="H13" s="2430"/>
      <c r="I13" s="1833"/>
    </row>
    <row r="14" spans="1:12" ht="12.75">
      <c r="A14" s="3142" t="s">
        <v>2126</v>
      </c>
      <c r="B14" s="3064">
        <v>30</v>
      </c>
      <c r="C14" s="3172">
        <v>4</v>
      </c>
      <c r="D14" s="3160">
        <v>6</v>
      </c>
      <c r="E14" s="140" t="s">
        <v>2127</v>
      </c>
      <c r="F14" s="2430"/>
      <c r="G14" s="2430"/>
      <c r="H14" s="2430"/>
      <c r="I14" s="1833"/>
    </row>
    <row r="15" spans="1:12" ht="12.75">
      <c r="A15" s="3142"/>
      <c r="B15" s="3064"/>
      <c r="C15" s="3174"/>
      <c r="D15" s="3160"/>
      <c r="E15" s="140" t="s">
        <v>2128</v>
      </c>
      <c r="F15" s="2430"/>
      <c r="G15" s="2430"/>
      <c r="H15" s="2430"/>
      <c r="I15" s="1833"/>
    </row>
    <row r="16" spans="1:12" ht="12.75">
      <c r="A16" s="3142"/>
      <c r="B16" s="3064"/>
      <c r="C16" s="3173"/>
      <c r="D16" s="3160"/>
      <c r="E16" s="140" t="s">
        <v>2129</v>
      </c>
      <c r="F16" s="2430"/>
      <c r="G16" s="2430"/>
      <c r="H16" s="2430"/>
      <c r="I16" s="1833"/>
    </row>
    <row r="17" spans="1:35" ht="15">
      <c r="A17" s="2431" t="s">
        <v>2130</v>
      </c>
      <c r="B17" s="64"/>
      <c r="C17" s="141">
        <f>SUM(C5:C16)</f>
        <v>4</v>
      </c>
      <c r="D17" s="141">
        <f>SUM(D5:D16)</f>
        <v>6</v>
      </c>
      <c r="E17" s="138"/>
      <c r="F17" s="138"/>
      <c r="G17" s="138"/>
      <c r="H17" s="138"/>
      <c r="I17" s="138"/>
      <c r="K17" s="2429"/>
      <c r="L17" s="2432" t="s">
        <v>2131</v>
      </c>
      <c r="M17" s="2432" t="s">
        <v>2132</v>
      </c>
    </row>
    <row r="18" spans="1:35" ht="15.75" thickBot="1">
      <c r="A18" s="2433" t="s">
        <v>2133</v>
      </c>
      <c r="B18" s="2434"/>
      <c r="C18" s="142">
        <f>ROUND(C17/SUM(C17:D17),2)</f>
        <v>0.4</v>
      </c>
      <c r="D18" s="142">
        <f>1-C18</f>
        <v>0.6</v>
      </c>
      <c r="E18" s="138"/>
      <c r="F18" s="138"/>
      <c r="G18" s="138"/>
      <c r="H18" s="138"/>
      <c r="I18" s="138"/>
      <c r="K18" s="2429" t="s">
        <v>2134</v>
      </c>
      <c r="L18" s="2429">
        <f>IF(C1="",'数据-汇总表'!E3,SUMIF(项目类型,C1,'数据-汇总表'!E17:E26)+SUMIF(项目类型,C1,'数据-汇总表'!I17:I26))</f>
        <v>3589.2600000000011</v>
      </c>
      <c r="M18" s="2429">
        <f>IF(C1="",'数据-汇总表'!E3,SUMIF(项目类型,C1,'数据-汇总表'!E17:E26))</f>
        <v>3589.2600000000011</v>
      </c>
    </row>
    <row r="19" spans="1:35" ht="15">
      <c r="A19" s="2435" t="s">
        <v>2135</v>
      </c>
      <c r="B19" s="2436" t="s">
        <v>2136</v>
      </c>
      <c r="C19" s="143">
        <f ca="1">SUMIF(INDIRECT("'"&amp;C4&amp;"'"&amp;"!A:A"),'结果表(地下仓储)'!B19,INDIRECT("'"&amp;C4&amp;"'"&amp;"!B:B"))</f>
        <v>2110</v>
      </c>
      <c r="D19" s="144">
        <f ca="1">SUMIF(INDIRECT("'"&amp;D4&amp;"'"&amp;"!A:A"),'结果表(地下仓储)'!B19,INDIRECT("'"&amp;D4&amp;"'"&amp;"!B:B"))</f>
        <v>1239</v>
      </c>
      <c r="E19" s="2435" t="s">
        <v>2137</v>
      </c>
      <c r="F19" s="2436" t="s">
        <v>2136</v>
      </c>
      <c r="G19" s="145">
        <f ca="1">ROUND(C19*$C$18+D19*$D$18,0)</f>
        <v>1587</v>
      </c>
      <c r="H19" s="2437" t="s">
        <v>2138</v>
      </c>
      <c r="I19" s="138"/>
      <c r="K19" s="2429" t="s">
        <v>2139</v>
      </c>
      <c r="L19" s="2429">
        <f>IF(C1="",'数据-汇总表'!D3,SUMIF(项目类型,C1,'数据-汇总表'!D17:D26)+SUMIF(项目类型,C1,'数据-汇总表'!H17:H27))</f>
        <v>885.26</v>
      </c>
      <c r="M19" s="2429">
        <f>IF(C1="",'数据-汇总表'!D3,SUMIF(项目类型,C1,'数据-汇总表'!D17:D26))</f>
        <v>885.26</v>
      </c>
    </row>
    <row r="20" spans="1:35" ht="15">
      <c r="A20" s="2438"/>
      <c r="B20" s="1249" t="s">
        <v>2140</v>
      </c>
      <c r="C20" s="146">
        <f ca="1">SUMIF(INDIRECT("'"&amp;C4&amp;"'"&amp;"!A:A"),'结果表(地下仓储)'!B20,INDIRECT("'"&amp;C4&amp;"'"&amp;"!B:B"))</f>
        <v>5879</v>
      </c>
      <c r="D20" s="147">
        <f ca="1">SUMIF(INDIRECT("'"&amp;D4&amp;"'"&amp;"!A:A"),'结果表(地下仓储)'!B20,INDIRECT("'"&amp;D4&amp;"'"&amp;"!B:B"))</f>
        <v>3453</v>
      </c>
      <c r="E20" s="2438"/>
      <c r="F20" s="1249" t="s">
        <v>2140</v>
      </c>
      <c r="G20" s="148">
        <f ca="1">ROUND(C20*$C$18+D20*$D$18,0)</f>
        <v>4423</v>
      </c>
      <c r="H20" s="982" t="s">
        <v>2141</v>
      </c>
      <c r="I20" s="138"/>
    </row>
    <row r="21" spans="1:35" ht="15" customHeight="1" thickBot="1">
      <c r="A21" s="1002"/>
      <c r="B21" s="2439" t="s">
        <v>2142</v>
      </c>
      <c r="C21" s="789">
        <f ca="1">ROUND(C19*10000/L19,0)</f>
        <v>23835</v>
      </c>
      <c r="D21" s="790">
        <f ca="1">ROUND(D19*10000/L19,0)</f>
        <v>13996</v>
      </c>
      <c r="E21" s="1002"/>
      <c r="F21" s="2439" t="s">
        <v>2142</v>
      </c>
      <c r="G21" s="149">
        <f ca="1">ROUND(G19*10000/L19,0)</f>
        <v>17927</v>
      </c>
      <c r="H21" s="2440" t="s">
        <v>2141</v>
      </c>
      <c r="I21" s="138"/>
    </row>
    <row r="22" spans="1:35" ht="15" thickBot="1">
      <c r="A22" s="2282" t="s">
        <v>2143</v>
      </c>
      <c r="B22" s="2441"/>
      <c r="C22" s="2442"/>
      <c r="D22" s="791">
        <f ca="1">IF(C19&lt;D19,D19/C19-1,C19/D19-1)</f>
        <v>0.70298627925746571</v>
      </c>
      <c r="E22" s="138"/>
      <c r="F22" s="138"/>
      <c r="G22" s="138"/>
      <c r="H22" s="138"/>
      <c r="I22" s="138"/>
    </row>
    <row r="23" spans="1:35" ht="13.5" thickBot="1">
      <c r="A23" s="2419"/>
      <c r="B23" s="2419"/>
      <c r="C23" s="2419"/>
      <c r="D23" s="2419"/>
      <c r="E23" s="138"/>
      <c r="F23" s="138"/>
      <c r="G23" s="138"/>
      <c r="H23" s="138"/>
      <c r="I23" s="138"/>
    </row>
    <row r="24" spans="1:35" ht="14.25">
      <c r="A24" s="3181" t="s">
        <v>2144</v>
      </c>
      <c r="B24" s="2436" t="s">
        <v>2136</v>
      </c>
      <c r="C24" s="145">
        <f>IF(B30=0,0,D30)</f>
        <v>0</v>
      </c>
      <c r="D24" s="2443"/>
      <c r="E24" s="138"/>
      <c r="F24" s="138"/>
      <c r="G24" s="138"/>
      <c r="H24" s="138"/>
      <c r="I24" s="138"/>
    </row>
    <row r="25" spans="1:35" ht="14.25">
      <c r="A25" s="3182"/>
      <c r="B25" s="1249"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1587</v>
      </c>
      <c r="D32" s="2450" t="s">
        <v>2151</v>
      </c>
      <c r="E32" s="138"/>
      <c r="F32" s="138"/>
      <c r="G32" s="138"/>
      <c r="H32" s="138"/>
      <c r="I32" s="138"/>
    </row>
    <row r="33" spans="1:15" ht="15">
      <c r="A33" s="959" t="s">
        <v>2152</v>
      </c>
      <c r="B33" s="2451"/>
      <c r="C33" s="2452" t="s">
        <v>3284</v>
      </c>
      <c r="D33" s="2453" t="s">
        <v>3302</v>
      </c>
      <c r="E33" s="2454" t="s">
        <v>2153</v>
      </c>
      <c r="F33" s="2946" t="str">
        <f>IF(D32="楼面单价","取值（单价）","取值（总价）")</f>
        <v>取值（总价）</v>
      </c>
      <c r="G33" s="138"/>
      <c r="H33" s="138"/>
      <c r="I33" s="138"/>
    </row>
    <row r="34" spans="1:15" ht="15">
      <c r="A34" s="2456"/>
      <c r="B34" s="2457" t="s">
        <v>2154</v>
      </c>
      <c r="C34" s="157">
        <f ca="1">IF(C33="自定义",F34,C32-C35)</f>
        <v>786</v>
      </c>
      <c r="D34" s="1057">
        <f ca="1">IF(C33="自定义",ROUND(C34/C32,3),IF(C33="收益比率",SUMIF(INDIRECT("'"&amp;D33&amp;"'"&amp;"!b:b"),"土地收益比率",INDIRECT("'"&amp;D33&amp;"'"&amp;"!c:c")),SUMIF(INDIRECT("'"&amp;D33&amp;"'"&amp;"!b:b"),"土地成本比率",INDIRECT("'"&amp;D33&amp;"'"&amp;"!c:c"))))</f>
        <v>0.495</v>
      </c>
      <c r="E34" s="2458" t="s">
        <v>2155</v>
      </c>
      <c r="F34" s="1738"/>
      <c r="G34" s="138"/>
      <c r="H34" s="138"/>
      <c r="I34" s="138"/>
    </row>
    <row r="35" spans="1:15" ht="15.75" thickBot="1">
      <c r="A35" s="2459"/>
      <c r="B35" s="2460" t="s">
        <v>2156</v>
      </c>
      <c r="C35" s="1443">
        <f ca="1">IF(C33="自定义",F35,ROUND(C32*D35,0))</f>
        <v>801</v>
      </c>
      <c r="D35" s="1444">
        <f ca="1">IF(C33="自定义",ROUND(C35/C32,3),IF(C33="收益比率",SUMIF(INDIRECT("'"&amp;D33&amp;"'"&amp;"!b:b"),"建筑物收益比率",INDIRECT("'"&amp;D33&amp;"'"&amp;"!c:c")),SUMIF(INDIRECT("'"&amp;D33&amp;"'"&amp;"!b:b"),"建筑物成本比率",INDIRECT("'"&amp;D33&amp;"'"&amp;"!c:c"))))</f>
        <v>0.505</v>
      </c>
      <c r="E35" s="2461" t="s">
        <v>2157</v>
      </c>
      <c r="F35" s="163"/>
      <c r="G35" s="138"/>
      <c r="H35" s="138"/>
      <c r="I35" s="138"/>
    </row>
    <row r="36" spans="1:15" ht="15.75" thickBot="1">
      <c r="A36" s="3161" t="s">
        <v>2158</v>
      </c>
      <c r="B36" s="2462" t="s">
        <v>2159</v>
      </c>
      <c r="C36" s="154"/>
      <c r="D36" s="2463"/>
      <c r="E36" s="2464"/>
      <c r="F36" s="2465"/>
      <c r="G36" s="138"/>
      <c r="H36" s="138"/>
      <c r="I36" s="138"/>
    </row>
    <row r="37" spans="1:15" ht="15.75" thickBot="1">
      <c r="A37" s="3162"/>
      <c r="B37" s="2268" t="s">
        <v>2160</v>
      </c>
      <c r="C37" s="156"/>
      <c r="D37" s="1394"/>
      <c r="E37" s="1394"/>
      <c r="F37" s="2465"/>
      <c r="G37" s="138"/>
      <c r="H37" s="138"/>
      <c r="I37" s="138"/>
    </row>
    <row r="38" spans="1:15" ht="15.75" thickBot="1">
      <c r="A38" s="3163"/>
      <c r="B38" s="2466" t="s">
        <v>2161</v>
      </c>
      <c r="C38" s="727"/>
      <c r="D38" s="2467" t="s">
        <v>2162</v>
      </c>
      <c r="E38" s="1394"/>
      <c r="F38" s="2465"/>
      <c r="G38" s="138"/>
      <c r="H38" s="138"/>
      <c r="I38" s="138"/>
    </row>
    <row r="39" spans="1:15" ht="15">
      <c r="A39" s="2438" t="s">
        <v>2163</v>
      </c>
      <c r="B39" s="2468" t="s">
        <v>2146</v>
      </c>
      <c r="C39" s="2469" t="s">
        <v>2147</v>
      </c>
      <c r="D39" s="2469" t="s">
        <v>2166</v>
      </c>
      <c r="E39" s="2470" t="s">
        <v>2148</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78" t="s">
        <v>2172</v>
      </c>
      <c r="B45" s="3179"/>
      <c r="C45" s="3180"/>
      <c r="D45" s="164">
        <f ca="1">ROUND(H101*F45,0)</f>
        <v>1587</v>
      </c>
      <c r="E45" s="165" t="s">
        <v>2173</v>
      </c>
      <c r="F45" s="166">
        <v>1</v>
      </c>
      <c r="G45" s="167" t="s">
        <v>2174</v>
      </c>
      <c r="H45" s="138"/>
      <c r="I45" s="138"/>
      <c r="J45" s="3097" t="s">
        <v>2175</v>
      </c>
      <c r="K45" s="3097"/>
      <c r="L45" s="3097"/>
      <c r="M45" s="3097"/>
      <c r="N45" s="3097"/>
      <c r="O45" s="3097"/>
    </row>
    <row r="46" spans="1:15" ht="14.25" customHeight="1">
      <c r="A46" s="3175" t="s">
        <v>2176</v>
      </c>
      <c r="B46" s="3176"/>
      <c r="C46" s="3176"/>
      <c r="D46" s="3176"/>
      <c r="E46" s="3176"/>
      <c r="F46" s="3176"/>
      <c r="G46" s="3177"/>
      <c r="H46" s="2481"/>
      <c r="I46" s="168"/>
      <c r="J46" s="2958">
        <v>1</v>
      </c>
      <c r="K46" s="3097" t="s">
        <v>2177</v>
      </c>
      <c r="L46" s="3097"/>
      <c r="M46" s="3098"/>
      <c r="N46" s="3098"/>
      <c r="O46" s="3098"/>
    </row>
    <row r="47" spans="1:15" ht="12" customHeight="1">
      <c r="A47" s="169" t="s">
        <v>2178</v>
      </c>
      <c r="B47" s="170"/>
      <c r="C47" s="171"/>
      <c r="D47" s="172" t="s">
        <v>2179</v>
      </c>
      <c r="E47" s="24" t="s">
        <v>2180</v>
      </c>
      <c r="F47" s="173" t="s">
        <v>2181</v>
      </c>
      <c r="G47" s="174" t="s">
        <v>2182</v>
      </c>
      <c r="H47" s="2481"/>
      <c r="I47" s="168"/>
      <c r="J47" s="2958">
        <v>2</v>
      </c>
      <c r="K47" s="3097" t="s">
        <v>2183</v>
      </c>
      <c r="L47" s="3097"/>
      <c r="M47" s="3099">
        <f>'数据-取费表'!B2</f>
        <v>43437</v>
      </c>
      <c r="N47" s="3099"/>
      <c r="O47" s="3099"/>
    </row>
    <row r="48" spans="1:15" ht="25.5">
      <c r="A48" s="3165" t="s">
        <v>2184</v>
      </c>
      <c r="B48" s="3166"/>
      <c r="C48" s="3166"/>
      <c r="D48" s="140">
        <f>IF(H48="情况1",0,IF(H48="情况2",D52,IF(H48="情况3",D53,IF(H48="情况4",D54))))</f>
        <v>0</v>
      </c>
      <c r="E48" s="2950" t="str">
        <f>IF(H48="情况4","(销售额-原购置价)×税（费）率","销售额×税（费）率")</f>
        <v>销售额×税（费）率</v>
      </c>
      <c r="F48" s="175" t="str">
        <f>IF(H48="情况1","免征",'数据-取费表'!B41)</f>
        <v>免征</v>
      </c>
      <c r="G48" s="2482" t="s">
        <v>2185</v>
      </c>
      <c r="H48" s="2483" t="s">
        <v>2186</v>
      </c>
      <c r="I48" s="2481"/>
      <c r="J48" s="2958">
        <v>3</v>
      </c>
      <c r="K48" s="3097" t="s">
        <v>2187</v>
      </c>
      <c r="L48" s="3097"/>
      <c r="M48" s="3100">
        <f ca="1">H101</f>
        <v>1587</v>
      </c>
      <c r="N48" s="3100"/>
      <c r="O48" s="3100"/>
    </row>
    <row r="49" spans="1:35" ht="25.5" customHeight="1">
      <c r="A49" s="176" t="s">
        <v>2188</v>
      </c>
      <c r="B49" s="3145" t="s">
        <v>2189</v>
      </c>
      <c r="C49" s="3145"/>
      <c r="D49" s="177">
        <v>0</v>
      </c>
      <c r="E49" s="23" t="s">
        <v>2190</v>
      </c>
      <c r="F49" s="28" t="s">
        <v>34</v>
      </c>
      <c r="G49" s="3126"/>
      <c r="H49" s="138"/>
      <c r="I49" s="2484"/>
      <c r="J49" s="2958">
        <v>4</v>
      </c>
      <c r="K49" s="3097" t="str">
        <f>IF(项目基本情况!E8="房地产抵押价值","房地产抵押价值","抵押担保权已注销时的房地产抵押价值")</f>
        <v>抵押担保权已注销时的房地产抵押价值</v>
      </c>
      <c r="L49" s="3097"/>
      <c r="M49" s="3100" t="str">
        <f>IF(项目基本情况!E8="房地产抵押价值",H107,H109)</f>
        <v>——</v>
      </c>
      <c r="N49" s="3100"/>
      <c r="O49" s="3100"/>
    </row>
    <row r="50" spans="1:35" ht="25.5" customHeight="1">
      <c r="A50" s="178"/>
      <c r="B50" s="3145" t="s">
        <v>2191</v>
      </c>
      <c r="C50" s="3145"/>
      <c r="D50" s="179"/>
      <c r="E50" s="31"/>
      <c r="F50" s="180"/>
      <c r="G50" s="3127"/>
      <c r="H50" s="138"/>
      <c r="I50" s="2484"/>
      <c r="J50" s="3097" t="s">
        <v>2192</v>
      </c>
      <c r="K50" s="3097"/>
      <c r="L50" s="3097"/>
      <c r="M50" s="3097"/>
      <c r="N50" s="3097"/>
      <c r="O50" s="3097"/>
    </row>
    <row r="51" spans="1:35" ht="12" customHeight="1">
      <c r="A51" s="181"/>
      <c r="B51" s="3145" t="s">
        <v>2193</v>
      </c>
      <c r="C51" s="3145"/>
      <c r="D51" s="182"/>
      <c r="E51" s="30"/>
      <c r="F51" s="180"/>
      <c r="G51" s="3128"/>
      <c r="H51" s="138"/>
      <c r="I51" s="2484"/>
      <c r="J51" s="2957" t="s">
        <v>2194</v>
      </c>
      <c r="K51" s="3097" t="s">
        <v>2195</v>
      </c>
      <c r="L51" s="3097"/>
      <c r="M51" s="2957" t="s">
        <v>2196</v>
      </c>
      <c r="N51" s="2957" t="s">
        <v>2197</v>
      </c>
      <c r="O51" s="2957" t="s">
        <v>2198</v>
      </c>
    </row>
    <row r="52" spans="1:35" ht="24" customHeight="1">
      <c r="A52" s="183" t="s">
        <v>2199</v>
      </c>
      <c r="B52" s="3145" t="s">
        <v>2200</v>
      </c>
      <c r="C52" s="3145"/>
      <c r="D52" s="182">
        <f ca="1">ROUND(D45*'数据-取费表'!B41/(1+'数据-取费表'!C42),0)</f>
        <v>83</v>
      </c>
      <c r="E52" s="11" t="s">
        <v>2201</v>
      </c>
      <c r="F52" s="184">
        <f>'数据-取费表'!B41</f>
        <v>5.5000000000000007E-2</v>
      </c>
      <c r="G52" s="2486"/>
      <c r="H52" s="138"/>
      <c r="I52" s="2484"/>
      <c r="J52" s="2958">
        <v>1</v>
      </c>
      <c r="K52" s="3120" t="s">
        <v>2202</v>
      </c>
      <c r="L52" s="3120"/>
      <c r="M52" s="1753">
        <f>D48</f>
        <v>0</v>
      </c>
      <c r="N52" s="2958" t="str">
        <f>E48</f>
        <v>销售额×税（费）率</v>
      </c>
      <c r="O52" s="1754" t="str">
        <f>F48</f>
        <v>免征</v>
      </c>
    </row>
    <row r="53" spans="1:35" ht="12" customHeight="1">
      <c r="A53" s="183" t="s">
        <v>2203</v>
      </c>
      <c r="B53" s="3146" t="s">
        <v>2204</v>
      </c>
      <c r="C53" s="3147"/>
      <c r="D53" s="182">
        <f ca="1">ROUND(D45*'数据-取费表'!B41/(1+'数据-取费表'!C42),0)</f>
        <v>83</v>
      </c>
      <c r="E53" s="11" t="s">
        <v>2201</v>
      </c>
      <c r="F53" s="184">
        <f>'数据-取费表'!B41</f>
        <v>5.5000000000000007E-2</v>
      </c>
      <c r="G53" s="2486"/>
      <c r="H53" s="138"/>
      <c r="I53" s="2484"/>
      <c r="J53" s="2958">
        <v>2</v>
      </c>
      <c r="K53" s="3120" t="s">
        <v>2205</v>
      </c>
      <c r="L53" s="3120"/>
      <c r="M53" s="1753">
        <f t="shared" ref="M53:O54" ca="1" si="0">D55</f>
        <v>1</v>
      </c>
      <c r="N53" s="2958" t="str">
        <f t="shared" si="0"/>
        <v>销售额×税（费）率</v>
      </c>
      <c r="O53" s="1754">
        <f t="shared" si="0"/>
        <v>5.0000000000000001E-4</v>
      </c>
    </row>
    <row r="54" spans="1:35" ht="12" customHeight="1">
      <c r="A54" s="183" t="s">
        <v>2206</v>
      </c>
      <c r="B54" s="3146" t="s">
        <v>2207</v>
      </c>
      <c r="C54" s="3147"/>
      <c r="D54" s="182">
        <f ca="1">C68</f>
        <v>83</v>
      </c>
      <c r="E54" s="30" t="s">
        <v>2208</v>
      </c>
      <c r="F54" s="184">
        <f>'数据-取费表'!B41</f>
        <v>5.5000000000000007E-2</v>
      </c>
      <c r="G54" s="2486"/>
      <c r="H54" s="2487"/>
      <c r="I54" s="2484"/>
      <c r="J54" s="2958">
        <v>3</v>
      </c>
      <c r="K54" s="3120" t="s">
        <v>2209</v>
      </c>
      <c r="L54" s="3120"/>
      <c r="M54" s="1753">
        <f t="shared" ca="1" si="0"/>
        <v>899</v>
      </c>
      <c r="N54" s="2958" t="str">
        <f t="shared" si="0"/>
        <v>增值额×税（费）率</v>
      </c>
      <c r="O54" s="1755" t="str">
        <f t="shared" si="0"/>
        <v>——</v>
      </c>
    </row>
    <row r="55" spans="1:35" ht="24" customHeight="1">
      <c r="A55" s="3184" t="s">
        <v>2210</v>
      </c>
      <c r="B55" s="3166"/>
      <c r="C55" s="3166"/>
      <c r="D55" s="185">
        <f ca="1">IF(H55="个人住宅",0,ROUND(D45*I55,0))</f>
        <v>1</v>
      </c>
      <c r="E55" s="11" t="s">
        <v>2211</v>
      </c>
      <c r="F55" s="184">
        <f>IF(H55="正常",I55,"免征")</f>
        <v>5.0000000000000001E-4</v>
      </c>
      <c r="G55" s="2486"/>
      <c r="H55" s="2483" t="s">
        <v>2212</v>
      </c>
      <c r="I55" s="186">
        <f>'数据-取费表'!B49</f>
        <v>5.0000000000000001E-4</v>
      </c>
      <c r="J55" s="2958" t="str">
        <f>IF(H59="非个人房产","",4)</f>
        <v/>
      </c>
      <c r="K55" s="3120" t="str">
        <f>IF(H59="非个人房产","——","个人所得税")</f>
        <v>——</v>
      </c>
      <c r="L55" s="3120"/>
      <c r="M55" s="1756" t="str">
        <f>D59</f>
        <v>——</v>
      </c>
      <c r="N55" s="2959" t="str">
        <f>E59</f>
        <v>——</v>
      </c>
      <c r="O55" s="1757" t="str">
        <f>F59</f>
        <v>——</v>
      </c>
    </row>
    <row r="56" spans="1:35" ht="24.75">
      <c r="A56" s="3184" t="s">
        <v>2213</v>
      </c>
      <c r="B56" s="3166"/>
      <c r="C56" s="3166"/>
      <c r="D56" s="185">
        <f ca="1">IF(H56="个人住宅",D57,D58)</f>
        <v>899</v>
      </c>
      <c r="E56" s="11" t="s">
        <v>2214</v>
      </c>
      <c r="F56" s="184" t="str">
        <f>IF(H56="正常",F58,"免征")</f>
        <v>——</v>
      </c>
      <c r="G56" s="2488" t="s">
        <v>2215</v>
      </c>
      <c r="H56" s="2489" t="s">
        <v>2212</v>
      </c>
      <c r="I56" s="2490"/>
      <c r="J56" s="2958" t="str">
        <f>IF(项目基本情况!K6="上海银行",IF(J55="",4,J55+1),"")</f>
        <v/>
      </c>
      <c r="K56" s="3103" t="str">
        <f>IF(项目基本情况!K6="上海银行","其他处置费用","")</f>
        <v/>
      </c>
      <c r="L56" s="3104"/>
      <c r="M56" s="1753" t="str">
        <f>IF(项目基本情况!K6="上海银行",M69,"")</f>
        <v/>
      </c>
      <c r="N56" s="3106" t="str">
        <f>IF(项目基本情况!K6="上海银行","包含处置中涉及的律师、诉讼、拍卖、评估等费用","")</f>
        <v/>
      </c>
      <c r="O56" s="3107"/>
    </row>
    <row r="57" spans="1:35" ht="12.75">
      <c r="A57" s="183" t="s">
        <v>2188</v>
      </c>
      <c r="B57" s="3151" t="s">
        <v>2216</v>
      </c>
      <c r="C57" s="3152"/>
      <c r="D57" s="187">
        <v>0</v>
      </c>
      <c r="E57" s="23" t="s">
        <v>2190</v>
      </c>
      <c r="F57" s="155"/>
      <c r="G57" s="2486"/>
      <c r="H57" s="2490"/>
      <c r="I57" s="2490"/>
      <c r="J57" s="3120">
        <f>IF(AND(J55="",J56=""),4,IF(项目基本情况!K6="上海银行",'结果表(地下仓储)'!J56+1,'结果表(地下仓储)'!J55+1))</f>
        <v>4</v>
      </c>
      <c r="K57" s="3120" t="s">
        <v>2217</v>
      </c>
      <c r="L57" s="2491" t="s">
        <v>2218</v>
      </c>
      <c r="M57" s="1758"/>
      <c r="N57" s="1759">
        <f ca="1">SUMIF(M52:M56,"&lt;9e307")</f>
        <v>900</v>
      </c>
      <c r="O57" s="2492"/>
      <c r="P57" s="1752" t="e">
        <f ca="1">N57/M49</f>
        <v>#VALUE!</v>
      </c>
    </row>
    <row r="58" spans="1:35" ht="24.75">
      <c r="A58" s="183" t="s">
        <v>2199</v>
      </c>
      <c r="B58" s="3151" t="s">
        <v>2219</v>
      </c>
      <c r="C58" s="3164"/>
      <c r="D58" s="185">
        <f ca="1">IF(H58="转让取得",C81,C97)</f>
        <v>899</v>
      </c>
      <c r="E58" s="11" t="s">
        <v>2214</v>
      </c>
      <c r="F58" s="24" t="s">
        <v>34</v>
      </c>
      <c r="G58" s="2486"/>
      <c r="H58" s="2489" t="s">
        <v>2220</v>
      </c>
      <c r="I58" s="2490"/>
      <c r="J58" s="3120"/>
      <c r="K58" s="3120"/>
      <c r="L58" s="2491" t="s">
        <v>2221</v>
      </c>
      <c r="M58" s="1760"/>
      <c r="N58" s="2493" t="str">
        <f ca="1">NUMBERSTRING(INT(N57*10000),2)&amp;"元整"</f>
        <v>玖佰万元整</v>
      </c>
      <c r="O58" s="2494"/>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22">
        <f>J57+1</f>
        <v>5</v>
      </c>
      <c r="K59" s="3120" t="s">
        <v>2224</v>
      </c>
      <c r="L59" s="2958" t="s">
        <v>2218</v>
      </c>
      <c r="M59" s="1761"/>
      <c r="N59" s="1762" t="e">
        <f ca="1">M49-N57</f>
        <v>#VALUE!</v>
      </c>
      <c r="O59" s="2496"/>
    </row>
    <row r="60" spans="1:35" ht="12" customHeight="1">
      <c r="A60" s="2497"/>
      <c r="B60" s="2419"/>
      <c r="C60" s="2419"/>
      <c r="D60" s="2419"/>
      <c r="E60" s="2168"/>
      <c r="F60" s="2490"/>
      <c r="G60" s="2490"/>
      <c r="H60" s="2498"/>
      <c r="I60" s="138"/>
      <c r="J60" s="3123"/>
      <c r="K60" s="3120"/>
      <c r="L60" s="2491" t="s">
        <v>2221</v>
      </c>
      <c r="M60" s="1760"/>
      <c r="N60" s="2493" t="e">
        <f ca="1">NUMBERSTRING(INT(N59*10000),2)&amp;"元整"</f>
        <v>#VALUE!</v>
      </c>
      <c r="O60" s="2494"/>
    </row>
    <row r="61" spans="1:35" ht="13.5" thickBot="1">
      <c r="A61" s="3183" t="s">
        <v>2225</v>
      </c>
      <c r="B61" s="3183"/>
      <c r="C61" s="3183"/>
      <c r="D61" s="3183"/>
      <c r="E61" s="3183"/>
      <c r="F61" s="2490"/>
      <c r="G61" s="2490"/>
      <c r="H61" s="2498"/>
      <c r="I61" s="138"/>
      <c r="J61" s="2958">
        <f>J59+1</f>
        <v>6</v>
      </c>
      <c r="K61" s="3120" t="s">
        <v>2226</v>
      </c>
      <c r="L61" s="3120"/>
      <c r="M61" s="1763"/>
      <c r="N61" s="1764" t="e">
        <f ca="1">ROUND(N59*10000/'数据-汇总表'!E3,0)</f>
        <v>#VALUE!</v>
      </c>
      <c r="O61" s="2499"/>
    </row>
    <row r="62" spans="1:35" ht="12.75">
      <c r="A62" s="3140" t="s">
        <v>2227</v>
      </c>
      <c r="B62" s="3141"/>
      <c r="C62" s="2953"/>
      <c r="D62" s="2953" t="s">
        <v>2228</v>
      </c>
      <c r="E62" s="192" t="s">
        <v>2229</v>
      </c>
      <c r="F62" s="2490"/>
      <c r="G62" s="2490"/>
      <c r="H62" s="2498"/>
      <c r="I62" s="138"/>
    </row>
    <row r="63" spans="1:35" ht="12.75">
      <c r="A63" s="203" t="s">
        <v>775</v>
      </c>
      <c r="B63" s="193" t="s">
        <v>2230</v>
      </c>
      <c r="C63" s="194">
        <f ca="1">ROUND((C64+C65)/(1+'数据-取费表'!C42),0)</f>
        <v>1511</v>
      </c>
      <c r="D63" s="195"/>
      <c r="E63" s="196"/>
      <c r="F63" s="2490"/>
      <c r="G63" s="2490"/>
      <c r="H63" s="2498"/>
      <c r="I63" s="138"/>
      <c r="J63" s="3105" t="s">
        <v>2231</v>
      </c>
      <c r="K63" s="2963" t="s">
        <v>2232</v>
      </c>
      <c r="L63" s="1751" t="e">
        <f>IF(M49&gt;10000,M49*0.5%,IF(AND(M49&gt;1000,M49&lt;=10000),M49*1%,IF(AND(M49&gt;100,M49&lt;=1000),M49*3%,IF(AND(M49&gt;10,M49&lt;=100),M49*5%,M49*8%))))</f>
        <v>#VALUE!</v>
      </c>
      <c r="M63" s="24" t="e">
        <f>ROUND(L63,1)</f>
        <v>#VALUE!</v>
      </c>
      <c r="Z63" s="2424"/>
      <c r="AI63" s="2425"/>
    </row>
    <row r="64" spans="1:35" ht="14.25" customHeight="1">
      <c r="A64" s="197" t="s">
        <v>770</v>
      </c>
      <c r="B64" s="198" t="s">
        <v>2233</v>
      </c>
      <c r="C64" s="199">
        <f ca="1">D45</f>
        <v>1587</v>
      </c>
      <c r="D64" s="200" t="s">
        <v>32</v>
      </c>
      <c r="E64" s="201"/>
      <c r="F64" s="2490"/>
      <c r="G64" s="2490"/>
      <c r="H64" s="2498"/>
      <c r="I64" s="138"/>
      <c r="J64" s="3105"/>
      <c r="K64" s="2963" t="s">
        <v>2234</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4"/>
      <c r="AI64" s="2425"/>
    </row>
    <row r="65" spans="1:35" ht="14.25" customHeight="1">
      <c r="A65" s="197" t="s">
        <v>771</v>
      </c>
      <c r="B65" s="198" t="s">
        <v>2236</v>
      </c>
      <c r="C65" s="202"/>
      <c r="D65" s="200"/>
      <c r="E65" s="201"/>
      <c r="F65" s="2490"/>
      <c r="G65" s="2490"/>
      <c r="H65" s="2498"/>
      <c r="I65" s="138"/>
      <c r="J65" s="3105"/>
      <c r="K65" s="2963" t="s">
        <v>2237</v>
      </c>
      <c r="L65" s="1751" t="e">
        <f>IF(M49&gt;1000,M49*0.1%,IF(AND(M49&gt;500,M49&lt;=1000),M49*0.5%,IF(AND(M49&gt;50,M49&lt;=500),M49*1%,IF(AND(M49&gt;1,M49&lt;=50),M49*1.5%))))</f>
        <v>#VALUE!</v>
      </c>
      <c r="M65" s="24" t="e">
        <f t="shared" si="1"/>
        <v>#VALUE!</v>
      </c>
      <c r="N65" s="138" t="s">
        <v>2235</v>
      </c>
      <c r="Z65" s="2424"/>
      <c r="AI65" s="2425"/>
    </row>
    <row r="66" spans="1:35" ht="14.25" customHeight="1">
      <c r="A66" s="203" t="s">
        <v>772</v>
      </c>
      <c r="B66" s="204" t="s">
        <v>2238</v>
      </c>
      <c r="C66" s="205"/>
      <c r="D66" s="206" t="s">
        <v>32</v>
      </c>
      <c r="E66" s="1775" t="s">
        <v>1367</v>
      </c>
      <c r="F66" s="2490"/>
      <c r="G66" s="2490"/>
      <c r="H66" s="2498"/>
      <c r="I66" s="138"/>
      <c r="J66" s="3105"/>
      <c r="K66" s="2963" t="s">
        <v>2239</v>
      </c>
      <c r="L66" s="1751" t="e">
        <f>M49*0.5%</f>
        <v>#VALUE!</v>
      </c>
      <c r="M66" s="24" t="e">
        <f>IF(L66&gt;0.5,0.5,ROUND(L66,0))</f>
        <v>#VALUE!</v>
      </c>
      <c r="N66" s="138" t="s">
        <v>2240</v>
      </c>
      <c r="Z66" s="2424"/>
      <c r="AI66" s="2425"/>
    </row>
    <row r="67" spans="1:35" ht="14.25" customHeight="1">
      <c r="A67" s="203" t="s">
        <v>773</v>
      </c>
      <c r="B67" s="204" t="s">
        <v>2241</v>
      </c>
      <c r="C67" s="207">
        <f ca="1">C63-C66</f>
        <v>1511</v>
      </c>
      <c r="D67" s="200" t="s">
        <v>32</v>
      </c>
      <c r="E67" s="201"/>
      <c r="F67" s="2490"/>
      <c r="G67" s="2490"/>
      <c r="H67" s="2498"/>
      <c r="I67" s="138"/>
      <c r="J67" s="3105"/>
      <c r="K67" s="2963" t="s">
        <v>2242</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2243</v>
      </c>
      <c r="C68" s="210">
        <f ca="1">IF(C67&lt;=0,0,ROUND(C67*D68,0))</f>
        <v>83</v>
      </c>
      <c r="D68" s="211">
        <f>'数据-取费表'!B41</f>
        <v>5.5000000000000007E-2</v>
      </c>
      <c r="E68" s="212"/>
      <c r="F68" s="2490"/>
      <c r="G68" s="2490"/>
      <c r="H68" s="2498"/>
      <c r="I68" s="138"/>
      <c r="J68" s="3105"/>
      <c r="K68" s="2963" t="s">
        <v>2244</v>
      </c>
      <c r="L68" s="1751"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105"/>
      <c r="K69" s="2963" t="s">
        <v>2245</v>
      </c>
      <c r="L69" s="2506"/>
      <c r="M69" s="24" t="e">
        <f>ROUND(SUM(M63:M68),0)</f>
        <v>#VALUE!</v>
      </c>
      <c r="N69" s="1752"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9" t="s">
        <v>2246</v>
      </c>
      <c r="B70" s="3150"/>
      <c r="C70" s="3150"/>
      <c r="D70" s="3150"/>
      <c r="E70" s="3150"/>
      <c r="F70" s="3150"/>
      <c r="G70" s="3150"/>
      <c r="H70" s="315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0" t="s">
        <v>2227</v>
      </c>
      <c r="B71" s="3141"/>
      <c r="C71" s="2953"/>
      <c r="D71" s="2953"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1511</v>
      </c>
      <c r="D72" s="200" t="s">
        <v>32</v>
      </c>
      <c r="E72" s="2952"/>
      <c r="F72" s="2947"/>
      <c r="G72" s="294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8</v>
      </c>
      <c r="D73" s="200" t="s">
        <v>32</v>
      </c>
      <c r="E73" s="2952"/>
      <c r="F73" s="2947"/>
      <c r="G73" s="294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2952"/>
      <c r="F74" s="2947"/>
      <c r="G74" s="294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46" t="s">
        <v>2255</v>
      </c>
      <c r="F76" s="3145"/>
      <c r="G76" s="3145"/>
      <c r="H76" s="314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2964" t="s">
        <v>2257</v>
      </c>
      <c r="F77" s="224"/>
      <c r="G77" s="2514" t="s">
        <v>2258</v>
      </c>
      <c r="H77" s="295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8</v>
      </c>
      <c r="D78" s="226">
        <f>'数据-取费表'!B43</f>
        <v>5.000000000000001E-3</v>
      </c>
      <c r="E78" s="3137" t="s">
        <v>2260</v>
      </c>
      <c r="F78" s="3138"/>
      <c r="G78" s="3138"/>
      <c r="H78" s="313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2261</v>
      </c>
      <c r="C79" s="207">
        <f ca="1">C72-C73</f>
        <v>1503</v>
      </c>
      <c r="D79" s="200" t="s">
        <v>32</v>
      </c>
      <c r="E79" s="2952"/>
      <c r="F79" s="2947"/>
      <c r="G79" s="294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187.875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899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9" t="s">
        <v>2264</v>
      </c>
      <c r="B83" s="3150"/>
      <c r="C83" s="3150"/>
      <c r="D83" s="3150"/>
      <c r="E83" s="3150"/>
      <c r="F83" s="3150"/>
      <c r="G83" s="3150"/>
      <c r="H83" s="315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0" t="s">
        <v>2227</v>
      </c>
      <c r="B84" s="3141"/>
      <c r="C84" s="2953"/>
      <c r="D84" s="2953"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1511</v>
      </c>
      <c r="D85" s="200" t="s">
        <v>32</v>
      </c>
      <c r="E85" s="2952"/>
      <c r="F85" s="2947"/>
      <c r="G85" s="294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8</v>
      </c>
      <c r="D86" s="235"/>
      <c r="E86" s="2952"/>
      <c r="F86" s="2947"/>
      <c r="G86" s="294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2948"/>
      <c r="F87" s="2949"/>
      <c r="G87" s="2949"/>
      <c r="H87" s="295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2949"/>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2949"/>
      <c r="G89" s="2949"/>
      <c r="H89" s="295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2949"/>
      <c r="G90" s="2949"/>
      <c r="H90" s="295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IF(H91="——",'成本法（商业）'!C33,I91)</f>
        <v>0</v>
      </c>
      <c r="D91" s="226"/>
      <c r="E91" s="3137" t="s">
        <v>2273</v>
      </c>
      <c r="F91" s="3138"/>
      <c r="G91" s="3138"/>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37" t="s">
        <v>2277</v>
      </c>
      <c r="F92" s="3138"/>
      <c r="G92" s="3138"/>
      <c r="H92" s="313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8</v>
      </c>
      <c r="D93" s="226">
        <f>'数据-取费表'!B43</f>
        <v>5.000000000000001E-3</v>
      </c>
      <c r="E93" s="3137" t="s">
        <v>2260</v>
      </c>
      <c r="F93" s="3138"/>
      <c r="G93" s="3138"/>
      <c r="H93" s="313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185" t="s">
        <v>2281</v>
      </c>
      <c r="F94" s="3186"/>
      <c r="G94" s="3186"/>
      <c r="H94" s="318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2261</v>
      </c>
      <c r="C95" s="207">
        <f ca="1">ROUND(C85-C86,0)</f>
        <v>1503</v>
      </c>
      <c r="D95" s="200" t="s">
        <v>32</v>
      </c>
      <c r="E95" s="2952"/>
      <c r="F95" s="2947"/>
      <c r="G95" s="294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187.875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899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2282</v>
      </c>
      <c r="B99" s="2419"/>
      <c r="C99" s="2419"/>
      <c r="D99" s="2419"/>
      <c r="E99" s="2168"/>
      <c r="F99" s="2168"/>
      <c r="G99" s="2168"/>
      <c r="H99" s="2167"/>
      <c r="I99" s="138"/>
    </row>
    <row r="100" spans="1:35" ht="18.75" customHeight="1">
      <c r="A100" s="3085" t="s">
        <v>2283</v>
      </c>
      <c r="B100" s="3086"/>
      <c r="C100" s="3086"/>
      <c r="D100" s="3121"/>
      <c r="E100" s="3086" t="s">
        <v>2284</v>
      </c>
      <c r="F100" s="3086"/>
      <c r="G100" s="3086"/>
      <c r="H100" s="3121"/>
      <c r="I100" s="138"/>
    </row>
    <row r="101" spans="1:35" ht="18.75" customHeight="1">
      <c r="A101" s="3129" t="s">
        <v>2285</v>
      </c>
      <c r="B101" s="3130"/>
      <c r="C101" s="736" t="str">
        <f>C4</f>
        <v>成本法（仓储）</v>
      </c>
      <c r="D101" s="737" t="str">
        <f>D4</f>
        <v>收益法（仓储）</v>
      </c>
      <c r="E101" s="3101" t="s">
        <v>2286</v>
      </c>
      <c r="F101" s="3102"/>
      <c r="G101" s="2521" t="s">
        <v>2287</v>
      </c>
      <c r="H101" s="1047">
        <f ca="1">H118</f>
        <v>1587</v>
      </c>
      <c r="I101" s="138"/>
    </row>
    <row r="102" spans="1:35" ht="18.75" customHeight="1">
      <c r="A102" s="3131" t="s">
        <v>2288</v>
      </c>
      <c r="B102" s="2521" t="s">
        <v>2287</v>
      </c>
      <c r="C102" s="736">
        <f ca="1">C19</f>
        <v>2110</v>
      </c>
      <c r="D102" s="737">
        <f ca="1">D19</f>
        <v>1239</v>
      </c>
      <c r="E102" s="3101"/>
      <c r="F102" s="3102"/>
      <c r="G102" s="2521" t="s">
        <v>2289</v>
      </c>
      <c r="H102" s="371">
        <f ca="1">I118</f>
        <v>4422</v>
      </c>
      <c r="I102" s="138"/>
    </row>
    <row r="103" spans="1:35" ht="42.75" customHeight="1">
      <c r="A103" s="3131"/>
      <c r="B103" s="2521" t="s">
        <v>2289</v>
      </c>
      <c r="C103" s="738">
        <f ca="1">C20</f>
        <v>5879</v>
      </c>
      <c r="D103" s="739">
        <f ca="1">D20</f>
        <v>3453</v>
      </c>
      <c r="E103" s="3095" t="s">
        <v>2290</v>
      </c>
      <c r="F103" s="3096"/>
      <c r="G103" s="2522" t="s">
        <v>2291</v>
      </c>
      <c r="H103" s="1047">
        <f>IF(D36="正常操作",H104+H105+H106,H105+H106)</f>
        <v>0</v>
      </c>
      <c r="I103" s="138"/>
    </row>
    <row r="104" spans="1:35" ht="18.75" customHeight="1">
      <c r="A104" s="3131" t="s">
        <v>2292</v>
      </c>
      <c r="B104" s="2523" t="s">
        <v>2287</v>
      </c>
      <c r="C104" s="740">
        <f ca="1">H118</f>
        <v>1587</v>
      </c>
      <c r="D104" s="741"/>
      <c r="E104" s="2268" t="s">
        <v>2293</v>
      </c>
      <c r="F104" s="2260"/>
      <c r="G104" s="2522" t="s">
        <v>2291</v>
      </c>
      <c r="H104" s="1048">
        <f>IF(D36="同一抵押权人同一抵押物续贷",C36&amp;"（未扣减，详见特别提示）",C36)</f>
        <v>0</v>
      </c>
      <c r="I104" s="138"/>
    </row>
    <row r="105" spans="1:35" ht="18.75" customHeight="1" thickBot="1">
      <c r="A105" s="3143"/>
      <c r="B105" s="2524" t="s">
        <v>2289</v>
      </c>
      <c r="C105" s="742">
        <f ca="1">I118</f>
        <v>4422</v>
      </c>
      <c r="D105" s="743"/>
      <c r="E105" s="2268" t="s">
        <v>2294</v>
      </c>
      <c r="F105" s="2260"/>
      <c r="G105" s="2522" t="s">
        <v>2291</v>
      </c>
      <c r="H105" s="1048">
        <f>C37</f>
        <v>0</v>
      </c>
      <c r="I105" s="138"/>
    </row>
    <row r="106" spans="1:35" ht="18.75" customHeight="1">
      <c r="A106" s="2419" t="s">
        <v>2295</v>
      </c>
      <c r="B106" s="2419"/>
      <c r="C106" s="2419"/>
      <c r="D106" s="2419"/>
      <c r="E106" s="2525" t="s">
        <v>2296</v>
      </c>
      <c r="F106" s="2260"/>
      <c r="G106" s="2522" t="s">
        <v>2291</v>
      </c>
      <c r="H106" s="1048">
        <f>C38</f>
        <v>0</v>
      </c>
      <c r="I106" s="138"/>
    </row>
    <row r="107" spans="1:35" ht="18.75" customHeight="1">
      <c r="A107" s="138"/>
      <c r="B107" s="138"/>
      <c r="C107" s="138"/>
      <c r="D107" s="138"/>
      <c r="E107" s="3132" t="str">
        <f>IF(项目基本情况!E8="已注销","——","3.房地产抵押价值")</f>
        <v>3.房地产抵押价值</v>
      </c>
      <c r="F107" s="3102"/>
      <c r="G107" s="2521" t="s">
        <v>2287</v>
      </c>
      <c r="H107" s="1047">
        <f ca="1">IF(E107="——","——",H101-H103)</f>
        <v>1587</v>
      </c>
      <c r="I107" s="138"/>
    </row>
    <row r="108" spans="1:35" ht="18.75" customHeight="1">
      <c r="A108" s="138"/>
      <c r="B108" s="138"/>
      <c r="C108" s="138"/>
      <c r="D108" s="138"/>
      <c r="E108" s="3132"/>
      <c r="F108" s="3102"/>
      <c r="G108" s="2521" t="s">
        <v>2289</v>
      </c>
      <c r="H108" s="371">
        <f ca="1">ROUND(H107*10000/'数据-汇总表'!E3,0)</f>
        <v>1840</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02"/>
      <c r="G109" s="2521" t="s">
        <v>2287</v>
      </c>
      <c r="H109" s="348" t="str">
        <f>IF(E109="——","——",H101-H105-H106)</f>
        <v>——</v>
      </c>
      <c r="I109" s="138"/>
    </row>
    <row r="110" spans="1:35" ht="18.75" customHeight="1">
      <c r="A110" s="138"/>
      <c r="B110" s="138"/>
      <c r="C110" s="138"/>
      <c r="D110" s="138"/>
      <c r="E110" s="3132"/>
      <c r="F110" s="3102"/>
      <c r="G110" s="2521" t="s">
        <v>2289</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1" t="s">
        <v>2287</v>
      </c>
      <c r="H111" s="1047" t="str">
        <f>IF(E111="——","——",N59)</f>
        <v>——</v>
      </c>
      <c r="I111" s="138"/>
    </row>
    <row r="112" spans="1:35" ht="18.75" customHeight="1" thickBot="1">
      <c r="A112" s="138"/>
      <c r="B112" s="138"/>
      <c r="C112" s="138"/>
      <c r="D112" s="138"/>
      <c r="E112" s="3135"/>
      <c r="F112" s="3136"/>
      <c r="G112" s="2526" t="s">
        <v>2289</v>
      </c>
      <c r="H112" s="790" t="str">
        <f>IF(E111="——","——",N61)</f>
        <v>——</v>
      </c>
      <c r="I112" s="138"/>
    </row>
    <row r="113" spans="1:11" ht="18.75" customHeight="1">
      <c r="A113" s="138"/>
      <c r="B113" s="138"/>
      <c r="C113" s="138"/>
      <c r="D113" s="138"/>
      <c r="E113" s="3144" t="s">
        <v>2295</v>
      </c>
      <c r="F113" s="3144"/>
      <c r="G113" s="3144"/>
      <c r="H113" s="3144"/>
      <c r="I113" s="138"/>
    </row>
    <row r="114" spans="1:11" ht="3.75" customHeight="1">
      <c r="A114" s="2419"/>
      <c r="B114" s="2419"/>
      <c r="C114" s="2419"/>
      <c r="D114" s="2419"/>
      <c r="E114" s="2497"/>
      <c r="F114" s="2497"/>
      <c r="G114" s="2497"/>
      <c r="H114" s="2497"/>
      <c r="I114" s="2419"/>
    </row>
    <row r="115" spans="1:11" ht="18.75" customHeight="1">
      <c r="A115" s="3157" t="s">
        <v>2297</v>
      </c>
      <c r="B115" s="3158"/>
      <c r="C115" s="3158"/>
      <c r="D115" s="3158"/>
      <c r="E115" s="3158"/>
      <c r="F115" s="3158"/>
      <c r="G115" s="3158"/>
      <c r="H115" s="3158"/>
      <c r="I115" s="3159"/>
    </row>
    <row r="116" spans="1:11" ht="27" customHeight="1">
      <c r="A116" s="3064" t="s">
        <v>2298</v>
      </c>
      <c r="B116" s="3111" t="s">
        <v>2299</v>
      </c>
      <c r="C116" s="3111" t="s">
        <v>2300</v>
      </c>
      <c r="D116" s="3117" t="s">
        <v>2301</v>
      </c>
      <c r="E116" s="3118"/>
      <c r="F116" s="3153" t="s">
        <v>2302</v>
      </c>
      <c r="G116" s="3153"/>
      <c r="H116" s="3064" t="s">
        <v>2303</v>
      </c>
      <c r="I116" s="3064"/>
    </row>
    <row r="117" spans="1:11" ht="18.75" customHeight="1">
      <c r="A117" s="3064"/>
      <c r="B117" s="3112"/>
      <c r="C117" s="3112"/>
      <c r="D117" s="2945" t="s">
        <v>2304</v>
      </c>
      <c r="E117" s="2945" t="s">
        <v>2305</v>
      </c>
      <c r="F117" s="2945" t="s">
        <v>2304</v>
      </c>
      <c r="G117" s="2945" t="s">
        <v>2306</v>
      </c>
      <c r="H117" s="2945" t="s">
        <v>2304</v>
      </c>
      <c r="I117" s="2945" t="s">
        <v>2306</v>
      </c>
    </row>
    <row r="118" spans="1:11" ht="24.75" customHeight="1">
      <c r="A118" s="2527" t="str">
        <f>项目基本情况!S2</f>
        <v>北京市大兴区永兴路7号院6号楼-101号商业用房房地产</v>
      </c>
      <c r="B118" s="2945">
        <f>M18</f>
        <v>3589.2600000000011</v>
      </c>
      <c r="C118" s="2945">
        <f>M19</f>
        <v>885.26</v>
      </c>
      <c r="D118" s="2945">
        <f ca="1">ROUND(IF(D32="总价",C34,E118*B118/10000),0)</f>
        <v>786</v>
      </c>
      <c r="E118" s="2945">
        <f ca="1">ROUND(IF(C33="自定义",IF(D32="楼面单价",C34,D118*10000/B118),I118-G118),0)</f>
        <v>2190</v>
      </c>
      <c r="F118" s="2945">
        <f ca="1">ROUND(IF(D32="总价",C35,G118*B118/10000),0)</f>
        <v>801</v>
      </c>
      <c r="G118" s="2945">
        <f ca="1">ROUND(IF(D32="楼面单价",C35,F118*10000/B118),0)</f>
        <v>2232</v>
      </c>
      <c r="H118" s="2945">
        <f ca="1">ROUND(IF(D32="总价",C32,I118*B118/10000),0)</f>
        <v>1587</v>
      </c>
      <c r="I118" s="2945">
        <f ca="1">ROUND(IF(D32="楼面单价",C32,H118*10000/B118),0)</f>
        <v>4422</v>
      </c>
    </row>
    <row r="119" spans="1:11" ht="18.75" customHeight="1">
      <c r="A119" s="3064" t="s">
        <v>2307</v>
      </c>
      <c r="B119" s="3064"/>
      <c r="C119" s="3064"/>
      <c r="D119" s="3113" t="str">
        <f ca="1">NUMBERSTRING(INT(D118*10000),2)&amp;"元整"</f>
        <v>柒佰捌拾陆万元整</v>
      </c>
      <c r="E119" s="3114"/>
      <c r="F119" s="3113" t="str">
        <f ca="1">NUMBERSTRING(INT(F118*10000),2)&amp;"元整"</f>
        <v>捌佰零壹万元整</v>
      </c>
      <c r="G119" s="3114"/>
      <c r="H119" s="3113" t="str">
        <f ca="1">NUMBERSTRING(INT(H118*10000),2)&amp;"元整"</f>
        <v>壹仟伍佰捌拾柒万元整</v>
      </c>
      <c r="I119" s="3114"/>
    </row>
    <row r="120" spans="1:11" ht="18.75" customHeight="1">
      <c r="A120" s="3108" t="str">
        <f>IF(项目基本情况!B9="房地产市场价值","",MID(E103,3,LEN(E103)-2))</f>
        <v/>
      </c>
      <c r="B120" s="3109"/>
      <c r="C120" s="3110"/>
      <c r="D120" s="3108">
        <f>H103</f>
        <v>0</v>
      </c>
      <c r="E120" s="3109"/>
      <c r="F120" s="3109"/>
      <c r="G120" s="3109"/>
      <c r="H120" s="3109"/>
      <c r="I120" s="3110"/>
      <c r="K120" s="2424" t="str">
        <f>IF(D120=0,"故，本次评估不存在"&amp;A120,"故，本次评估"&amp;A120&amp;"为人民币"&amp;D120&amp;"万元整。")</f>
        <v>故，本次评估不存在</v>
      </c>
    </row>
    <row r="121" spans="1:11" ht="18.75" customHeight="1">
      <c r="A121" s="3154" t="s">
        <v>2307</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
      </c>
      <c r="B122" s="3119"/>
      <c r="C122" s="3119"/>
      <c r="D122" s="3108">
        <f ca="1">H107</f>
        <v>1587</v>
      </c>
      <c r="E122" s="3109"/>
      <c r="F122" s="3109"/>
      <c r="G122" s="3109"/>
      <c r="H122" s="3109"/>
      <c r="I122" s="3110"/>
    </row>
    <row r="123" spans="1:11" ht="18.75" customHeight="1">
      <c r="A123" s="3064" t="s">
        <v>2307</v>
      </c>
      <c r="B123" s="3064"/>
      <c r="C123" s="3064"/>
      <c r="D123" s="3113" t="str">
        <f ca="1">NUMBERSTRING(INT(D122*10000),2)&amp;"元整"</f>
        <v>壹仟伍佰捌拾柒万元整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64" t="s">
        <v>2307</v>
      </c>
      <c r="B125" s="3064"/>
      <c r="C125" s="3064"/>
      <c r="D125" s="3113" t="e">
        <f>NUMBERSTRING(INT(D124*10000),2)&amp;"元整"</f>
        <v>#VALUE!</v>
      </c>
      <c r="E125" s="3115"/>
      <c r="F125" s="3115"/>
      <c r="G125" s="3115"/>
      <c r="H125" s="3115"/>
      <c r="I125" s="3114"/>
    </row>
    <row r="126" spans="1:11" ht="18.75" customHeight="1">
      <c r="A126" s="3119" t="str">
        <f>IF(项目基本情况!B9="房地产市场价值","",MID(E111,3,LEN(E111)-2))</f>
        <v/>
      </c>
      <c r="B126" s="3119"/>
      <c r="C126" s="3119"/>
      <c r="D126" s="3108" t="str">
        <f>H111</f>
        <v>——</v>
      </c>
      <c r="E126" s="3109"/>
      <c r="F126" s="3109"/>
      <c r="G126" s="3109"/>
      <c r="H126" s="3109"/>
      <c r="I126" s="3110"/>
    </row>
    <row r="127" spans="1:11" ht="18.75" customHeight="1">
      <c r="A127" s="3064" t="s">
        <v>2307</v>
      </c>
      <c r="B127" s="3064"/>
      <c r="C127" s="3064"/>
      <c r="D127" s="3113" t="e">
        <f>NUMBERSTRING(INT(D126*10000),2)&amp;"元整"</f>
        <v>#VALUE!</v>
      </c>
      <c r="E127" s="3115"/>
      <c r="F127" s="3115"/>
      <c r="G127" s="3115"/>
      <c r="H127" s="3115"/>
      <c r="I127" s="3114"/>
    </row>
    <row r="128" spans="1:11" ht="21.75" customHeight="1">
      <c r="A128" s="3116" t="s">
        <v>2308</v>
      </c>
      <c r="B128" s="3116"/>
      <c r="C128" s="3116"/>
      <c r="D128" s="3116"/>
      <c r="E128" s="3116"/>
      <c r="F128" s="3116"/>
      <c r="G128" s="3116"/>
      <c r="H128" s="3116"/>
      <c r="I128" s="3116"/>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D51" sqref="D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9" t="s">
        <v>3252</v>
      </c>
      <c r="C1" s="242"/>
      <c r="D1" s="242"/>
      <c r="E1" s="242"/>
      <c r="F1" s="242"/>
      <c r="G1" s="1381">
        <f>MATCH(B1,'数据-取费表'!A6:A16,0)+5</f>
        <v>7</v>
      </c>
    </row>
    <row r="2" spans="1:9" s="244" customFormat="1" ht="18" customHeight="1">
      <c r="A2" s="245" t="s">
        <v>1390</v>
      </c>
      <c r="B2" s="246">
        <f ca="1">IF(D2="——",C52,C52-E2)</f>
        <v>2110</v>
      </c>
      <c r="C2" s="243" t="s">
        <v>2318</v>
      </c>
      <c r="D2" s="2550" t="s">
        <v>70</v>
      </c>
      <c r="E2" s="1442" t="e">
        <f ca="1">SUMIF(INDIRECT("'"&amp;G2&amp;"'"&amp;"!A:A"),"承租人权益价值",INDIRECT("'"&amp;G2&amp;"'"&amp;"!c:c"))</f>
        <v>#REF!</v>
      </c>
      <c r="F2" s="2551" t="s">
        <v>2318</v>
      </c>
      <c r="G2" s="2552"/>
    </row>
    <row r="3" spans="1:9" s="244" customFormat="1" ht="18" customHeight="1" thickBot="1">
      <c r="A3" s="247" t="s">
        <v>1391</v>
      </c>
      <c r="B3" s="248">
        <f ca="1">ROUND(B2*10000/(IF(B1="",'数据-汇总表'!E3,INDIRECT("'数据-取费表'!k"&amp;$G$1))),0)</f>
        <v>5879</v>
      </c>
      <c r="C3" s="243" t="s">
        <v>2320</v>
      </c>
      <c r="D3" s="243"/>
      <c r="E3" s="243"/>
      <c r="F3" s="243"/>
      <c r="G3" s="243"/>
    </row>
    <row r="4" spans="1:9" s="252" customFormat="1" ht="15.75">
      <c r="A4" s="249" t="s">
        <v>2321</v>
      </c>
      <c r="B4" s="250"/>
      <c r="C4" s="250"/>
      <c r="D4" s="250"/>
      <c r="E4" s="250"/>
      <c r="F4" s="250"/>
      <c r="G4" s="251"/>
    </row>
    <row r="5" spans="1:9" s="258" customFormat="1" ht="13.5" customHeight="1">
      <c r="A5" s="299" t="s">
        <v>782</v>
      </c>
      <c r="B5" s="254" t="s">
        <v>2323</v>
      </c>
      <c r="C5" s="255">
        <f ca="1">C6+C7+C8</f>
        <v>792</v>
      </c>
      <c r="D5" s="255" t="s">
        <v>2324</v>
      </c>
      <c r="E5" s="256" t="s">
        <v>2325</v>
      </c>
      <c r="F5" s="256" t="s">
        <v>2326</v>
      </c>
      <c r="G5" s="257"/>
    </row>
    <row r="6" spans="1:9" s="258" customFormat="1" ht="13.5" customHeight="1">
      <c r="A6" s="951" t="s">
        <v>791</v>
      </c>
      <c r="B6" s="259" t="s">
        <v>2328</v>
      </c>
      <c r="C6" s="260">
        <f ca="1">'基准地价修正（仓储）'!E29+'基准地价修正（商业）'!E38</f>
        <v>703</v>
      </c>
      <c r="D6" s="261"/>
      <c r="E6" s="262"/>
      <c r="F6" s="262"/>
      <c r="G6" s="263"/>
    </row>
    <row r="7" spans="1:9" s="258" customFormat="1" ht="13.5" customHeight="1">
      <c r="A7" s="951" t="s">
        <v>792</v>
      </c>
      <c r="B7" s="259" t="s">
        <v>2330</v>
      </c>
      <c r="C7" s="264">
        <f ca="1">ROUND(C6*F7,0)</f>
        <v>21</v>
      </c>
      <c r="D7" s="264"/>
      <c r="E7" s="262"/>
      <c r="F7" s="265">
        <f>'数据-取费表'!B48+'数据-取费表'!B49</f>
        <v>3.0499999999999999E-2</v>
      </c>
      <c r="G7" s="263"/>
    </row>
    <row r="8" spans="1:9" s="267" customFormat="1">
      <c r="A8" s="951" t="s">
        <v>793</v>
      </c>
      <c r="B8" s="259" t="s">
        <v>2332</v>
      </c>
      <c r="C8" s="264">
        <f ca="1">IF(G8="已包含在土地购买价格中","0",IF(B1="",'数据-取费表'!B29,IF(G9="全部缴纳",C9+C10,H9)))</f>
        <v>68</v>
      </c>
      <c r="D8" s="266"/>
      <c r="E8" s="264"/>
      <c r="F8" s="265"/>
      <c r="G8" s="2553" t="s">
        <v>3294</v>
      </c>
    </row>
    <row r="9" spans="1:9" s="258" customFormat="1" ht="13.5" customHeight="1">
      <c r="A9" s="952" t="s">
        <v>800</v>
      </c>
      <c r="B9" s="268" t="s">
        <v>2333</v>
      </c>
      <c r="C9" s="269">
        <f ca="1">ROUND(D9*E9/10000,0)</f>
        <v>0</v>
      </c>
      <c r="D9" s="1034">
        <f ca="1">IF(B1="",'数据-汇总表'!E5,IF(INDIRECT("'数据-取费表'!c"&amp;$G$1)="住宅",INDIRECT("'数据-取费表'!k"&amp;$G$1),0))</f>
        <v>0</v>
      </c>
      <c r="E9" s="269">
        <f>'数据-取费表'!B27</f>
        <v>150</v>
      </c>
      <c r="F9" s="265"/>
      <c r="G9" s="2554" t="s">
        <v>3295</v>
      </c>
      <c r="H9" s="1392"/>
      <c r="I9" s="2555" t="s">
        <v>2334</v>
      </c>
    </row>
    <row r="10" spans="1:9" s="258" customFormat="1" ht="13.5" customHeight="1">
      <c r="A10" s="952" t="s">
        <v>801</v>
      </c>
      <c r="B10" s="268" t="s">
        <v>2335</v>
      </c>
      <c r="C10" s="269">
        <f ca="1">ROUND(D10*E10/10000,0)</f>
        <v>68</v>
      </c>
      <c r="D10" s="1034">
        <f ca="1">IF(B1="",'数据-汇总表'!E6,IF(INDIRECT("'数据-取费表'!c"&amp;$G$1)="住宅",INDIRECT("'数据-取费表'!s"&amp;$G$1),INDIRECT("'数据-取费表'!k"&amp;$G$1)+INDIRECT("'数据-取费表'!s"&amp;$G$1)))</f>
        <v>3589.2600000000011</v>
      </c>
      <c r="E10" s="269">
        <f>'数据-取费表'!B28</f>
        <v>190</v>
      </c>
      <c r="F10" s="265"/>
      <c r="G10" s="270"/>
    </row>
    <row r="11" spans="1:9" s="258" customFormat="1" ht="13.5" hidden="1" customHeight="1">
      <c r="A11" s="271" t="s">
        <v>7</v>
      </c>
      <c r="B11" s="259" t="s">
        <v>2336</v>
      </c>
      <c r="C11" s="255"/>
      <c r="D11" s="1036"/>
      <c r="E11" s="262"/>
      <c r="F11" s="262"/>
      <c r="G11" s="263"/>
    </row>
    <row r="12" spans="1:9" s="258" customFormat="1" ht="13.5" hidden="1" customHeight="1">
      <c r="A12" s="271" t="s">
        <v>8</v>
      </c>
      <c r="B12" s="259" t="s">
        <v>2337</v>
      </c>
      <c r="C12" s="255">
        <v>0</v>
      </c>
      <c r="D12" s="1036"/>
      <c r="E12" s="272"/>
      <c r="F12" s="265">
        <v>3.0499999999999999E-2</v>
      </c>
      <c r="G12" s="263"/>
    </row>
    <row r="13" spans="1:9" s="258" customFormat="1" ht="13.5" hidden="1" customHeight="1">
      <c r="A13" s="271" t="s">
        <v>9</v>
      </c>
      <c r="B13" s="259" t="s">
        <v>2338</v>
      </c>
      <c r="C13" s="255"/>
      <c r="D13" s="1036"/>
      <c r="E13" s="262"/>
      <c r="F13" s="262"/>
      <c r="G13" s="263"/>
    </row>
    <row r="14" spans="1:9" s="258" customFormat="1" ht="13.5" hidden="1" customHeight="1">
      <c r="A14" s="271" t="s">
        <v>10</v>
      </c>
      <c r="B14" s="259" t="s">
        <v>2332</v>
      </c>
      <c r="C14" s="255"/>
      <c r="D14" s="1036"/>
      <c r="E14" s="262"/>
      <c r="F14" s="262"/>
      <c r="G14" s="263" t="s">
        <v>2340</v>
      </c>
    </row>
    <row r="15" spans="1:9" s="258" customFormat="1" ht="13.5" hidden="1" customHeight="1">
      <c r="A15" s="271" t="s">
        <v>11</v>
      </c>
      <c r="B15" s="259" t="s">
        <v>2341</v>
      </c>
      <c r="C15" s="264"/>
      <c r="D15" s="1036"/>
      <c r="E15" s="262"/>
      <c r="F15" s="262"/>
      <c r="G15" s="263" t="s">
        <v>2342</v>
      </c>
    </row>
    <row r="16" spans="1:9" s="258" customFormat="1" ht="13.5" hidden="1" customHeight="1">
      <c r="A16" s="271" t="s">
        <v>12</v>
      </c>
      <c r="B16" s="259" t="s">
        <v>2332</v>
      </c>
      <c r="C16" s="264"/>
      <c r="D16" s="1036"/>
      <c r="E16" s="262"/>
      <c r="F16" s="262"/>
      <c r="G16" s="263"/>
    </row>
    <row r="17" spans="1:7" s="258" customFormat="1" ht="13.5" hidden="1" customHeight="1">
      <c r="A17" s="271" t="s">
        <v>13</v>
      </c>
      <c r="B17" s="259" t="s">
        <v>2343</v>
      </c>
      <c r="C17" s="273"/>
      <c r="D17" s="1037"/>
      <c r="E17" s="273"/>
      <c r="F17" s="273"/>
      <c r="G17" s="263" t="s">
        <v>2342</v>
      </c>
    </row>
    <row r="18" spans="1:7" s="258" customFormat="1" ht="13.5" hidden="1" customHeight="1">
      <c r="A18" s="271" t="s">
        <v>14</v>
      </c>
      <c r="B18" s="259" t="s">
        <v>2344</v>
      </c>
      <c r="C18" s="264">
        <v>0</v>
      </c>
      <c r="D18" s="1036"/>
      <c r="E18" s="262"/>
      <c r="F18" s="265">
        <v>3.0499999999999999E-2</v>
      </c>
      <c r="G18" s="263" t="s">
        <v>2345</v>
      </c>
    </row>
    <row r="19" spans="1:7" s="267" customFormat="1" ht="13.5" customHeight="1">
      <c r="A19" s="299" t="s">
        <v>2346</v>
      </c>
      <c r="B19" s="254" t="s">
        <v>2347</v>
      </c>
      <c r="C19" s="255" t="str">
        <f>IF(G19="已包含在土地取得成本中","0",ROUND(D19*E19/10000,0))</f>
        <v>0</v>
      </c>
      <c r="D19" s="1038">
        <f ca="1">D9+D10</f>
        <v>3589.2600000000011</v>
      </c>
      <c r="E19" s="255">
        <f>'数据-取费表'!B31</f>
        <v>100</v>
      </c>
      <c r="F19" s="275"/>
      <c r="G19" s="2553" t="s">
        <v>3296</v>
      </c>
    </row>
    <row r="20" spans="1:7" s="258" customFormat="1" ht="13.5" customHeight="1">
      <c r="A20" s="299" t="s">
        <v>2348</v>
      </c>
      <c r="B20" s="254" t="s">
        <v>2349</v>
      </c>
      <c r="C20" s="276">
        <f ca="1">ROUND((C5+C19)*F20,0)</f>
        <v>16</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6">
        <f ca="1">ROUND(SUM(C23:C25),0)</f>
        <v>119</v>
      </c>
      <c r="D22" s="279">
        <f ca="1">C26</f>
        <v>1.4E-3</v>
      </c>
      <c r="E22" s="280" t="s">
        <v>2353</v>
      </c>
      <c r="F22" s="281">
        <f ca="1">'数据-取费表'!B40</f>
        <v>4.7500000000000001E-2</v>
      </c>
      <c r="G22" s="278" t="str">
        <f>IF('数据-取费表'!B22&lt;=1,"单利计息","复利计息")</f>
        <v>复利计息</v>
      </c>
    </row>
    <row r="23" spans="1:7" s="258" customFormat="1" ht="13.5" customHeight="1">
      <c r="A23" s="953" t="s">
        <v>791</v>
      </c>
      <c r="B23" s="259" t="s">
        <v>2358</v>
      </c>
      <c r="C23" s="1357">
        <f ca="1">ROUND(IF('数据-取费表'!B22&lt;=1,C5*F22*'数据-取费表'!B23,C5*(POWER((1+F22),'数据-取费表'!B23)-1)),0)</f>
        <v>118</v>
      </c>
      <c r="D23" s="282"/>
      <c r="E23" s="282"/>
      <c r="F23" s="283"/>
      <c r="G23" s="284" t="s">
        <v>2359</v>
      </c>
    </row>
    <row r="24" spans="1:7" s="258" customFormat="1" ht="13.5" customHeight="1">
      <c r="A24" s="953" t="s">
        <v>792</v>
      </c>
      <c r="B24" s="259" t="s">
        <v>2361</v>
      </c>
      <c r="C24" s="1357">
        <f ca="1">ROUND(IF('数据-取费表'!B22&lt;=1,C19*F22*('数据-取费表'!B19/2+'数据-取费表'!B21),C19*(POWER((1+F22),('数据-取费表'!B19/2+'数据-取费表'!B21))-1)),0)</f>
        <v>0</v>
      </c>
      <c r="D24" s="282"/>
      <c r="E24" s="282"/>
      <c r="F24" s="283"/>
      <c r="G24" s="284" t="s">
        <v>2362</v>
      </c>
    </row>
    <row r="25" spans="1:7" s="258" customFormat="1" ht="24">
      <c r="A25" s="953" t="s">
        <v>793</v>
      </c>
      <c r="B25" s="259" t="s">
        <v>2364</v>
      </c>
      <c r="C25" s="1357">
        <f ca="1">ROUND(IF('数据-取费表'!B22&lt;=1,C20*F22*'数据-取费表'!B23/2,C20*(POWER((1+F22),'数据-取费表'!B23/2)-1)),0)</f>
        <v>1</v>
      </c>
      <c r="D25" s="282"/>
      <c r="E25" s="285"/>
      <c r="F25" s="283"/>
      <c r="G25" s="286" t="s">
        <v>2365</v>
      </c>
    </row>
    <row r="26" spans="1:7" s="258" customFormat="1">
      <c r="A26" s="953"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40</v>
      </c>
      <c r="D27" s="279">
        <f ca="1">C29</f>
        <v>1E-3</v>
      </c>
      <c r="E27" s="280" t="s">
        <v>2353</v>
      </c>
      <c r="F27" s="290">
        <f ca="1">IF(B1="",'数据-取费表'!Q16,INDIRECT("'数据-取费表'!q"&amp;$G$1))</f>
        <v>0.05</v>
      </c>
      <c r="G27" s="291" t="s">
        <v>2370</v>
      </c>
    </row>
    <row r="28" spans="1:7" s="258" customFormat="1" ht="13.5" customHeight="1">
      <c r="A28" s="953" t="s">
        <v>791</v>
      </c>
      <c r="B28" s="292" t="s">
        <v>2371</v>
      </c>
      <c r="C28" s="293">
        <f ca="1">ROUND((C5+C19+C20)*F27*'数据-取费表'!B21/'数据-取费表'!B20,0)</f>
        <v>40</v>
      </c>
      <c r="D28" s="279"/>
      <c r="E28" s="280"/>
      <c r="F28" s="290"/>
      <c r="G28" s="291"/>
    </row>
    <row r="29" spans="1:7" s="258" customFormat="1" ht="13.5" customHeight="1">
      <c r="A29" s="953" t="s">
        <v>792</v>
      </c>
      <c r="B29" s="292" t="s">
        <v>2372</v>
      </c>
      <c r="C29" s="282">
        <f ca="1">ROUND(C21*F27*'数据-取费表'!B21/'数据-取费表'!B20,4)</f>
        <v>1E-3</v>
      </c>
      <c r="D29" s="279"/>
      <c r="E29" s="280"/>
      <c r="F29" s="290"/>
      <c r="G29" s="291"/>
    </row>
    <row r="30" spans="1:7" s="258" customFormat="1" ht="13.5" customHeight="1">
      <c r="A30" s="299" t="s">
        <v>2373</v>
      </c>
      <c r="B30" s="254" t="s">
        <v>2374</v>
      </c>
      <c r="C30" s="279">
        <f>ROUND(F30/(1+'数据-取费表'!C42),4)</f>
        <v>5.2400000000000002E-2</v>
      </c>
      <c r="D30" s="280" t="s">
        <v>2353</v>
      </c>
      <c r="E30" s="285"/>
      <c r="F30" s="281">
        <f>'数据-取费表'!B41</f>
        <v>5.5000000000000007E-2</v>
      </c>
      <c r="G30" s="278" t="s">
        <v>2375</v>
      </c>
    </row>
    <row r="31" spans="1:7" ht="16.5" customHeight="1">
      <c r="A31" s="253">
        <v>1</v>
      </c>
      <c r="B31" s="254" t="s">
        <v>2376</v>
      </c>
      <c r="C31" s="255">
        <f ca="1">ROUND((C5+C19+C20+C22+C27)/(1-C21-D22-D27-C30),0)</f>
        <v>1045</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902</v>
      </c>
      <c r="D33" s="276"/>
      <c r="E33" s="256"/>
      <c r="F33" s="285"/>
      <c r="G33" s="278"/>
    </row>
    <row r="34" spans="1:7" s="302" customFormat="1" ht="13.5" customHeight="1">
      <c r="A34" s="953" t="s">
        <v>791</v>
      </c>
      <c r="B34" s="259" t="s">
        <v>2380</v>
      </c>
      <c r="C34" s="264">
        <f ca="1">IF(B1="",IF(F34=100%,'数据-取费表'!M16,'数据-取费表'!O16),IF(F34=100%,INDIRECT("'数据-取费表'!m"&amp;$G$1)+INDIRECT("'数据-取费表'!t"&amp;$G$1),INDIRECT("'数据-取费表'!o"&amp;$G$1)+INDIRECT("'数据-取费表'!aq"&amp;$G$1)))</f>
        <v>790</v>
      </c>
      <c r="D34" s="261"/>
      <c r="E34" s="264"/>
      <c r="F34" s="301">
        <f ca="1">IF('数据-取费表'!B24=0,1,IF(B1="",'数据-取费表'!N16,INDIRECT("'数据-取费表'!n"&amp;$G$1)))</f>
        <v>1</v>
      </c>
      <c r="G34" s="263" t="s">
        <v>2381</v>
      </c>
    </row>
    <row r="35" spans="1:7" ht="13.5" customHeight="1">
      <c r="A35" s="953" t="s">
        <v>796</v>
      </c>
      <c r="B35" s="259" t="s">
        <v>2382</v>
      </c>
      <c r="C35" s="264">
        <f ca="1">ROUND(C34*F35,0)</f>
        <v>28</v>
      </c>
      <c r="D35" s="264"/>
      <c r="E35" s="264"/>
      <c r="F35" s="303">
        <f>'数据-取费表'!B33</f>
        <v>3.5000000000000003E-2</v>
      </c>
      <c r="G35" s="263" t="s">
        <v>2383</v>
      </c>
    </row>
    <row r="36" spans="1:7" ht="24">
      <c r="A36" s="953"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3" t="s">
        <v>798</v>
      </c>
      <c r="B37" s="259" t="s">
        <v>2386</v>
      </c>
      <c r="C37" s="293">
        <f ca="1">ROUND(E37*D37*F34/10000,0)</f>
        <v>72</v>
      </c>
      <c r="D37" s="261">
        <f ca="1">D19</f>
        <v>3589.2600000000011</v>
      </c>
      <c r="E37" s="293">
        <f>'数据-取费表'!B35</f>
        <v>200</v>
      </c>
      <c r="F37" s="303"/>
      <c r="G37" s="305" t="s">
        <v>2387</v>
      </c>
    </row>
    <row r="38" spans="1:7" ht="13.5" customHeight="1">
      <c r="A38" s="953" t="s">
        <v>799</v>
      </c>
      <c r="B38" s="259" t="s">
        <v>2388</v>
      </c>
      <c r="C38" s="264">
        <f ca="1">ROUND(C34*F38,0)</f>
        <v>12</v>
      </c>
      <c r="D38" s="264"/>
      <c r="E38" s="264"/>
      <c r="F38" s="303">
        <f>'数据-取费表'!B36</f>
        <v>1.4999999999999999E-2</v>
      </c>
      <c r="G38" s="263" t="s">
        <v>2383</v>
      </c>
    </row>
    <row r="39" spans="1:7" s="258" customFormat="1" ht="13.5" customHeight="1">
      <c r="A39" s="299" t="s">
        <v>2346</v>
      </c>
      <c r="B39" s="254" t="s">
        <v>2349</v>
      </c>
      <c r="C39" s="276">
        <f ca="1">ROUND(C33*F20,0)</f>
        <v>18</v>
      </c>
      <c r="D39" s="276"/>
      <c r="E39" s="276"/>
      <c r="F39" s="277"/>
      <c r="G39" s="278" t="s">
        <v>2391</v>
      </c>
    </row>
    <row r="40" spans="1:7" s="258" customFormat="1" ht="13.5" customHeight="1">
      <c r="A40" s="299" t="s">
        <v>2348</v>
      </c>
      <c r="B40" s="254" t="s">
        <v>2352</v>
      </c>
      <c r="C40" s="1730">
        <f>F21</f>
        <v>0.02</v>
      </c>
      <c r="D40" s="280" t="s">
        <v>2394</v>
      </c>
      <c r="E40" s="276"/>
      <c r="F40" s="277"/>
      <c r="G40" s="278" t="s">
        <v>2395</v>
      </c>
    </row>
    <row r="41" spans="1:7" s="258" customFormat="1" ht="13.5" customHeight="1">
      <c r="A41" s="299" t="s">
        <v>2351</v>
      </c>
      <c r="B41" s="254" t="s">
        <v>2356</v>
      </c>
      <c r="C41" s="276">
        <f ca="1">ROUND(SUM(C42:C43),0)</f>
        <v>66</v>
      </c>
      <c r="D41" s="279">
        <f ca="1">C44</f>
        <v>1.4E-3</v>
      </c>
      <c r="E41" s="280" t="s">
        <v>2394</v>
      </c>
      <c r="F41" s="281"/>
      <c r="G41" s="278" t="str">
        <f>IF('数据-取费表'!B22&lt;=1,"单利计息","复利计息")</f>
        <v>复利计息</v>
      </c>
    </row>
    <row r="42" spans="1:7" ht="13.5" customHeight="1">
      <c r="A42" s="953" t="s">
        <v>791</v>
      </c>
      <c r="B42" s="259" t="s">
        <v>2358</v>
      </c>
      <c r="C42" s="282">
        <f ca="1">ROUND(IF('数据-取费表'!B22&lt;=1,C33*F22*'数据-取费表'!B21/2,C33*(POWER((1+F22),'数据-取费表'!B21/2)-1)),0)</f>
        <v>65</v>
      </c>
      <c r="D42" s="282"/>
      <c r="E42" s="282"/>
      <c r="F42" s="283"/>
      <c r="G42" s="3238" t="s">
        <v>2399</v>
      </c>
    </row>
    <row r="43" spans="1:7" ht="13.5" customHeight="1">
      <c r="A43" s="953" t="s">
        <v>792</v>
      </c>
      <c r="B43" s="259" t="s">
        <v>2361</v>
      </c>
      <c r="C43" s="282">
        <f ca="1">ROUND(IF('数据-取费表'!B22&lt;=1,C39*F22*'数据-取费表'!B21/2,C39*(POWER((1+F22),'数据-取费表'!B21/2)-1)),0)</f>
        <v>1</v>
      </c>
      <c r="D43" s="282"/>
      <c r="E43" s="282"/>
      <c r="F43" s="283"/>
      <c r="G43" s="3239"/>
    </row>
    <row r="44" spans="1:7" ht="13.5" customHeight="1">
      <c r="A44" s="953" t="s">
        <v>793</v>
      </c>
      <c r="B44" s="259" t="s">
        <v>2364</v>
      </c>
      <c r="C44" s="282">
        <f ca="1">ROUND(IF('数据-取费表'!B22&lt;=1,C40*F22*'数据-取费表'!B21/2,C40*(POWER((1+F22),'数据-取费表'!B21/2)-1)),4)</f>
        <v>1.4E-3</v>
      </c>
      <c r="D44" s="282"/>
      <c r="E44" s="282"/>
      <c r="F44" s="283"/>
      <c r="G44" s="3240"/>
    </row>
    <row r="45" spans="1:7" s="258" customFormat="1" ht="13.5" customHeight="1">
      <c r="A45" s="299" t="s">
        <v>2355</v>
      </c>
      <c r="B45" s="288" t="s">
        <v>2368</v>
      </c>
      <c r="C45" s="289">
        <f ca="1">C46</f>
        <v>46</v>
      </c>
      <c r="D45" s="279">
        <f ca="1">C47</f>
        <v>1E-3</v>
      </c>
      <c r="E45" s="280" t="s">
        <v>2394</v>
      </c>
      <c r="F45" s="290"/>
      <c r="G45" s="291" t="s">
        <v>2403</v>
      </c>
    </row>
    <row r="46" spans="1:7" s="258" customFormat="1" ht="13.5" customHeight="1">
      <c r="A46" s="953" t="s">
        <v>791</v>
      </c>
      <c r="B46" s="292" t="s">
        <v>2404</v>
      </c>
      <c r="C46" s="293">
        <f ca="1">ROUND((C33+C39)*F27,0)</f>
        <v>46</v>
      </c>
      <c r="D46" s="307"/>
      <c r="E46" s="280"/>
      <c r="F46" s="290"/>
      <c r="G46" s="291"/>
    </row>
    <row r="47" spans="1:7" s="258" customFormat="1" ht="13.5" customHeight="1">
      <c r="A47" s="953" t="s">
        <v>792</v>
      </c>
      <c r="B47" s="292" t="s">
        <v>2405</v>
      </c>
      <c r="C47" s="282">
        <f ca="1">ROUND(C40*F27,4)</f>
        <v>1E-3</v>
      </c>
      <c r="D47" s="307"/>
      <c r="E47" s="280"/>
      <c r="F47" s="290"/>
      <c r="G47" s="291"/>
    </row>
    <row r="48" spans="1:7" s="258" customFormat="1" ht="13.5" customHeight="1">
      <c r="A48" s="299" t="s">
        <v>2367</v>
      </c>
      <c r="B48" s="254" t="s">
        <v>2406</v>
      </c>
      <c r="C48" s="1730">
        <f>ROUND(F30/(1+'数据-取费表'!C42),4)</f>
        <v>5.2400000000000002E-2</v>
      </c>
      <c r="D48" s="280" t="s">
        <v>2394</v>
      </c>
      <c r="E48" s="276"/>
      <c r="F48" s="281"/>
      <c r="G48" s="278" t="s">
        <v>2407</v>
      </c>
    </row>
    <row r="49" spans="1:7" ht="16.5" customHeight="1">
      <c r="A49" s="299" t="s">
        <v>2373</v>
      </c>
      <c r="B49" s="254" t="s">
        <v>2408</v>
      </c>
      <c r="C49" s="276">
        <f ca="1">ROUND((C33+C39+C41+C45)/(1-C40-D41-D45-C48),0)</f>
        <v>1115</v>
      </c>
      <c r="D49" s="276"/>
      <c r="E49" s="276"/>
      <c r="F49" s="308"/>
      <c r="G49" s="278" t="s">
        <v>2409</v>
      </c>
    </row>
    <row r="50" spans="1:7" s="302" customFormat="1" ht="24">
      <c r="A50" s="299" t="s">
        <v>2410</v>
      </c>
      <c r="B50" s="254" t="s">
        <v>2411</v>
      </c>
      <c r="C50" s="276"/>
      <c r="D50" s="276"/>
      <c r="E50" s="276"/>
      <c r="F50" s="308">
        <f>IF('数据-取费表'!B24=0,'数据-取费表'!N16,1)</f>
        <v>0.95499999999999996</v>
      </c>
      <c r="G50" s="291" t="s">
        <v>2412</v>
      </c>
    </row>
    <row r="51" spans="1:7" ht="16.5" customHeight="1">
      <c r="A51" s="299" t="s">
        <v>2413</v>
      </c>
      <c r="B51" s="254" t="s">
        <v>2414</v>
      </c>
      <c r="C51" s="276">
        <f ca="1">ROUND(C49*F50,0)</f>
        <v>1065</v>
      </c>
      <c r="D51" s="276"/>
      <c r="E51" s="276"/>
      <c r="F51" s="308"/>
      <c r="G51" s="278" t="s">
        <v>2415</v>
      </c>
    </row>
    <row r="52" spans="1:7" s="252" customFormat="1" ht="16.5" thickBot="1">
      <c r="A52" s="309" t="s">
        <v>2416</v>
      </c>
      <c r="B52" s="310"/>
      <c r="C52" s="311">
        <f ca="1">C31+C51</f>
        <v>2110</v>
      </c>
      <c r="D52" s="310"/>
      <c r="E52" s="310"/>
      <c r="F52" s="310"/>
      <c r="G52" s="312"/>
    </row>
    <row r="55" spans="1:7" ht="15">
      <c r="B55" s="314" t="s">
        <v>2417</v>
      </c>
      <c r="C55" s="315"/>
    </row>
    <row r="56" spans="1:7">
      <c r="B56" s="317" t="s">
        <v>1509</v>
      </c>
      <c r="C56" s="319">
        <f ca="1">1-C57</f>
        <v>0.495</v>
      </c>
    </row>
    <row r="57" spans="1:7">
      <c r="B57" s="317" t="s">
        <v>1510</v>
      </c>
      <c r="C57" s="318">
        <f ca="1">ROUND(C51/C52,3)</f>
        <v>0.505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2" sqref="E32"/>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2794</v>
      </c>
      <c r="B1" s="241"/>
      <c r="C1" s="245" t="s">
        <v>2795</v>
      </c>
      <c r="D1" s="388">
        <f>SUM(D29:D30,D33:D39)</f>
        <v>414.84000000000003</v>
      </c>
      <c r="E1" s="2720"/>
      <c r="F1" s="2720"/>
      <c r="G1" s="2720"/>
      <c r="H1" s="2720"/>
      <c r="I1" s="2720"/>
      <c r="J1" s="2720"/>
      <c r="K1" s="1372"/>
      <c r="L1" s="2721" t="s">
        <v>2796</v>
      </c>
      <c r="M1" s="1082">
        <f>SUMPRODUCT((区片价!B5:B9=I2)*(区片价!C3:F3=E2)*(区片价!C5:F9))</f>
        <v>0</v>
      </c>
      <c r="N1" s="1085">
        <f>SUMPRODUCT((因素修正幅度!B5:B9=I2)*(因素修正幅度!C3:F3=E2)*(因素修正幅度!C5:F9))</f>
        <v>0</v>
      </c>
      <c r="O1" s="2722"/>
      <c r="P1" s="2722"/>
      <c r="Q1" s="1372"/>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f ca="1">C26</f>
        <v>225</v>
      </c>
      <c r="C2" s="2724" t="s">
        <v>2803</v>
      </c>
      <c r="D2" s="2725" t="s">
        <v>2804</v>
      </c>
      <c r="E2" s="2726" t="s">
        <v>1373</v>
      </c>
      <c r="F2" s="2725" t="s">
        <v>2805</v>
      </c>
      <c r="G2" s="2727" t="str">
        <f>IF(E2="商业",项目基本情况!B37,IF(E2="办公",项目基本情况!C37,IF(E2="住宅",项目基本情况!D37,项目基本情况!E37)))</f>
        <v>八级</v>
      </c>
      <c r="H2" s="2725" t="s">
        <v>2806</v>
      </c>
      <c r="I2" s="2727" t="str">
        <f>IF(E2="商业",项目基本情况!B38,IF(E2="办公",项目基本情况!C38,IF(E2="住宅",项目基本情况!D38,项目基本情况!E38)))</f>
        <v>Ⅷ-兴1</v>
      </c>
      <c r="J2" s="2728"/>
      <c r="K2" s="1372"/>
      <c r="L2" s="2729" t="s">
        <v>2807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14637</v>
      </c>
      <c r="U2" s="1605"/>
      <c r="V2" s="1604">
        <f ca="1">ROUND(T2*U2/10000,0)</f>
        <v>0</v>
      </c>
      <c r="W2" s="1608"/>
      <c r="X2" s="1608"/>
      <c r="Y2" s="1608"/>
      <c r="Z2" s="1608"/>
      <c r="AA2" s="1608"/>
      <c r="AB2" s="1608"/>
      <c r="AC2" s="1609"/>
      <c r="AD2" s="1610"/>
      <c r="AE2" s="1610"/>
      <c r="AF2" s="1610"/>
      <c r="AG2" s="1610"/>
      <c r="AH2" s="1610"/>
      <c r="AI2" s="1610"/>
      <c r="AJ2" s="1611"/>
    </row>
    <row r="3" spans="1:36" ht="15.75">
      <c r="A3" s="247" t="s">
        <v>2808</v>
      </c>
      <c r="B3" s="248">
        <f ca="1">ROUND(B2*10000/D1,0)</f>
        <v>5424</v>
      </c>
      <c r="C3" s="2724" t="s">
        <v>2809</v>
      </c>
      <c r="D3" s="2725" t="s">
        <v>2810</v>
      </c>
      <c r="E3" s="2730" t="s">
        <v>3289</v>
      </c>
      <c r="F3" s="2731" t="s">
        <v>3300</v>
      </c>
      <c r="G3" s="915">
        <f>IF(F3="宗地容积率",'数据-汇总表'!I4,IF(F3="估价对象容积率",'数据-汇总表'!I6,'数据-汇总表'!I7))</f>
        <v>4.05</v>
      </c>
      <c r="H3" s="198" t="s">
        <v>2812</v>
      </c>
      <c r="I3" s="946"/>
      <c r="J3" s="2728" t="s">
        <v>2813</v>
      </c>
      <c r="K3" s="1372"/>
      <c r="L3" s="2729" t="s">
        <v>2814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9646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9" t="s">
        <v>2815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7591</v>
      </c>
      <c r="U4" s="1605"/>
      <c r="V4" s="1604">
        <f t="shared" ca="1" si="1"/>
        <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2816</v>
      </c>
      <c r="C5" s="916">
        <f>ROUND(IF(E2="商业",IF(F16="增加",C6*C7+C16,C6*C7-C16),IF(E2="住宅",IF(F16="增加",C6*C12+C16,C6*C12-C16),IF(F16="增加",C6+C16,C6-C16))),0)</f>
        <v>5730</v>
      </c>
      <c r="D5" s="1789">
        <f>ROUND(IF(E2="商业",IF(F16="增加",C6+C16,C6-C16)),0)</f>
        <v>5730</v>
      </c>
      <c r="E5" s="2734"/>
      <c r="F5" s="2734"/>
      <c r="G5" s="2735"/>
      <c r="H5" s="2735"/>
      <c r="I5" s="2735"/>
      <c r="J5" s="2736"/>
      <c r="K5" s="2737"/>
      <c r="L5" s="2729" t="s">
        <v>2817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5671</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2818</v>
      </c>
      <c r="B6" s="2743" t="s">
        <v>2819</v>
      </c>
      <c r="C6" s="917">
        <f>SUMIF(L1:L12,G2,M1:M12)</f>
        <v>5730</v>
      </c>
      <c r="D6" s="2744" t="s">
        <v>2820</v>
      </c>
      <c r="E6" s="2745"/>
      <c r="F6" s="2745"/>
      <c r="G6" s="2746"/>
      <c r="H6" s="2746"/>
      <c r="I6" s="2746"/>
      <c r="J6" s="2747"/>
      <c r="K6" s="1844"/>
      <c r="L6" s="2729" t="s">
        <v>2821</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4265</v>
      </c>
      <c r="U6" s="1605"/>
      <c r="V6" s="1604">
        <f t="shared" ca="1" si="1"/>
        <v>0</v>
      </c>
      <c r="W6" s="1608"/>
      <c r="X6" s="1608"/>
      <c r="Y6" s="1608"/>
      <c r="Z6" s="1608"/>
      <c r="AA6" s="1608"/>
      <c r="AB6" s="1608"/>
      <c r="AC6" s="2738"/>
      <c r="AD6" s="2739"/>
      <c r="AE6" s="2739"/>
      <c r="AF6" s="2739"/>
      <c r="AG6" s="2739"/>
      <c r="AH6" s="2739"/>
      <c r="AI6" s="2739"/>
      <c r="AJ6" s="2740"/>
    </row>
    <row r="7" spans="1:36" ht="24.75" hidden="1" thickBot="1">
      <c r="A7" s="3241" t="str">
        <f>IF(E2="商业",IF(C8="不临58条商业街","",2),"")</f>
        <v/>
      </c>
      <c r="B7" s="2748" t="s">
        <v>2822</v>
      </c>
      <c r="C7" s="918">
        <f>IF(C8="不临58条商业街",1,ROUND(1+(1.6*E8+1.2*E9+0.8*E10+0.4*E11)*C9,4))</f>
        <v>1</v>
      </c>
      <c r="D7" s="2749" t="s">
        <v>2823</v>
      </c>
      <c r="E7" s="947"/>
      <c r="F7" s="2750"/>
      <c r="G7" s="2751"/>
      <c r="H7" s="2751"/>
      <c r="I7" s="2751"/>
      <c r="J7" s="2752"/>
      <c r="K7" s="1844"/>
      <c r="L7" s="2729" t="s">
        <v>2824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3410</v>
      </c>
      <c r="U7" s="1605"/>
      <c r="V7" s="1604">
        <f t="shared" ca="1" si="1"/>
        <v>0</v>
      </c>
      <c r="W7" s="2968" t="s">
        <v>2825</v>
      </c>
      <c r="X7" s="1606" t="str">
        <f>G2</f>
        <v>八级</v>
      </c>
      <c r="Y7" s="1606" t="s">
        <v>2826</v>
      </c>
      <c r="Z7" s="1607">
        <f>G3</f>
        <v>4.05</v>
      </c>
      <c r="AA7" s="1608"/>
      <c r="AB7" s="1608"/>
      <c r="AC7" s="1609"/>
      <c r="AD7" s="1610"/>
      <c r="AE7" s="1610"/>
      <c r="AF7" s="1610"/>
      <c r="AG7" s="1610"/>
      <c r="AH7" s="1610"/>
      <c r="AI7" s="1610"/>
      <c r="AJ7" s="1611"/>
    </row>
    <row r="8" spans="1:36" ht="26.25" hidden="1" thickBot="1">
      <c r="A8" s="3242"/>
      <c r="B8" s="198" t="s">
        <v>2827</v>
      </c>
      <c r="C8" s="2753" t="s">
        <v>3290</v>
      </c>
      <c r="D8" s="919" t="s">
        <v>139</v>
      </c>
      <c r="E8" s="920" t="e">
        <f>ROUND(C11/E7,4)</f>
        <v>#DIV/0!</v>
      </c>
      <c r="F8" s="2754" t="s">
        <v>2828</v>
      </c>
      <c r="G8" s="2755"/>
      <c r="H8" s="2755"/>
      <c r="I8" s="2755"/>
      <c r="J8" s="2756"/>
      <c r="K8" s="1372"/>
      <c r="L8" s="2729" t="s">
        <v>2829</v>
      </c>
      <c r="M8" s="1083">
        <f>SUMPRODUCT((区片价!B206:B244=I2)*(区片价!C3:F3=E2)*(区片价!C206:F244))</f>
        <v>5730</v>
      </c>
      <c r="N8" s="1085">
        <f>SUMPRODUCT((因素修正幅度!B206:B244=I2)*(因素修正幅度!C3:F3=E2)*(因素修正幅度!C206:F244))</f>
        <v>0.15</v>
      </c>
      <c r="O8" s="1372"/>
      <c r="P8" s="1372"/>
      <c r="Q8" s="1372"/>
      <c r="R8" s="1604">
        <v>7</v>
      </c>
      <c r="S8" s="1605"/>
      <c r="T8" s="1604">
        <f t="shared" ca="1" si="0"/>
        <v>0</v>
      </c>
      <c r="U8" s="1605"/>
      <c r="V8" s="1604">
        <f t="shared" ca="1" si="1"/>
        <v>0</v>
      </c>
      <c r="W8" s="3252" t="s">
        <v>2830</v>
      </c>
      <c r="X8" s="3253"/>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75" hidden="1" thickBot="1">
      <c r="A9" s="3242"/>
      <c r="B9" s="198" t="s">
        <v>2843</v>
      </c>
      <c r="C9" s="921">
        <f>SUMIF(修正!C59:C119,C8,修正!E59:E119)</f>
        <v>0</v>
      </c>
      <c r="D9" s="200" t="s">
        <v>140</v>
      </c>
      <c r="E9" s="200" t="e">
        <f>ROUND(C11/E7,4)</f>
        <v>#DIV/0!</v>
      </c>
      <c r="F9" s="2754" t="s">
        <v>2844</v>
      </c>
      <c r="G9" s="2755"/>
      <c r="H9" s="2755"/>
      <c r="I9" s="2755"/>
      <c r="J9" s="2756"/>
      <c r="K9" s="1372"/>
      <c r="L9" s="2729" t="s">
        <v>2845</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4"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75" hidden="1" thickBot="1">
      <c r="A10" s="3242"/>
      <c r="B10" s="198" t="s">
        <v>2848</v>
      </c>
      <c r="C10" s="200">
        <f>SUMIF(修正!C59:C119,C8,修正!F59:F119)</f>
        <v>0</v>
      </c>
      <c r="D10" s="200" t="s">
        <v>141</v>
      </c>
      <c r="E10" s="200" t="e">
        <f>ROUND(C11/E7,4)</f>
        <v>#DIV/0!</v>
      </c>
      <c r="F10" s="2754" t="s">
        <v>2849</v>
      </c>
      <c r="G10" s="2755"/>
      <c r="H10" s="2755"/>
      <c r="I10" s="2755"/>
      <c r="J10" s="2756"/>
      <c r="K10" s="1372"/>
      <c r="L10" s="2729" t="s">
        <v>2850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242"/>
      <c r="B11" s="2757" t="s">
        <v>2851</v>
      </c>
      <c r="C11" s="922">
        <f>C10/4</f>
        <v>0</v>
      </c>
      <c r="D11" s="922" t="s">
        <v>142</v>
      </c>
      <c r="E11" s="922" t="e">
        <f>ROUND(C11/E7,4)</f>
        <v>#DIV/0!</v>
      </c>
      <c r="F11" s="2758" t="s">
        <v>2852</v>
      </c>
      <c r="G11" s="2759"/>
      <c r="H11" s="2759"/>
      <c r="I11" s="2759"/>
      <c r="J11" s="2760"/>
      <c r="K11" s="1372"/>
      <c r="L11" s="2729" t="s">
        <v>2853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4" t="s">
        <v>2854</v>
      </c>
      <c r="X11" s="1616" t="s">
        <v>2826</v>
      </c>
      <c r="Y11" s="1617">
        <f>$G$3</f>
        <v>4.05</v>
      </c>
      <c r="Z11" s="1617">
        <f t="shared" ref="Z11:AJ11" si="3">$G$3</f>
        <v>4.05</v>
      </c>
      <c r="AA11" s="1617">
        <f t="shared" si="3"/>
        <v>4.05</v>
      </c>
      <c r="AB11" s="1617">
        <f t="shared" si="3"/>
        <v>4.05</v>
      </c>
      <c r="AC11" s="1617">
        <f t="shared" si="3"/>
        <v>4.05</v>
      </c>
      <c r="AD11" s="1617">
        <f t="shared" si="3"/>
        <v>4.05</v>
      </c>
      <c r="AE11" s="1617">
        <f t="shared" si="3"/>
        <v>4.05</v>
      </c>
      <c r="AF11" s="1617">
        <f t="shared" si="3"/>
        <v>4.05</v>
      </c>
      <c r="AG11" s="1617">
        <f t="shared" si="3"/>
        <v>4.05</v>
      </c>
      <c r="AH11" s="1617">
        <f t="shared" si="3"/>
        <v>4.05</v>
      </c>
      <c r="AI11" s="1617">
        <f t="shared" si="3"/>
        <v>4.05</v>
      </c>
      <c r="AJ11" s="1617">
        <f t="shared" si="3"/>
        <v>4.05</v>
      </c>
    </row>
    <row r="12" spans="1:36" ht="25.5" hidden="1" thickBot="1">
      <c r="A12" s="3241" t="s">
        <v>2856</v>
      </c>
      <c r="B12" s="2761" t="s">
        <v>2857</v>
      </c>
      <c r="C12" s="918">
        <f>ROUND(C15*D15*E15*F15*G15*H15*I15*J15,4)</f>
        <v>1</v>
      </c>
      <c r="D12" s="2762" t="s">
        <v>2858</v>
      </c>
      <c r="E12" s="2763"/>
      <c r="F12" s="2763"/>
      <c r="G12" s="2764"/>
      <c r="H12" s="2764"/>
      <c r="I12" s="2764"/>
      <c r="J12" s="2765"/>
      <c r="K12" s="1372"/>
      <c r="L12" s="2766" t="s">
        <v>2859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4"/>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75" hidden="1" thickBot="1">
      <c r="A13" s="3259"/>
      <c r="B13" s="2767" t="s">
        <v>2861</v>
      </c>
      <c r="C13" s="2768" t="s">
        <v>2862</v>
      </c>
      <c r="D13" s="2960" t="s">
        <v>2863</v>
      </c>
      <c r="E13" s="2960" t="s">
        <v>2864</v>
      </c>
      <c r="F13" s="30" t="s">
        <v>2865</v>
      </c>
      <c r="G13" s="2769" t="s">
        <v>2866</v>
      </c>
      <c r="H13" s="2769" t="s">
        <v>2866</v>
      </c>
      <c r="I13" s="2769" t="s">
        <v>2866</v>
      </c>
      <c r="J13" s="2770" t="s">
        <v>2866</v>
      </c>
      <c r="K13" s="1372"/>
      <c r="L13" s="1372"/>
      <c r="M13" s="1372"/>
      <c r="N13" s="1372"/>
      <c r="O13" s="1372"/>
      <c r="P13" s="1372"/>
      <c r="Q13" s="1372"/>
      <c r="R13" s="1604">
        <v>12</v>
      </c>
      <c r="S13" s="1605"/>
      <c r="T13" s="1604">
        <f t="shared" ca="1" si="0"/>
        <v>0</v>
      </c>
      <c r="U13" s="1605"/>
      <c r="V13" s="1604">
        <f t="shared" ca="1" si="1"/>
        <v>0</v>
      </c>
      <c r="W13" s="3254"/>
      <c r="X13" s="1618"/>
      <c r="Y13" s="1615">
        <f>(-0.163*(Y12^2)-0.59*Y12+7617)*(10^(-4))/Y11</f>
        <v>0.18807407407407409</v>
      </c>
      <c r="Z13" s="1615">
        <f t="shared" ref="Z13:AJ13" si="5">(-0.163*(Z12^2)-0.59*Z12+7617)*(10^(-4))/Z11</f>
        <v>0.18807407407407409</v>
      </c>
      <c r="AA13" s="1615">
        <f t="shared" si="5"/>
        <v>0.18807407407407409</v>
      </c>
      <c r="AB13" s="1615">
        <f t="shared" si="5"/>
        <v>0.18807407407407409</v>
      </c>
      <c r="AC13" s="1615">
        <f t="shared" si="5"/>
        <v>0.18807407407407409</v>
      </c>
      <c r="AD13" s="1615">
        <f t="shared" si="5"/>
        <v>0.18807407407407409</v>
      </c>
      <c r="AE13" s="1615">
        <f t="shared" si="5"/>
        <v>0.18807407407407409</v>
      </c>
      <c r="AF13" s="1615">
        <f t="shared" si="5"/>
        <v>0.18807407407407409</v>
      </c>
      <c r="AG13" s="1615">
        <f t="shared" si="5"/>
        <v>0.18807407407407409</v>
      </c>
      <c r="AH13" s="1615">
        <f t="shared" si="5"/>
        <v>0.18807407407407409</v>
      </c>
      <c r="AI13" s="1615">
        <f t="shared" si="5"/>
        <v>0.18807407407407409</v>
      </c>
      <c r="AJ13" s="1615">
        <f t="shared" si="5"/>
        <v>0.18807407407407409</v>
      </c>
    </row>
    <row r="14" spans="1:36" ht="15.75" hidden="1" thickBot="1">
      <c r="A14" s="3259"/>
      <c r="B14" s="2771"/>
      <c r="C14" s="2772"/>
      <c r="D14" s="2773"/>
      <c r="E14" s="2773"/>
      <c r="F14" s="2774"/>
      <c r="G14" s="2775" t="s">
        <v>2867</v>
      </c>
      <c r="H14" s="2776"/>
      <c r="I14" s="2777"/>
      <c r="J14" s="2778"/>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60"/>
      <c r="B15" s="2779" t="s">
        <v>2868</v>
      </c>
      <c r="C15" s="229">
        <f>IF(C14="有",1.1,1)</f>
        <v>1</v>
      </c>
      <c r="D15" s="229">
        <f>IF(D14="有",1.1,1)</f>
        <v>1</v>
      </c>
      <c r="E15" s="229">
        <f>IF(E14="有",1.1,1)</f>
        <v>1</v>
      </c>
      <c r="F15" s="229">
        <f>IF(F14="500米范围内",1.2,IF(F14="500-1000米",1.1,1))</f>
        <v>1</v>
      </c>
      <c r="G15" s="948">
        <v>1</v>
      </c>
      <c r="H15" s="948">
        <v>1</v>
      </c>
      <c r="I15" s="948">
        <v>1</v>
      </c>
      <c r="J15" s="949">
        <v>1</v>
      </c>
      <c r="K15" s="1372"/>
      <c r="L15" s="2780" t="s">
        <v>2804</v>
      </c>
      <c r="M15" s="919" t="s">
        <v>2869</v>
      </c>
      <c r="N15" s="919" t="s">
        <v>2870</v>
      </c>
      <c r="O15" s="919" t="s">
        <v>2871</v>
      </c>
      <c r="P15" s="2781" t="s">
        <v>2872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1" t="s">
        <v>2873</v>
      </c>
      <c r="B16" s="2748" t="s">
        <v>2874</v>
      </c>
      <c r="C16" s="2953">
        <f>ROUND(SUM(G17:J17)/C17,0)</f>
        <v>0</v>
      </c>
      <c r="D16" s="2782" t="s">
        <v>2875</v>
      </c>
      <c r="E16" s="2783" t="s">
        <v>3291</v>
      </c>
      <c r="F16" s="2784" t="s">
        <v>3292</v>
      </c>
      <c r="G16" s="2785"/>
      <c r="H16" s="2785"/>
      <c r="I16" s="2785"/>
      <c r="J16" s="2786"/>
      <c r="K16" s="1372"/>
      <c r="L16" s="2787" t="s">
        <v>2876</v>
      </c>
      <c r="M16" s="921">
        <v>0.25</v>
      </c>
      <c r="N16" s="921">
        <v>0.2</v>
      </c>
      <c r="O16" s="921">
        <v>0.15</v>
      </c>
      <c r="P16" s="1371">
        <v>0.1</v>
      </c>
      <c r="Q16" s="1372"/>
      <c r="R16" s="1604">
        <v>15</v>
      </c>
      <c r="S16" s="1605">
        <f>ROUND((-0.214*49-21.991*7+4665)*10^-4,4)</f>
        <v>0.4501</v>
      </c>
      <c r="T16" s="1604">
        <f t="shared" ca="1" si="0"/>
        <v>3392</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2"/>
      <c r="B17" s="2788" t="s">
        <v>2877</v>
      </c>
      <c r="C17" s="923">
        <f>SUMPRODUCT((修正!A2:A5=E2)*(修正!B1:M1=G2)*(修正!B2:M5))</f>
        <v>2</v>
      </c>
      <c r="D17" s="2789" t="s">
        <v>2878</v>
      </c>
      <c r="E17" s="922" t="str">
        <f>IF(OR(G2="八级",G2="九级",G2="十级",G2="十一级",G2="十二级"),"五通一平","七通一平")</f>
        <v>五通一平</v>
      </c>
      <c r="F17" s="923" t="s">
        <v>2879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2881</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2882</v>
      </c>
      <c r="C19" s="926">
        <f>ROUND(IF(H19="按公示增长率计算",SUMPRODUCT((地价!A3:A24=YEAR(G19)&amp;"-"&amp;ROUNDUP(MONTH(G19)/3,0))*(地价!X2:AB2=E2)*(地价!X3:AB24)),IF(H19="地价指数",M20/M19,(1+I19)^O19)),4)</f>
        <v>1.3217000000000001</v>
      </c>
      <c r="D19" s="2800" t="s">
        <v>2883</v>
      </c>
      <c r="E19" s="927">
        <v>41640</v>
      </c>
      <c r="F19" s="2800" t="s">
        <v>2884</v>
      </c>
      <c r="G19" s="928">
        <f>'数据-取费表'!B2</f>
        <v>43437</v>
      </c>
      <c r="H19" s="2801" t="s">
        <v>2885</v>
      </c>
      <c r="I19" s="929" t="str">
        <f>IF(H19="季度增幅（自定义）",SUMIF(N21:N24,E2,O21:O24),"")</f>
        <v/>
      </c>
      <c r="J19" s="2798"/>
      <c r="K19" s="1379"/>
      <c r="L19" s="2802" t="s">
        <v>2886</v>
      </c>
      <c r="M19" s="1736">
        <f>ROUND(SUMIF(地价!B2:F2,E2,地价!B24:F24),0)</f>
        <v>258</v>
      </c>
      <c r="N19" s="2803" t="s">
        <v>2887</v>
      </c>
      <c r="O19" s="930">
        <f>ROUNDDOWN(DATEDIF(E19,G19,"M")/3,0)</f>
        <v>19</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2888</v>
      </c>
      <c r="C20" s="931">
        <f ca="1">ROUND(POWER(1+G20,J20-I20)*(POWER(1+G20,I20)-1)/(POWER(1+G20,J20)-1),4)</f>
        <v>0.92859999999999998</v>
      </c>
      <c r="D20" s="2809" t="s">
        <v>2889</v>
      </c>
      <c r="E20" s="1770">
        <f ca="1">存贷款利率!D4/100</f>
        <v>4.3499999999999997E-2</v>
      </c>
      <c r="F20" s="2809" t="s">
        <v>2880</v>
      </c>
      <c r="G20" s="936">
        <f ca="1">SUMIF(M15:P15,E2,M17:P17)</f>
        <v>5.3999999999999999E-2</v>
      </c>
      <c r="H20" s="2809" t="s">
        <v>2890</v>
      </c>
      <c r="I20" s="937">
        <f>SUMIF('数据-取费表'!C6:C15,E2,'数据-取费表'!F6:F15)/COUNTIF('数据-取费表'!C6:C15,E2)</f>
        <v>32.119999999999997</v>
      </c>
      <c r="J20" s="938">
        <f>IF(E2="住宅",70,IF(E2="商业",40,50))</f>
        <v>40</v>
      </c>
      <c r="K20" s="1379"/>
      <c r="L20" s="2810" t="s">
        <v>2891</v>
      </c>
      <c r="M20" s="1737">
        <f>ROUND(SUMPRODUCT((地价!A4:A24=YEAR(G19)&amp;"-"&amp;ROUNDUP(MONTH(G19)/3,0))*(地价!B2:F2=E2)*(地价!B4:F24)),0)</f>
        <v>341</v>
      </c>
      <c r="N20" s="2811" t="s">
        <v>2892</v>
      </c>
      <c r="O20" s="2812" t="s">
        <v>2893</v>
      </c>
      <c r="P20" s="2813" t="s">
        <v>2894</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3301</v>
      </c>
      <c r="C21" s="2967">
        <f>IF(B21="容积率修正",IF(G3&lt;=10,D22,J22),C23)</f>
        <v>0.71840000000000004</v>
      </c>
      <c r="D21" s="2816"/>
      <c r="E21" s="2816"/>
      <c r="F21" s="2816"/>
      <c r="G21" s="2816"/>
      <c r="H21" s="2816"/>
      <c r="I21" s="2816"/>
      <c r="J21" s="2817"/>
      <c r="K21" s="1379"/>
      <c r="N21" s="2818" t="s">
        <v>2896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1" customFormat="1" ht="14.25">
      <c r="A22" s="2667" t="s">
        <v>2897</v>
      </c>
      <c r="B22" s="2819" t="s">
        <v>2898</v>
      </c>
      <c r="C22" s="2966" t="s">
        <v>2899</v>
      </c>
      <c r="D22" s="2966">
        <f>IF(E22=G22,F22,IF(G3&lt;=10,ROUND(F22+(H22-F22)*(G3-E22)/(G22-E22),4),"——"))</f>
        <v>0.71840000000000004</v>
      </c>
      <c r="E22" s="915">
        <f>ROUNDDOWN(G3,1)</f>
        <v>4</v>
      </c>
      <c r="F22" s="29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0.7218</v>
      </c>
      <c r="G22" s="915">
        <f>ROUNDUP(G3,1)</f>
        <v>4.0999999999999996</v>
      </c>
      <c r="H22" s="29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0.71499999999999997</v>
      </c>
      <c r="I22" s="2966" t="s">
        <v>155</v>
      </c>
      <c r="J22" s="940" t="str">
        <f>IF(G3&gt;10,D113,"——")</f>
        <v>——</v>
      </c>
      <c r="K22" s="1379"/>
      <c r="N22" s="2818" t="s">
        <v>2900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7" t="s">
        <v>2901</v>
      </c>
      <c r="B23" s="2820" t="s">
        <v>2902</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2903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2904</v>
      </c>
      <c r="C24" s="926">
        <f>SUMIF(A45:A88,E2,B45:B88)</f>
        <v>1.0717000000000001</v>
      </c>
      <c r="D24" s="2796"/>
      <c r="E24" s="2826"/>
      <c r="F24" s="2826"/>
      <c r="G24" s="2826"/>
      <c r="H24" s="2826"/>
      <c r="I24" s="2826"/>
      <c r="J24" s="2827"/>
      <c r="K24" s="1379"/>
      <c r="N24" s="2828" t="s">
        <v>2905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2906</v>
      </c>
      <c r="C25" s="932"/>
      <c r="D25" s="2751"/>
      <c r="E25" s="2751"/>
      <c r="F25" s="2830"/>
      <c r="G25" s="2751"/>
      <c r="H25" s="2751"/>
      <c r="I25" s="2751"/>
      <c r="J25" s="2752"/>
      <c r="K25" s="1372"/>
      <c r="N25" s="2831" t="s">
        <v>2907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2"/>
      <c r="B26" s="2819" t="s">
        <v>2908</v>
      </c>
      <c r="C26" s="206">
        <f ca="1">E29+SUM(E33:E39)</f>
        <v>225</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2909</v>
      </c>
      <c r="C27" s="933">
        <f ca="1">E30+SUM(I33:I39)</f>
        <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2910</v>
      </c>
      <c r="C28" s="2843" t="s">
        <v>2911</v>
      </c>
      <c r="D28" s="2843" t="s">
        <v>2912</v>
      </c>
      <c r="E28" s="2844" t="s">
        <v>2913</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2914</v>
      </c>
      <c r="C29" s="206">
        <f ca="1">ROUND(C5*C18*C19*C20*C21*C24,0)</f>
        <v>5414</v>
      </c>
      <c r="D29" s="2848">
        <f>'数据-汇总表'!F20</f>
        <v>414.84000000000003</v>
      </c>
      <c r="E29" s="2971">
        <f ca="1">ROUND(C29*D29/10000,0)</f>
        <v>225</v>
      </c>
      <c r="F29" s="2849" t="s">
        <v>2915</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2916</v>
      </c>
      <c r="C30" s="229">
        <f ca="1">ROUND(IF(E2="工业",C29*M39,C29*M38),0)</f>
        <v>1354</v>
      </c>
      <c r="D30" s="2854"/>
      <c r="E30" s="2971">
        <f ca="1">ROUND(C30*D30/10000,0)</f>
        <v>0</v>
      </c>
      <c r="F30" s="2855" t="s">
        <v>2917</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49" t="s">
        <v>2922</v>
      </c>
      <c r="B33" s="2864" t="s">
        <v>2923</v>
      </c>
      <c r="C33" s="206">
        <f ca="1">ROUND(D5*C19*C20*C24*F33,0)</f>
        <v>4522</v>
      </c>
      <c r="D33" s="2848"/>
      <c r="E33" s="200">
        <f ca="1">ROUND(C33*D33/10000,0)</f>
        <v>0</v>
      </c>
      <c r="F33" s="200">
        <f>SUMIF(修正!A45:A56,G2,修正!B45:B56)</f>
        <v>0.6</v>
      </c>
      <c r="G33" s="200">
        <f t="shared" ref="G33" ca="1" si="6">ROUND(IF(E2="工业",C33*$M$39,C33*$M$38),0)</f>
        <v>1131</v>
      </c>
      <c r="H33" s="200">
        <f>D33</f>
        <v>0</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0"/>
      <c r="B34" s="2768" t="s">
        <v>2924</v>
      </c>
      <c r="C34" s="206">
        <f ca="1">ROUND(D5*C19*C20*C24*F34,0)</f>
        <v>2261</v>
      </c>
      <c r="D34" s="2848"/>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0"/>
      <c r="B35" s="2768" t="s">
        <v>2925</v>
      </c>
      <c r="C35" s="206">
        <f ca="1">ROUND(D5*C19*C20*C24*F35,0)</f>
        <v>1507</v>
      </c>
      <c r="D35" s="2848"/>
      <c r="E35" s="200">
        <f t="shared" ca="1" si="7"/>
        <v>0</v>
      </c>
      <c r="F35" s="200">
        <f>SUMIF(修正!A45:A56,G2,修正!D45:D56)</f>
        <v>0.2</v>
      </c>
      <c r="G35" s="200">
        <f ca="1">ROUND(IF(E2="工业",C35*$M$39,C35*$M$38),0)</f>
        <v>377</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51"/>
      <c r="B36" s="2768" t="s">
        <v>2926</v>
      </c>
      <c r="C36" s="206">
        <f ca="1">ROUND(D5*C19*C20*C24*F36,0)</f>
        <v>1507</v>
      </c>
      <c r="D36" s="2848"/>
      <c r="E36" s="200">
        <f t="shared" ca="1" si="7"/>
        <v>0</v>
      </c>
      <c r="F36" s="200">
        <f>SUMIF(修正!A45:A56,G2,修正!E45:E56)</f>
        <v>0.2</v>
      </c>
      <c r="G36" s="200">
        <f ca="1">ROUND(IF(E2="工业",C36*$M$39,C36*$M$38),0)</f>
        <v>377</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2927</v>
      </c>
      <c r="C37" s="200">
        <f ca="1">ROUND(C5*C19*C20*C24*F37,0)</f>
        <v>1507</v>
      </c>
      <c r="D37" s="2848"/>
      <c r="E37" s="200">
        <f t="shared" ca="1" si="7"/>
        <v>0</v>
      </c>
      <c r="F37" s="206">
        <f>SUMIF(修正!A45:A56,G2,修正!F45:F56)</f>
        <v>0.2</v>
      </c>
      <c r="G37" s="200">
        <f ca="1">ROUND(IF(E2="工业",C37*$M$39,C37*$M$38),0)</f>
        <v>377</v>
      </c>
      <c r="H37" s="200">
        <f t="shared" si="8"/>
        <v>0</v>
      </c>
      <c r="I37" s="200">
        <f t="shared" ca="1" si="9"/>
        <v>0</v>
      </c>
      <c r="J37" s="2865"/>
      <c r="K37" s="1372"/>
      <c r="L37" s="2867" t="s">
        <v>2928</v>
      </c>
      <c r="M37" s="2868"/>
      <c r="N37" s="1372"/>
      <c r="O37" s="1372"/>
      <c r="P37" s="1372"/>
      <c r="Q37" s="1372"/>
      <c r="R37" s="1372"/>
      <c r="S37" s="1372"/>
      <c r="T37" s="1372"/>
      <c r="U37" s="1372"/>
      <c r="V37" s="1372"/>
      <c r="W37" s="1372"/>
      <c r="X37" s="1372"/>
      <c r="Y37" s="1372"/>
      <c r="Z37" s="1373"/>
    </row>
    <row r="38" spans="1:37">
      <c r="A38" s="2866"/>
      <c r="B38" s="2768" t="s">
        <v>2929</v>
      </c>
      <c r="C38" s="200">
        <f ca="1">ROUND(C5*C19*C20*C24*F38,0)</f>
        <v>1507</v>
      </c>
      <c r="D38" s="2848"/>
      <c r="E38" s="200">
        <f t="shared" ca="1" si="7"/>
        <v>0</v>
      </c>
      <c r="F38" s="206">
        <f>SUMIF(修正!A45:A56,G2,修正!G45:G56)</f>
        <v>0.2</v>
      </c>
      <c r="G38" s="200">
        <f ca="1">ROUND(IF(E2="工业",C38*$M$39,C38*$M$38),0)</f>
        <v>377</v>
      </c>
      <c r="H38" s="200">
        <f t="shared" si="8"/>
        <v>0</v>
      </c>
      <c r="I38" s="200">
        <f t="shared" ca="1" si="9"/>
        <v>0</v>
      </c>
      <c r="J38" s="2865"/>
      <c r="K38" s="1372"/>
      <c r="L38" s="1889" t="s">
        <v>2930</v>
      </c>
      <c r="M38" s="2869">
        <v>0.25</v>
      </c>
      <c r="N38" s="1372"/>
      <c r="O38" s="1372"/>
      <c r="P38" s="1372"/>
      <c r="Q38" s="1372"/>
      <c r="R38" s="1372"/>
      <c r="S38" s="1372"/>
      <c r="T38" s="1372"/>
      <c r="U38" s="1372"/>
      <c r="V38" s="1372"/>
      <c r="W38" s="1372"/>
      <c r="X38" s="1372"/>
      <c r="Y38" s="1372"/>
      <c r="Z38" s="1373"/>
    </row>
    <row r="39" spans="1:37" ht="13.5" thickBot="1">
      <c r="A39" s="2852"/>
      <c r="B39" s="2870" t="s">
        <v>2931</v>
      </c>
      <c r="C39" s="229">
        <f ca="1">ROUND(C5*C19*C20*C24*F39,0)</f>
        <v>1131</v>
      </c>
      <c r="D39" s="2854"/>
      <c r="E39" s="229">
        <f t="shared" ca="1" si="7"/>
        <v>0</v>
      </c>
      <c r="F39" s="934">
        <f>SUMIF(修正!A45:A56,G2,修正!H45:H56)</f>
        <v>0.15</v>
      </c>
      <c r="G39" s="229">
        <f ca="1">ROUND(IF(E2="工业",C39*$M$39,C39*$M$38),0)</f>
        <v>283</v>
      </c>
      <c r="H39" s="229">
        <f t="shared" si="8"/>
        <v>0</v>
      </c>
      <c r="I39" s="229">
        <f t="shared" ca="1" si="9"/>
        <v>0</v>
      </c>
      <c r="J39" s="2871"/>
      <c r="K39" s="1372"/>
      <c r="L39" s="2872" t="s">
        <v>2872</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2932</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2933</v>
      </c>
      <c r="B46" s="2878">
        <f>1+E48</f>
        <v>1.0717000000000001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2934</v>
      </c>
      <c r="B47" s="2958" t="s">
        <v>2935</v>
      </c>
      <c r="C47" s="2958" t="s">
        <v>2936</v>
      </c>
      <c r="D47" s="2958" t="s">
        <v>2937</v>
      </c>
      <c r="E47" s="818" t="s">
        <v>2938</v>
      </c>
      <c r="F47" s="2882" t="s">
        <v>2939</v>
      </c>
      <c r="G47" s="2958" t="s">
        <v>754</v>
      </c>
      <c r="H47" s="2883" t="s">
        <v>2940</v>
      </c>
      <c r="I47" s="2958" t="s">
        <v>2941</v>
      </c>
      <c r="J47" s="603" t="s">
        <v>2587</v>
      </c>
      <c r="K47" s="603" t="s">
        <v>2588</v>
      </c>
      <c r="L47" s="603" t="s">
        <v>2589</v>
      </c>
      <c r="M47" s="603" t="s">
        <v>2590</v>
      </c>
      <c r="N47" s="603" t="s">
        <v>2591</v>
      </c>
      <c r="AA47" s="1373"/>
      <c r="AB47" s="1373"/>
      <c r="AC47" s="1373"/>
      <c r="AD47" s="1373"/>
      <c r="AE47" s="1373"/>
      <c r="AF47" s="1373"/>
      <c r="AG47" s="1373"/>
      <c r="AH47" s="1373"/>
      <c r="AI47" s="1373"/>
      <c r="AJ47" s="1373"/>
      <c r="AK47" s="1373"/>
    </row>
    <row r="48" spans="1:37" s="1372" customFormat="1" ht="24.75">
      <c r="A48" s="2881" t="s">
        <v>2942</v>
      </c>
      <c r="B48" s="2884" t="str">
        <f>估价对象房地状况!C4</f>
        <v>较好</v>
      </c>
      <c r="C48" s="2773" t="s">
        <v>3276</v>
      </c>
      <c r="D48" s="1288">
        <f t="shared" ref="D48:D56" si="10">SUMIF($J$47:$N$47,C48,J48:N48)</f>
        <v>2.47E-2</v>
      </c>
      <c r="E48" s="820">
        <f>ROUND(SUM(D48:D56),4)</f>
        <v>7.17E-2</v>
      </c>
      <c r="F48" s="2504">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14.25">
      <c r="A49" s="2881" t="s">
        <v>2943</v>
      </c>
      <c r="B49" s="2885" t="str">
        <f>估价对象房地状况!C18</f>
        <v>较好</v>
      </c>
      <c r="C49" s="2773" t="s">
        <v>3276</v>
      </c>
      <c r="D49" s="1288">
        <f t="shared" si="10"/>
        <v>1.8700000000000001E-2</v>
      </c>
      <c r="E49" s="821"/>
      <c r="F49" s="2504"/>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1" t="s">
        <v>2944</v>
      </c>
      <c r="B50" s="2885">
        <f>估价对象房地状况!C19</f>
        <v>0</v>
      </c>
      <c r="C50" s="2773" t="s">
        <v>3276</v>
      </c>
      <c r="D50" s="1288">
        <f t="shared" si="10"/>
        <v>3.7000000000000002E-3</v>
      </c>
      <c r="E50" s="821"/>
      <c r="F50" s="2504"/>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24">
      <c r="A51" s="2881" t="s">
        <v>2945</v>
      </c>
      <c r="B51" s="2886"/>
      <c r="C51" s="2773" t="s">
        <v>3276</v>
      </c>
      <c r="D51" s="1288">
        <f t="shared" si="10"/>
        <v>3.7000000000000002E-3</v>
      </c>
      <c r="E51" s="821"/>
      <c r="F51" s="2504"/>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1" t="s">
        <v>2947</v>
      </c>
      <c r="B52" s="2885">
        <f>估价对象房地状况!C24</f>
        <v>0</v>
      </c>
      <c r="C52" s="2773" t="s">
        <v>3275</v>
      </c>
      <c r="D52" s="1288">
        <f t="shared" si="10"/>
        <v>0</v>
      </c>
      <c r="E52" s="821"/>
      <c r="F52" s="2504"/>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1" t="s">
        <v>2948</v>
      </c>
      <c r="B53" s="2887"/>
      <c r="C53" s="2773" t="s">
        <v>3276</v>
      </c>
      <c r="D53" s="1288">
        <f t="shared" si="10"/>
        <v>2.2000000000000001E-3</v>
      </c>
      <c r="E53" s="821"/>
      <c r="F53" s="2504"/>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4">
      <c r="A54" s="2888" t="s">
        <v>2950</v>
      </c>
      <c r="B54" s="1727" t="str">
        <f>估价对象房地状况!C21</f>
        <v>较好</v>
      </c>
      <c r="C54" s="2773" t="s">
        <v>3276</v>
      </c>
      <c r="D54" s="1288">
        <f t="shared" si="10"/>
        <v>3.7000000000000002E-3</v>
      </c>
      <c r="E54" s="821"/>
      <c r="F54" s="2504"/>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4">
      <c r="A55" s="2888" t="s">
        <v>2951</v>
      </c>
      <c r="B55" s="2885" t="str">
        <f>估价对象房地状况!C22</f>
        <v>七通</v>
      </c>
      <c r="C55" s="2773" t="s">
        <v>3293</v>
      </c>
      <c r="D55" s="1288">
        <f t="shared" si="10"/>
        <v>1.4999999999999999E-2</v>
      </c>
      <c r="E55" s="821"/>
      <c r="F55" s="2504"/>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24.75" thickBot="1">
      <c r="A56" s="2889" t="s">
        <v>2952</v>
      </c>
      <c r="B56" s="2890" t="str">
        <f>估价对象房地状况!C20</f>
        <v>一般</v>
      </c>
      <c r="C56" s="2773" t="s">
        <v>3275</v>
      </c>
      <c r="D56" s="1288">
        <f t="shared" si="10"/>
        <v>0</v>
      </c>
      <c r="E56" s="824"/>
      <c r="F56" s="2504"/>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7" t="s">
        <v>2953</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2934</v>
      </c>
      <c r="B58" s="2958"/>
      <c r="C58" s="2958" t="s">
        <v>2936</v>
      </c>
      <c r="D58" s="2958" t="s">
        <v>2937</v>
      </c>
      <c r="E58" s="818" t="s">
        <v>2938</v>
      </c>
      <c r="F58" s="2882" t="s">
        <v>2954</v>
      </c>
      <c r="G58" s="2958" t="s">
        <v>754</v>
      </c>
      <c r="H58" s="2883" t="s">
        <v>2940</v>
      </c>
      <c r="I58" s="2958" t="s">
        <v>2941</v>
      </c>
      <c r="J58" s="603" t="s">
        <v>2587</v>
      </c>
      <c r="K58" s="603" t="s">
        <v>2588</v>
      </c>
      <c r="L58" s="603" t="s">
        <v>2589</v>
      </c>
      <c r="M58" s="603" t="s">
        <v>2590</v>
      </c>
      <c r="N58" s="603" t="s">
        <v>2591</v>
      </c>
      <c r="AA58" s="1373"/>
      <c r="AB58" s="1373"/>
      <c r="AC58" s="1373"/>
      <c r="AD58" s="1373"/>
      <c r="AE58" s="1373"/>
      <c r="AF58" s="1373"/>
      <c r="AG58" s="1373"/>
      <c r="AH58" s="1373"/>
      <c r="AI58" s="1373"/>
      <c r="AJ58" s="1373"/>
      <c r="AK58" s="1373"/>
    </row>
    <row r="59" spans="1:37" s="1372" customFormat="1" ht="24">
      <c r="A59" s="2881" t="s">
        <v>2955</v>
      </c>
      <c r="B59" s="2884">
        <f>估价对象房地状况!C17</f>
        <v>0</v>
      </c>
      <c r="C59" s="2773"/>
      <c r="D59" s="1288">
        <f t="shared" ref="D59:D67" si="16">SUMIF($J$58:$N$58,C59,J59:N59)</f>
        <v>0</v>
      </c>
      <c r="E59" s="820">
        <f>ROUND(SUM(D59:D67),4)</f>
        <v>0</v>
      </c>
      <c r="F59" s="2504"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14.25">
      <c r="A60" s="2881" t="s">
        <v>2943</v>
      </c>
      <c r="B60" s="2885" t="str">
        <f>估价对象房地状况!C18</f>
        <v>较好</v>
      </c>
      <c r="C60" s="2773"/>
      <c r="D60" s="1288">
        <f t="shared" si="16"/>
        <v>0</v>
      </c>
      <c r="E60" s="821"/>
      <c r="F60" s="2504"/>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1" t="s">
        <v>2944</v>
      </c>
      <c r="B61" s="2885">
        <f>估价对象房地状况!C19</f>
        <v>0</v>
      </c>
      <c r="C61" s="2773"/>
      <c r="D61" s="1288">
        <f t="shared" si="16"/>
        <v>0</v>
      </c>
      <c r="E61" s="821"/>
      <c r="F61" s="2504"/>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1" t="s">
        <v>2945</v>
      </c>
      <c r="B62" s="2886" t="s">
        <v>2946</v>
      </c>
      <c r="C62" s="2773"/>
      <c r="D62" s="1288">
        <f t="shared" si="16"/>
        <v>0</v>
      </c>
      <c r="E62" s="821"/>
      <c r="F62" s="2504"/>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1" t="s">
        <v>2947</v>
      </c>
      <c r="B63" s="2885">
        <f>估价对象房地状况!C24</f>
        <v>0</v>
      </c>
      <c r="C63" s="2773"/>
      <c r="D63" s="1288">
        <f t="shared" si="16"/>
        <v>0</v>
      </c>
      <c r="E63" s="821"/>
      <c r="F63" s="2504"/>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1" t="s">
        <v>2948</v>
      </c>
      <c r="B64" s="2887" t="s">
        <v>2949</v>
      </c>
      <c r="C64" s="2773"/>
      <c r="D64" s="1288">
        <f t="shared" si="16"/>
        <v>0</v>
      </c>
      <c r="E64" s="821"/>
      <c r="F64" s="2504"/>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4">
      <c r="A65" s="2881" t="s">
        <v>2950</v>
      </c>
      <c r="B65" s="1727" t="str">
        <f>估价对象房地状况!C21</f>
        <v>较好</v>
      </c>
      <c r="C65" s="2773"/>
      <c r="D65" s="1288">
        <f t="shared" si="16"/>
        <v>0</v>
      </c>
      <c r="E65" s="821"/>
      <c r="F65" s="2504"/>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4">
      <c r="A66" s="2881" t="s">
        <v>2951</v>
      </c>
      <c r="B66" s="1727" t="str">
        <f>估价对象房地状况!C22</f>
        <v>七通</v>
      </c>
      <c r="C66" s="2773"/>
      <c r="D66" s="1288">
        <f t="shared" si="16"/>
        <v>0</v>
      </c>
      <c r="E66" s="821"/>
      <c r="F66" s="2504"/>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24.75" thickBot="1">
      <c r="A67" s="2889" t="s">
        <v>2952</v>
      </c>
      <c r="B67" s="2891" t="str">
        <f>估价对象房地状况!C20</f>
        <v>一般</v>
      </c>
      <c r="C67" s="2773"/>
      <c r="D67" s="1288">
        <f t="shared" si="16"/>
        <v>0</v>
      </c>
      <c r="E67" s="824"/>
      <c r="F67" s="2504"/>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7" t="s">
        <v>2956</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2934</v>
      </c>
      <c r="B69" s="2958"/>
      <c r="C69" s="2958" t="s">
        <v>2936</v>
      </c>
      <c r="D69" s="2958" t="s">
        <v>2937</v>
      </c>
      <c r="E69" s="818" t="s">
        <v>2938</v>
      </c>
      <c r="F69" s="2882" t="s">
        <v>2954</v>
      </c>
      <c r="G69" s="2958" t="s">
        <v>754</v>
      </c>
      <c r="H69" s="2883" t="s">
        <v>2940</v>
      </c>
      <c r="I69" s="2958" t="s">
        <v>2941</v>
      </c>
      <c r="J69" s="603" t="s">
        <v>2587</v>
      </c>
      <c r="K69" s="603" t="s">
        <v>2588</v>
      </c>
      <c r="L69" s="603" t="s">
        <v>2589</v>
      </c>
      <c r="M69" s="603" t="s">
        <v>2590</v>
      </c>
      <c r="N69" s="603" t="s">
        <v>2591</v>
      </c>
      <c r="AA69" s="1373"/>
      <c r="AB69" s="1373"/>
      <c r="AC69" s="1373"/>
      <c r="AD69" s="1373"/>
      <c r="AE69" s="1373"/>
      <c r="AF69" s="1373"/>
      <c r="AG69" s="1373"/>
      <c r="AH69" s="1373"/>
      <c r="AI69" s="1373"/>
      <c r="AJ69" s="1373"/>
      <c r="AK69" s="1373"/>
    </row>
    <row r="70" spans="1:37" s="1372" customFormat="1" ht="24">
      <c r="A70" s="2881" t="s">
        <v>2957</v>
      </c>
      <c r="B70" s="2884" t="str">
        <f>估价对象房地状况!C15</f>
        <v>较好</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14.25">
      <c r="A71" s="2881" t="s">
        <v>2943</v>
      </c>
      <c r="B71" s="2885" t="str">
        <f>估价对象房地状况!C18</f>
        <v>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2944</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1" t="s">
        <v>2958</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4">
      <c r="A74" s="2881" t="s">
        <v>2950</v>
      </c>
      <c r="B74" s="1727" t="str">
        <f>估价对象房地状况!C21</f>
        <v>较好</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81" t="s">
        <v>2951</v>
      </c>
      <c r="B75" s="1727" t="str">
        <f>估价对象房地状况!C22</f>
        <v>七通</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24">
      <c r="A76" s="2881" t="s">
        <v>2948</v>
      </c>
      <c r="B76" s="2887" t="s">
        <v>2949</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24">
      <c r="A77" s="2881" t="s">
        <v>2952</v>
      </c>
      <c r="B77" s="2884" t="str">
        <f>估价对象房地状况!C20</f>
        <v>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24.75" thickBot="1">
      <c r="A78" s="2889" t="s">
        <v>2959</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5">
      <c r="A79" s="2877" t="s">
        <v>2960</v>
      </c>
      <c r="B79" s="2878">
        <f>1+E81</f>
        <v>1</v>
      </c>
      <c r="C79" s="813"/>
      <c r="D79" s="813"/>
      <c r="E79" s="814"/>
      <c r="F79" s="2880"/>
      <c r="G79" s="6"/>
      <c r="H79" s="6"/>
      <c r="I79" s="6"/>
      <c r="J79" s="7"/>
      <c r="K79" s="7"/>
      <c r="L79" s="7"/>
      <c r="M79" s="7"/>
      <c r="N79" s="7"/>
      <c r="Z79" s="2723"/>
      <c r="AA79" s="2799"/>
      <c r="AG79" s="1374"/>
      <c r="AK79" s="2799"/>
    </row>
    <row r="80" spans="1:37" ht="24.75">
      <c r="A80" s="2881" t="s">
        <v>2934</v>
      </c>
      <c r="B80" s="2958"/>
      <c r="C80" s="2958" t="s">
        <v>2936</v>
      </c>
      <c r="D80" s="2958" t="s">
        <v>2937</v>
      </c>
      <c r="E80" s="818" t="s">
        <v>2938</v>
      </c>
      <c r="F80" s="2882" t="s">
        <v>2954</v>
      </c>
      <c r="G80" s="2958" t="s">
        <v>754</v>
      </c>
      <c r="H80" s="2883" t="s">
        <v>2940</v>
      </c>
      <c r="I80" s="2958" t="s">
        <v>2941</v>
      </c>
      <c r="J80" s="603" t="s">
        <v>2587</v>
      </c>
      <c r="K80" s="603" t="s">
        <v>2588</v>
      </c>
      <c r="L80" s="603" t="s">
        <v>2589</v>
      </c>
      <c r="M80" s="603" t="s">
        <v>2590</v>
      </c>
      <c r="N80" s="603" t="s">
        <v>2591</v>
      </c>
      <c r="Z80" s="2723"/>
      <c r="AA80" s="2799"/>
      <c r="AG80" s="1374"/>
      <c r="AK80" s="2799"/>
    </row>
    <row r="81" spans="1:37" ht="24">
      <c r="A81" s="2881" t="s">
        <v>2961</v>
      </c>
      <c r="B81" s="2885">
        <f>估价对象房地状况!G15</f>
        <v>0</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14.25">
      <c r="A82" s="2881" t="s">
        <v>2943</v>
      </c>
      <c r="B82" s="2885">
        <f>估价对象房地状况!G16</f>
        <v>0</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2944</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4.25">
      <c r="A84" s="2881" t="s">
        <v>2958</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4">
      <c r="A85" s="2881" t="s">
        <v>2950</v>
      </c>
      <c r="B85" s="1727">
        <f>估价对象房地状况!G19</f>
        <v>0</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4">
      <c r="A86" s="2881" t="s">
        <v>2951</v>
      </c>
      <c r="B86" s="1727">
        <f>估价对象房地状况!G20</f>
        <v>0</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24">
      <c r="A87" s="2881" t="s">
        <v>2948</v>
      </c>
      <c r="B87" s="2887" t="s">
        <v>2962</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15" thickBot="1">
      <c r="A88" s="2889" t="s">
        <v>2963</v>
      </c>
      <c r="B88" s="2894">
        <f>估价对象房地状况!G18</f>
        <v>0</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243" t="s">
        <v>2964</v>
      </c>
      <c r="B90" s="3243"/>
      <c r="C90" s="3243"/>
      <c r="D90" s="3243"/>
      <c r="E90" s="3243"/>
      <c r="F90" s="3243"/>
      <c r="G90" s="3243"/>
      <c r="H90" s="3243"/>
      <c r="I90" s="3243"/>
      <c r="J90" s="3243"/>
      <c r="K90" s="2969"/>
      <c r="L90" s="2969"/>
      <c r="M90" s="2969"/>
      <c r="N90" s="2969"/>
    </row>
    <row r="91" spans="1:37">
      <c r="A91" s="3245" t="s">
        <v>2965</v>
      </c>
      <c r="B91" s="3245" t="s">
        <v>2966</v>
      </c>
      <c r="C91" s="2849" t="s">
        <v>2967</v>
      </c>
      <c r="D91" s="2850"/>
      <c r="E91" s="2850"/>
      <c r="F91" s="2850"/>
      <c r="G91" s="2850"/>
      <c r="H91" s="2850"/>
      <c r="I91" s="2850"/>
      <c r="J91" s="2896"/>
      <c r="K91" s="2897"/>
      <c r="L91" s="2897"/>
      <c r="M91" s="2897"/>
      <c r="N91" s="2897"/>
    </row>
    <row r="92" spans="1:37">
      <c r="A92" s="3245"/>
      <c r="B92" s="3245"/>
      <c r="C92" s="2971" t="s">
        <v>2831</v>
      </c>
      <c r="D92" s="2971" t="s">
        <v>2832</v>
      </c>
      <c r="E92" s="2971" t="s">
        <v>2833</v>
      </c>
      <c r="F92" s="2971" t="s">
        <v>2834</v>
      </c>
      <c r="G92" s="2971" t="s">
        <v>2835</v>
      </c>
      <c r="H92" s="2971" t="s">
        <v>2836</v>
      </c>
      <c r="I92" s="2971" t="s">
        <v>2837</v>
      </c>
      <c r="J92" s="2971" t="s">
        <v>2838</v>
      </c>
      <c r="K92" s="2971" t="s">
        <v>2839</v>
      </c>
      <c r="L92" s="2971" t="s">
        <v>2840</v>
      </c>
      <c r="M92" s="2971" t="s">
        <v>2841</v>
      </c>
      <c r="N92" s="2971" t="s">
        <v>2842</v>
      </c>
    </row>
    <row r="93" spans="1:37">
      <c r="A93" s="3246"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7"/>
      <c r="B99" s="2898" t="s">
        <v>2847</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4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6" t="s">
        <v>2969</v>
      </c>
      <c r="B101" s="2902" t="s">
        <v>2970</v>
      </c>
      <c r="C101" s="2903">
        <f>$G$3</f>
        <v>4.05</v>
      </c>
      <c r="D101" s="2903">
        <f t="shared" ref="D101:N101" si="32">$G$3</f>
        <v>4.05</v>
      </c>
      <c r="E101" s="2903">
        <f t="shared" si="32"/>
        <v>4.05</v>
      </c>
      <c r="F101" s="2903">
        <f t="shared" si="32"/>
        <v>4.05</v>
      </c>
      <c r="G101" s="2903">
        <f t="shared" si="32"/>
        <v>4.05</v>
      </c>
      <c r="H101" s="2903">
        <f t="shared" si="32"/>
        <v>4.05</v>
      </c>
      <c r="I101" s="2903">
        <f t="shared" si="32"/>
        <v>4.05</v>
      </c>
      <c r="J101" s="2903">
        <f t="shared" si="32"/>
        <v>4.05</v>
      </c>
      <c r="K101" s="2903">
        <f t="shared" si="32"/>
        <v>4.05</v>
      </c>
      <c r="L101" s="2903">
        <f t="shared" si="32"/>
        <v>4.05</v>
      </c>
      <c r="M101" s="2903">
        <f t="shared" si="32"/>
        <v>4.05</v>
      </c>
      <c r="N101" s="2903">
        <f t="shared" si="32"/>
        <v>4.05</v>
      </c>
    </row>
    <row r="102" spans="1:14">
      <c r="A102" s="3247"/>
      <c r="B102" s="2898">
        <v>1</v>
      </c>
      <c r="C102" s="2899">
        <f>1.9362/C101</f>
        <v>0.4780740740740741</v>
      </c>
      <c r="D102" s="2899">
        <f>1.9362/D101</f>
        <v>0.4780740740740741</v>
      </c>
      <c r="E102" s="2899">
        <f>1.8629/E101</f>
        <v>0.45997530864197533</v>
      </c>
      <c r="F102" s="2899">
        <f>1.8629/F101</f>
        <v>0.45997530864197533</v>
      </c>
      <c r="G102" s="2899">
        <f>1.8629/G101</f>
        <v>0.45997530864197533</v>
      </c>
      <c r="H102" s="2899">
        <f>1.8629/H101</f>
        <v>0.45997530864197533</v>
      </c>
      <c r="I102" s="2899">
        <f>1.8629/I101</f>
        <v>0.45997530864197533</v>
      </c>
      <c r="J102" s="2899">
        <f>1.942/J101</f>
        <v>0.4795061728395062</v>
      </c>
      <c r="K102" s="2899">
        <f>1.942/K101</f>
        <v>0.4795061728395062</v>
      </c>
      <c r="L102" s="2899">
        <f>1.942/L101</f>
        <v>0.4795061728395062</v>
      </c>
      <c r="M102" s="2899">
        <f>1.942/M101</f>
        <v>0.4795061728395062</v>
      </c>
      <c r="N102" s="2899">
        <f>1.942/N101</f>
        <v>0.4795061728395062</v>
      </c>
    </row>
    <row r="103" spans="1:14">
      <c r="A103" s="3247"/>
      <c r="B103" s="2898">
        <v>2</v>
      </c>
      <c r="C103" s="2899">
        <f>1.4198/C101</f>
        <v>0.35056790123456788</v>
      </c>
      <c r="D103" s="2899">
        <f>1.4198/D101</f>
        <v>0.35056790123456788</v>
      </c>
      <c r="E103" s="2899">
        <f>1.3372/E101</f>
        <v>0.33017283950617282</v>
      </c>
      <c r="F103" s="2899">
        <f>1.3372/F101</f>
        <v>0.33017283950617282</v>
      </c>
      <c r="G103" s="2899">
        <f>1.3372/G101</f>
        <v>0.33017283950617282</v>
      </c>
      <c r="H103" s="2899">
        <f>1.3372/H101</f>
        <v>0.33017283950617282</v>
      </c>
      <c r="I103" s="2899">
        <f>1.3372/I101</f>
        <v>0.33017283950617282</v>
      </c>
      <c r="J103" s="2899">
        <f>1.2799/J101</f>
        <v>0.31602469135802469</v>
      </c>
      <c r="K103" s="2899">
        <f>1.2799/K101</f>
        <v>0.31602469135802469</v>
      </c>
      <c r="L103" s="2899">
        <f>1.2799/L101</f>
        <v>0.31602469135802469</v>
      </c>
      <c r="M103" s="2899">
        <f>1.2799/M101</f>
        <v>0.31602469135802469</v>
      </c>
      <c r="N103" s="2899">
        <f>1.2799/N101</f>
        <v>0.31602469135802469</v>
      </c>
    </row>
    <row r="104" spans="1:14">
      <c r="A104" s="3247"/>
      <c r="B104" s="2898">
        <v>3</v>
      </c>
      <c r="C104" s="2899">
        <f>1.1594/C101</f>
        <v>0.28627160493827164</v>
      </c>
      <c r="D104" s="2899">
        <f>1.1594/D101</f>
        <v>0.28627160493827164</v>
      </c>
      <c r="E104" s="2899">
        <f>1.0788/E101</f>
        <v>0.26637037037037037</v>
      </c>
      <c r="F104" s="2899">
        <f>1.0788/F101</f>
        <v>0.26637037037037037</v>
      </c>
      <c r="G104" s="2899">
        <f>1.0788/G101</f>
        <v>0.26637037037037037</v>
      </c>
      <c r="H104" s="2899">
        <f>1.0788/H101</f>
        <v>0.26637037037037037</v>
      </c>
      <c r="I104" s="2899">
        <f>1.0788/I101</f>
        <v>0.26637037037037037</v>
      </c>
      <c r="J104" s="2899">
        <f>1.0072/J101</f>
        <v>0.24869135802469139</v>
      </c>
      <c r="K104" s="2899">
        <f>1.0072/K101</f>
        <v>0.24869135802469139</v>
      </c>
      <c r="L104" s="2899">
        <f>1.0072/L101</f>
        <v>0.24869135802469139</v>
      </c>
      <c r="M104" s="2899">
        <f>1.0072/M101</f>
        <v>0.24869135802469139</v>
      </c>
      <c r="N104" s="2899">
        <f>1.0072/N101</f>
        <v>0.24869135802469139</v>
      </c>
    </row>
    <row r="105" spans="1:14">
      <c r="A105" s="3247"/>
      <c r="B105" s="2898">
        <v>4</v>
      </c>
      <c r="C105" s="2899">
        <f>0.9622/C101</f>
        <v>0.23758024691358026</v>
      </c>
      <c r="D105" s="2899">
        <f>0.9622/D101</f>
        <v>0.23758024691358026</v>
      </c>
      <c r="E105" s="2899">
        <f>0.8656/E101</f>
        <v>0.21372839506172842</v>
      </c>
      <c r="F105" s="2899">
        <f>0.8656/F101</f>
        <v>0.21372839506172842</v>
      </c>
      <c r="G105" s="2899">
        <f>0.8656/G101</f>
        <v>0.21372839506172842</v>
      </c>
      <c r="H105" s="2899">
        <f>0.8656/H101</f>
        <v>0.21372839506172842</v>
      </c>
      <c r="I105" s="2899">
        <f>0.8656/I101</f>
        <v>0.21372839506172842</v>
      </c>
      <c r="J105" s="2899">
        <f>0.7525/J101</f>
        <v>0.18580246913580245</v>
      </c>
      <c r="K105" s="2899">
        <f>0.7525/K101</f>
        <v>0.18580246913580245</v>
      </c>
      <c r="L105" s="2899">
        <f>0.7525/L101</f>
        <v>0.18580246913580245</v>
      </c>
      <c r="M105" s="2899">
        <f>0.7525/M101</f>
        <v>0.18580246913580245</v>
      </c>
      <c r="N105" s="2899">
        <f>0.7525/N101</f>
        <v>0.18580246913580245</v>
      </c>
    </row>
    <row r="106" spans="1:14">
      <c r="A106" s="3247"/>
      <c r="B106" s="2898">
        <v>5</v>
      </c>
      <c r="C106" s="2899">
        <f>0.8417/C101</f>
        <v>0.20782716049382718</v>
      </c>
      <c r="D106" s="2899">
        <f>0.8417/D101</f>
        <v>0.20782716049382718</v>
      </c>
      <c r="E106" s="2899">
        <f>0.7371/E101</f>
        <v>0.182</v>
      </c>
      <c r="F106" s="2899">
        <f>0.7371/F101</f>
        <v>0.182</v>
      </c>
      <c r="G106" s="2899">
        <f>0.7371/G101</f>
        <v>0.182</v>
      </c>
      <c r="H106" s="2899">
        <f>0.7371/H101</f>
        <v>0.182</v>
      </c>
      <c r="I106" s="2899">
        <f>0.7371/I101</f>
        <v>0.182</v>
      </c>
      <c r="J106" s="2899">
        <f>0.5659/J101</f>
        <v>0.13972839506172838</v>
      </c>
      <c r="K106" s="2899">
        <f>0.5659/K101</f>
        <v>0.13972839506172838</v>
      </c>
      <c r="L106" s="2899">
        <f>0.5659/L101</f>
        <v>0.13972839506172838</v>
      </c>
      <c r="M106" s="2899">
        <f>0.5659/M101</f>
        <v>0.13972839506172838</v>
      </c>
      <c r="N106" s="2899">
        <f>0.5659/N101</f>
        <v>0.13972839506172838</v>
      </c>
    </row>
    <row r="107" spans="1:14">
      <c r="A107" s="3247"/>
      <c r="B107" s="2898">
        <v>6</v>
      </c>
      <c r="C107" s="2899">
        <f>0.7608/C101</f>
        <v>0.18785185185185188</v>
      </c>
      <c r="D107" s="2899">
        <f>0.7608/D101</f>
        <v>0.18785185185185188</v>
      </c>
      <c r="E107" s="2899">
        <f>0.6482/E101</f>
        <v>0.16004938271604938</v>
      </c>
      <c r="F107" s="2899">
        <f>0.6482/F101</f>
        <v>0.16004938271604938</v>
      </c>
      <c r="G107" s="2899">
        <f>0.6482/G101</f>
        <v>0.16004938271604938</v>
      </c>
      <c r="H107" s="2899">
        <f>0.6482/H101</f>
        <v>0.16004938271604938</v>
      </c>
      <c r="I107" s="2899">
        <f>0.6482/I101</f>
        <v>0.16004938271604938</v>
      </c>
      <c r="J107" s="2899">
        <f>0.4525/J101</f>
        <v>0.11172839506172841</v>
      </c>
      <c r="K107" s="2899">
        <f>0.4525/K101</f>
        <v>0.11172839506172841</v>
      </c>
      <c r="L107" s="2899">
        <f>0.4525/L101</f>
        <v>0.11172839506172841</v>
      </c>
      <c r="M107" s="2899">
        <f>0.4525/M101</f>
        <v>0.11172839506172841</v>
      </c>
      <c r="N107" s="2899">
        <f>0.4525/N101</f>
        <v>0.11172839506172841</v>
      </c>
    </row>
    <row r="108" spans="1:14">
      <c r="A108" s="3247"/>
      <c r="B108" s="3122" t="s">
        <v>2860</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48"/>
      <c r="B109" s="3123"/>
      <c r="C109" s="2901">
        <f>(-0.163*(C108^2)-0.59*C108+7617)*(10^(-4))/C101</f>
        <v>0.18807407407407409</v>
      </c>
      <c r="D109" s="2901">
        <f>(-0.163*(D108^2)-0.59*D108+7617)*(10^(-4))/D101</f>
        <v>0.18807407407407409</v>
      </c>
      <c r="E109" s="2901">
        <f>(-0.161*(E108^2)-7.509*E108+6533)*(10^(-4))/E101</f>
        <v>0.16130864197530864</v>
      </c>
      <c r="F109" s="2901">
        <f>(-0.161*(F108^2)-7.509*F108+6533)*(10^(-4))/F101</f>
        <v>0.16130864197530864</v>
      </c>
      <c r="G109" s="2901">
        <f>(-0.161*(G108^2)-7.509*G108+6533)*(10^(-4))/G101</f>
        <v>0.16130864197530864</v>
      </c>
      <c r="H109" s="2901">
        <f>(-0.161*(H108^2)-7.509*H108+6533)*(10^(-4))/H101</f>
        <v>0.16130864197530864</v>
      </c>
      <c r="I109" s="2901">
        <f>(-0.161*(I108^2)-7.509*I108+6533)*(10^(-4))/I101</f>
        <v>0.16130864197530864</v>
      </c>
      <c r="J109" s="2901">
        <f>(-0.214*(J108^2)-21.991*J108+4665)*(10^(-4))/J101</f>
        <v>0.1151851851851852</v>
      </c>
      <c r="K109" s="2901">
        <f>(-0.214*(K108^2)-21.991*K108+4665)*(10^(-4))/K101</f>
        <v>0.1151851851851852</v>
      </c>
      <c r="L109" s="2901">
        <f>(-0.214*(L108^2)-21.991*L108+4665)*(10^(-4))/L101</f>
        <v>0.1151851851851852</v>
      </c>
      <c r="M109" s="2901">
        <f>(-0.214*(M108^2)-21.991*M108+4665)*(10^(-4))/M101</f>
        <v>0.1151851851851852</v>
      </c>
      <c r="N109" s="2901">
        <f>(-0.214*(N108^2)-21.991*N108+4665)*(10^(-4))/N101</f>
        <v>0.1151851851851852</v>
      </c>
    </row>
    <row r="110" spans="1:14">
      <c r="A110" s="3244" t="s">
        <v>2972</v>
      </c>
      <c r="B110" s="3244"/>
      <c r="C110" s="3244"/>
      <c r="D110" s="3244"/>
      <c r="E110" s="3244"/>
      <c r="F110" s="3244"/>
      <c r="G110" s="3244"/>
      <c r="H110" s="3244"/>
      <c r="I110" s="3244"/>
      <c r="J110" s="3244"/>
      <c r="K110" s="2970"/>
      <c r="L110" s="2970"/>
      <c r="M110" s="2970"/>
      <c r="N110" s="2970"/>
    </row>
    <row r="112" spans="1:14" ht="13.5" thickBot="1"/>
    <row r="113" spans="1:13" ht="25.5" thickBot="1">
      <c r="A113" s="902" t="s">
        <v>2973</v>
      </c>
      <c r="B113" s="1289">
        <f>G3</f>
        <v>4.05</v>
      </c>
      <c r="C113" s="903" t="s">
        <v>2974</v>
      </c>
      <c r="D113" s="904">
        <f>SUMPRODUCT((A115:A118=F113)*(B114:M114=H113)*B115:M118)</f>
        <v>0.62619999999999998</v>
      </c>
      <c r="E113" s="2727" t="s">
        <v>2804</v>
      </c>
      <c r="F113" s="2906" t="str">
        <f>E2</f>
        <v>商业</v>
      </c>
      <c r="G113" s="2727" t="s">
        <v>2805</v>
      </c>
      <c r="H113" s="2906" t="str">
        <f>G2</f>
        <v>八级</v>
      </c>
      <c r="I113" s="2727"/>
      <c r="J113" s="2907"/>
      <c r="K113" s="2907"/>
      <c r="L113" s="2907"/>
      <c r="M113" s="2907"/>
    </row>
    <row r="114" spans="1:13">
      <c r="A114" s="907"/>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8" t="s">
        <v>2869</v>
      </c>
      <c r="B115" s="909">
        <f>ROUND(0.9335-0.0094*B113,4)</f>
        <v>0.89539999999999997</v>
      </c>
      <c r="C115" s="909">
        <f>B115</f>
        <v>0.89539999999999997</v>
      </c>
      <c r="D115" s="909">
        <f>ROUND(0.8331-0.0109*B113,4)</f>
        <v>0.78900000000000003</v>
      </c>
      <c r="E115" s="909">
        <f>D115</f>
        <v>0.78900000000000003</v>
      </c>
      <c r="F115" s="909">
        <f>E115</f>
        <v>0.78900000000000003</v>
      </c>
      <c r="G115" s="909">
        <f>F115</f>
        <v>0.78900000000000003</v>
      </c>
      <c r="H115" s="909">
        <f>G115</f>
        <v>0.78900000000000003</v>
      </c>
      <c r="I115" s="909">
        <f>ROUND(0.689-0.0155*B113,4)</f>
        <v>0.62619999999999998</v>
      </c>
      <c r="J115" s="909">
        <f t="shared" ref="J115:M118" si="34">I115</f>
        <v>0.62619999999999998</v>
      </c>
      <c r="K115" s="909">
        <f t="shared" si="34"/>
        <v>0.62619999999999998</v>
      </c>
      <c r="L115" s="909">
        <f t="shared" si="34"/>
        <v>0.62619999999999998</v>
      </c>
      <c r="M115" s="910">
        <f t="shared" si="34"/>
        <v>0.62619999999999998</v>
      </c>
    </row>
    <row r="116" spans="1:13">
      <c r="A116" s="908" t="s">
        <v>2870</v>
      </c>
      <c r="B116" s="909">
        <f>ROUND(0.949-0.012*B113,4)</f>
        <v>0.90039999999999998</v>
      </c>
      <c r="C116" s="909">
        <f>B116</f>
        <v>0.90039999999999998</v>
      </c>
      <c r="D116" s="909">
        <f>ROUND(0.8567-0.013*B113,4)</f>
        <v>0.80410000000000004</v>
      </c>
      <c r="E116" s="909">
        <f t="shared" ref="E116:H117" si="35">D116</f>
        <v>0.80410000000000004</v>
      </c>
      <c r="F116" s="909">
        <f t="shared" si="35"/>
        <v>0.80410000000000004</v>
      </c>
      <c r="G116" s="909">
        <f t="shared" si="35"/>
        <v>0.80410000000000004</v>
      </c>
      <c r="H116" s="909">
        <f t="shared" si="35"/>
        <v>0.80410000000000004</v>
      </c>
      <c r="I116" s="909">
        <f>ROUND(0.7694-0.014*B113,4)</f>
        <v>0.7127</v>
      </c>
      <c r="J116" s="909">
        <f t="shared" si="34"/>
        <v>0.7127</v>
      </c>
      <c r="K116" s="909">
        <f t="shared" si="34"/>
        <v>0.7127</v>
      </c>
      <c r="L116" s="909">
        <f t="shared" si="34"/>
        <v>0.7127</v>
      </c>
      <c r="M116" s="910">
        <f t="shared" si="34"/>
        <v>0.7127</v>
      </c>
    </row>
    <row r="117" spans="1:13">
      <c r="A117" s="908" t="s">
        <v>2871</v>
      </c>
      <c r="B117" s="909">
        <f>ROUND(0.8808-0.006*B113,4)</f>
        <v>0.85650000000000004</v>
      </c>
      <c r="C117" s="909">
        <f>B117</f>
        <v>0.85650000000000004</v>
      </c>
      <c r="D117" s="909">
        <f>ROUND(0.8748-0.008*B113,4)</f>
        <v>0.84240000000000004</v>
      </c>
      <c r="E117" s="909">
        <f t="shared" si="35"/>
        <v>0.84240000000000004</v>
      </c>
      <c r="F117" s="909">
        <f t="shared" si="35"/>
        <v>0.84240000000000004</v>
      </c>
      <c r="G117" s="909">
        <f t="shared" si="35"/>
        <v>0.84240000000000004</v>
      </c>
      <c r="H117" s="909">
        <f t="shared" si="35"/>
        <v>0.84240000000000004</v>
      </c>
      <c r="I117" s="909">
        <f>ROUND(0.7412-0.0095*B113,4)</f>
        <v>0.70269999999999999</v>
      </c>
      <c r="J117" s="909">
        <f t="shared" si="34"/>
        <v>0.70269999999999999</v>
      </c>
      <c r="K117" s="909">
        <f t="shared" si="34"/>
        <v>0.70269999999999999</v>
      </c>
      <c r="L117" s="909">
        <f t="shared" si="34"/>
        <v>0.70269999999999999</v>
      </c>
      <c r="M117" s="910">
        <f t="shared" si="34"/>
        <v>0.70269999999999999</v>
      </c>
    </row>
    <row r="118" spans="1:13" ht="13.5" thickBot="1">
      <c r="A118" s="714" t="s">
        <v>2872</v>
      </c>
      <c r="B118" s="911">
        <f>ROUND(0.7275-0.01*B113,4)</f>
        <v>0.68700000000000006</v>
      </c>
      <c r="C118" s="911">
        <f>B118</f>
        <v>0.68700000000000006</v>
      </c>
      <c r="D118" s="911">
        <f>ROUND(0.7043-0.012*B113,4)</f>
        <v>0.65569999999999995</v>
      </c>
      <c r="E118" s="911">
        <f>D118</f>
        <v>0.65569999999999995</v>
      </c>
      <c r="F118" s="911">
        <f>E118</f>
        <v>0.65569999999999995</v>
      </c>
      <c r="G118" s="911">
        <f>ROUND(0.6299-0.0122*B113,4)</f>
        <v>0.58050000000000002</v>
      </c>
      <c r="H118" s="911">
        <f>G118</f>
        <v>0.58050000000000002</v>
      </c>
      <c r="I118" s="911">
        <f>ROUND(0.5667-0.0136*B113,4)</f>
        <v>0.51160000000000005</v>
      </c>
      <c r="J118" s="911">
        <f t="shared" si="34"/>
        <v>0.51160000000000005</v>
      </c>
      <c r="K118" s="911">
        <f t="shared" si="34"/>
        <v>0.51160000000000005</v>
      </c>
      <c r="L118" s="911">
        <f t="shared" si="34"/>
        <v>0.51160000000000005</v>
      </c>
      <c r="M118" s="912">
        <f t="shared" si="34"/>
        <v>0.51160000000000005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26" priority="5" stopIfTrue="1" operator="notEqual">
      <formula>"——"</formula>
    </cfRule>
  </conditionalFormatting>
  <conditionalFormatting sqref="F59">
    <cfRule type="cellIs" dxfId="125" priority="4" stopIfTrue="1" operator="notEqual">
      <formula>"——"</formula>
    </cfRule>
  </conditionalFormatting>
  <conditionalFormatting sqref="F70">
    <cfRule type="cellIs" dxfId="124" priority="3" stopIfTrue="1" operator="notEqual">
      <formula>"——"</formula>
    </cfRule>
  </conditionalFormatting>
  <conditionalFormatting sqref="F81">
    <cfRule type="cellIs" dxfId="123" priority="2" stopIfTrue="1" operator="notEqual">
      <formula>"——"</formula>
    </cfRule>
  </conditionalFormatting>
  <conditionalFormatting sqref="H48:H56 H59:H67 H70:H78 H81:H88">
    <cfRule type="cellIs" dxfId="12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3252</v>
      </c>
      <c r="D1" s="1822" t="s">
        <v>70</v>
      </c>
      <c r="E1" s="1823" t="s">
        <v>1383</v>
      </c>
      <c r="F1" s="1285">
        <f ca="1">J53</f>
        <v>42.12</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f ca="1">ROUND(D2/10000,0)</f>
        <v>1239</v>
      </c>
      <c r="C2" s="1847" t="s">
        <v>1587</v>
      </c>
      <c r="D2" s="1940">
        <f ca="1">C40+J29+L46</f>
        <v>12393739</v>
      </c>
      <c r="E2" s="1848" t="s">
        <v>1588</v>
      </c>
      <c r="F2" s="1849"/>
      <c r="G2" s="1850"/>
      <c r="H2" s="1842"/>
      <c r="I2" s="1842"/>
      <c r="J2" s="1842"/>
      <c r="K2" s="1843"/>
      <c r="L2" s="1842"/>
      <c r="M2" s="1842"/>
    </row>
    <row r="3" spans="1:37" ht="18" customHeight="1" thickBot="1">
      <c r="A3" s="1851" t="s">
        <v>1589</v>
      </c>
      <c r="B3" s="1852">
        <f ca="1">IF(ISERROR(D2/F43),0,ROUND(D2/F43,0))</f>
        <v>3453</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1114960</v>
      </c>
      <c r="D5" s="1824" t="s">
        <v>1597</v>
      </c>
      <c r="E5" s="1295"/>
      <c r="F5" s="1296"/>
      <c r="G5" s="1853"/>
      <c r="H5" s="344">
        <v>1</v>
      </c>
      <c r="I5" s="345" t="s">
        <v>1596</v>
      </c>
      <c r="J5" s="1294">
        <f ca="1">J6+J10+J12</f>
        <v>0</v>
      </c>
      <c r="K5" s="1824" t="s">
        <v>1597</v>
      </c>
      <c r="L5" s="1295"/>
      <c r="M5" s="1296"/>
    </row>
    <row r="6" spans="1:37" ht="18" customHeight="1">
      <c r="A6" s="1293" t="s">
        <v>1032</v>
      </c>
      <c r="B6" s="3263" t="s">
        <v>1399</v>
      </c>
      <c r="C6" s="1298">
        <f ca="1">ROUND(F6*F8*F7*(1-F9),0)</f>
        <v>1113568</v>
      </c>
      <c r="D6" s="164" t="s">
        <v>3021</v>
      </c>
      <c r="E6" s="347" t="s">
        <v>1401</v>
      </c>
      <c r="F6" s="348">
        <f ca="1">INDIRECT("'数据-取费表'!u"&amp;$G$1)</f>
        <v>1</v>
      </c>
      <c r="G6" s="1853"/>
      <c r="H6" s="1293" t="s">
        <v>1032</v>
      </c>
      <c r="I6" s="3263" t="s">
        <v>1399</v>
      </c>
      <c r="J6" s="346">
        <f ca="1">ROUND(M6*M8*M7*(1-M9),0)</f>
        <v>0</v>
      </c>
      <c r="K6" s="1836" t="s">
        <v>3022</v>
      </c>
      <c r="L6" s="347" t="s">
        <v>1401</v>
      </c>
      <c r="M6" s="348">
        <f ca="1">INDIRECT("'数据-取费表'!z"&amp;$G$1)</f>
        <v>0</v>
      </c>
    </row>
    <row r="7" spans="1:37" ht="18" customHeight="1">
      <c r="A7" s="1297"/>
      <c r="B7" s="3264"/>
      <c r="C7" s="1299"/>
      <c r="D7" s="352"/>
      <c r="E7" s="1300" t="s">
        <v>1402</v>
      </c>
      <c r="F7" s="348">
        <f ca="1">IF(INDIRECT("'数据-取费表'!ah"&amp;$G$1)="",INDIRECT("'数据-取费表'!k"&amp;$G$1),INDIRECT("'数据-取费表'!ah"&amp;$G$1))</f>
        <v>3589.2600000000011</v>
      </c>
      <c r="G7" s="1853"/>
      <c r="H7" s="349"/>
      <c r="I7" s="3264"/>
      <c r="J7" s="351"/>
      <c r="K7" s="352"/>
      <c r="L7" s="347" t="s">
        <v>1402</v>
      </c>
      <c r="M7" s="348">
        <f ca="1">F7</f>
        <v>3589.2600000000011</v>
      </c>
    </row>
    <row r="8" spans="1:37" ht="18" customHeight="1">
      <c r="A8" s="349"/>
      <c r="B8" s="3264"/>
      <c r="C8" s="351"/>
      <c r="D8" s="352"/>
      <c r="E8" s="347" t="s">
        <v>1403</v>
      </c>
      <c r="F8" s="348">
        <f ca="1">INDIRECT("'数据-取费表'!ai"&amp;$G$1)</f>
        <v>365</v>
      </c>
      <c r="G8" s="1853"/>
      <c r="H8" s="349"/>
      <c r="I8" s="3264"/>
      <c r="J8" s="351"/>
      <c r="K8" s="352"/>
      <c r="L8" s="347" t="s">
        <v>1403</v>
      </c>
      <c r="M8" s="348">
        <f ca="1">INDIRECT("'数据-取费表'!ai"&amp;$G$1)</f>
        <v>365</v>
      </c>
    </row>
    <row r="9" spans="1:37" ht="18" customHeight="1">
      <c r="A9" s="349"/>
      <c r="B9" s="3265"/>
      <c r="C9" s="351"/>
      <c r="D9" s="352"/>
      <c r="E9" s="347" t="s">
        <v>1404</v>
      </c>
      <c r="F9" s="357">
        <f ca="1">INDIRECT("'数据-取费表'!w"&amp;$G$1)</f>
        <v>0.15</v>
      </c>
      <c r="G9" s="1853"/>
      <c r="H9" s="349"/>
      <c r="I9" s="3265"/>
      <c r="J9" s="351"/>
      <c r="K9" s="352"/>
      <c r="L9" s="358" t="s">
        <v>1404</v>
      </c>
      <c r="M9" s="359">
        <f ca="1">INDIRECT("'数据-取费表'!ab"&amp;$G$1)</f>
        <v>0</v>
      </c>
    </row>
    <row r="10" spans="1:37" ht="18" customHeight="1">
      <c r="A10" s="1293" t="s">
        <v>1036</v>
      </c>
      <c r="B10" s="1825" t="s">
        <v>1405</v>
      </c>
      <c r="C10" s="361">
        <f ca="1">ROUND(IF(F10="押一",C6/12*F11,IF(F10="押二",C6/12*2*F11,IF(F10="押三",C6/12*3*F11,C11*F11))),0)</f>
        <v>1392</v>
      </c>
      <c r="D10" s="1826" t="s">
        <v>3032</v>
      </c>
      <c r="E10" s="358" t="s">
        <v>1406</v>
      </c>
      <c r="F10" s="1368" t="s">
        <v>3285</v>
      </c>
      <c r="G10" s="1853"/>
      <c r="H10" s="1293" t="s">
        <v>1036</v>
      </c>
      <c r="I10" s="1825" t="s">
        <v>1405</v>
      </c>
      <c r="J10" s="346">
        <f ca="1">ROUND(IF(M10="押一",J6/12*M11,IF(M10="押二",J6/12*2*M11,IF(M10="押三",J6/12*3*M11,J11*M11))),0)</f>
        <v>0</v>
      </c>
      <c r="K10" s="1837" t="s">
        <v>3034</v>
      </c>
      <c r="L10" s="358" t="s">
        <v>1406</v>
      </c>
      <c r="M10" s="1368"/>
    </row>
    <row r="11" spans="1:37" ht="18" customHeight="1">
      <c r="A11" s="353"/>
      <c r="B11" s="1827" t="s">
        <v>1598</v>
      </c>
      <c r="C11" s="1180"/>
      <c r="D11" s="352"/>
      <c r="E11" s="358" t="s">
        <v>1408</v>
      </c>
      <c r="F11" s="359">
        <f ca="1">'数据-取费表'!B39</f>
        <v>1.4999999999999999E-2</v>
      </c>
      <c r="G11" s="1853"/>
      <c r="H11" s="1301"/>
      <c r="I11" s="1827" t="s">
        <v>1599</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10643246</v>
      </c>
      <c r="D13" s="1333" t="s">
        <v>1411</v>
      </c>
      <c r="E13" s="1333" t="s">
        <v>1412</v>
      </c>
      <c r="F13" s="1334">
        <f ca="1">INDIRECT("'数据-取费表'!y"&amp;$G$1)</f>
        <v>0.95499999999999996</v>
      </c>
      <c r="G13" s="1853"/>
      <c r="H13" s="1331">
        <v>2</v>
      </c>
      <c r="I13" s="1332" t="s">
        <v>1410</v>
      </c>
      <c r="J13" s="1292">
        <f ca="1">ROUND(J14*J15,0)</f>
        <v>0</v>
      </c>
      <c r="K13" s="1339" t="s">
        <v>1411</v>
      </c>
      <c r="L13" s="1854"/>
      <c r="M13" s="1855"/>
    </row>
    <row r="14" spans="1:37" ht="18" customHeight="1">
      <c r="A14" s="1203" t="s">
        <v>1031</v>
      </c>
      <c r="B14" s="347" t="s">
        <v>1413</v>
      </c>
      <c r="C14" s="363">
        <f ca="1">ROUND(INDIRECT("'数据-取费表'!l"&amp;$G$1)*F43+'数据-取费表'!L14*INDIRECT("'数据-取费表'!S"&amp;$G$1),0)</f>
        <v>7896372</v>
      </c>
      <c r="D14" s="1802" t="s">
        <v>1414</v>
      </c>
      <c r="E14" s="1796"/>
      <c r="F14" s="364"/>
      <c r="G14" s="1853"/>
      <c r="H14" s="1203" t="s">
        <v>1032</v>
      </c>
      <c r="I14" s="347" t="s">
        <v>1415</v>
      </c>
      <c r="J14" s="24">
        <f ca="1">C29</f>
        <v>11144760</v>
      </c>
      <c r="K14" s="15"/>
      <c r="L14" s="981"/>
      <c r="M14" s="982"/>
    </row>
    <row r="15" spans="1:37" s="1860" customFormat="1" ht="18" customHeight="1" thickBot="1">
      <c r="A15" s="1203" t="s">
        <v>1033</v>
      </c>
      <c r="B15" s="347" t="s">
        <v>1416</v>
      </c>
      <c r="C15" s="24">
        <f ca="1">ROUND(C14*F15,0)</f>
        <v>276373</v>
      </c>
      <c r="D15" s="365" t="s">
        <v>1417</v>
      </c>
      <c r="E15" s="365" t="s">
        <v>1418</v>
      </c>
      <c r="F15" s="366">
        <f>'数据-取费表'!B33</f>
        <v>3.5000000000000003E-2</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319167</v>
      </c>
      <c r="K16" s="1339" t="s">
        <v>1421</v>
      </c>
      <c r="L16" s="1340"/>
      <c r="M16" s="1296"/>
    </row>
    <row r="17" spans="1:37" s="1860" customFormat="1" ht="18" customHeight="1">
      <c r="A17" s="1203" t="s">
        <v>1386</v>
      </c>
      <c r="B17" s="347" t="s">
        <v>1422</v>
      </c>
      <c r="C17" s="24">
        <f ca="1">ROUND(F17*(F43+INDIRECT("'数据-取费表'!S"&amp;$G$1)),0)</f>
        <v>717852</v>
      </c>
      <c r="D17" s="347" t="s">
        <v>1423</v>
      </c>
      <c r="E17" s="347" t="s">
        <v>1424</v>
      </c>
      <c r="F17" s="26">
        <f>'数据-取费表'!B35</f>
        <v>200</v>
      </c>
      <c r="G17" s="1856"/>
      <c r="H17" s="1203" t="s">
        <v>1032</v>
      </c>
      <c r="I17" s="347" t="s">
        <v>1425</v>
      </c>
      <c r="J17" s="24">
        <f ca="1">ROUND(IF(项目基本情况!B11="自然人",J5*M17,J18+J19+J20),0)</f>
        <v>96272</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118446</v>
      </c>
      <c r="D18" s="347" t="s">
        <v>1417</v>
      </c>
      <c r="E18" s="347" t="s">
        <v>1418</v>
      </c>
      <c r="F18" s="367">
        <f>'数据-取费表'!B36</f>
        <v>1.4999999999999999E-2</v>
      </c>
      <c r="G18" s="1856"/>
      <c r="H18" s="1203"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9009043</v>
      </c>
      <c r="D19" s="140" t="s">
        <v>1432</v>
      </c>
      <c r="E19" s="1820"/>
      <c r="F19" s="26"/>
      <c r="G19" s="1853"/>
      <c r="H19" s="1203" t="s">
        <v>1033</v>
      </c>
      <c r="I19" s="347" t="s">
        <v>1433</v>
      </c>
      <c r="J19" s="24">
        <f ca="1">IF(K19="按租金收入计税",ROUND(J5*M19,0),ROUND(C29*M19*0.7,0))</f>
        <v>93616</v>
      </c>
      <c r="K19" s="1830" t="s">
        <v>1434</v>
      </c>
      <c r="L19" s="347" t="s">
        <v>1418</v>
      </c>
      <c r="M19" s="367">
        <f>IF(K19="按租金收入计税",'数据-取费表'!B51,'数据-取费表'!B50)</f>
        <v>1.2E-2</v>
      </c>
    </row>
    <row r="20" spans="1:37" s="1860" customFormat="1" ht="18" customHeight="1">
      <c r="A20" s="1203" t="s">
        <v>1036</v>
      </c>
      <c r="B20" s="347" t="s">
        <v>1435</v>
      </c>
      <c r="C20" s="24">
        <f ca="1">ROUND(C19*F20,0)</f>
        <v>180181</v>
      </c>
      <c r="D20" s="369" t="s">
        <v>1436</v>
      </c>
      <c r="E20" s="347" t="s">
        <v>1418</v>
      </c>
      <c r="F20" s="367">
        <f>'数据-取费表'!B37</f>
        <v>0.02</v>
      </c>
      <c r="G20" s="1856"/>
      <c r="H20" s="1203" t="s">
        <v>1385</v>
      </c>
      <c r="I20" s="164" t="s">
        <v>1437</v>
      </c>
      <c r="J20" s="25">
        <f ca="1">ROUND(M20*M21,0)</f>
        <v>2656</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v>
      </c>
      <c r="D21" s="369" t="s">
        <v>1441</v>
      </c>
      <c r="E21" s="347" t="s">
        <v>1442</v>
      </c>
      <c r="F21" s="367">
        <f>'数据-取费表'!B38</f>
        <v>0.02</v>
      </c>
      <c r="G21" s="1856"/>
      <c r="H21" s="372"/>
      <c r="I21" s="356"/>
      <c r="J21" s="29"/>
      <c r="K21" s="373"/>
      <c r="L21" s="347" t="s">
        <v>1443</v>
      </c>
      <c r="M21" s="348">
        <f ca="1">INDIRECT("'数据-取费表'!r"&amp;$G$1)</f>
        <v>885.26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1036</v>
      </c>
      <c r="I22" s="347" t="s">
        <v>1445</v>
      </c>
      <c r="J22" s="24">
        <f ca="1">ROUND(J14*M22,0)</f>
        <v>222895</v>
      </c>
      <c r="K22" s="1800" t="s">
        <v>1446</v>
      </c>
      <c r="L22" s="347" t="s">
        <v>1418</v>
      </c>
      <c r="M22" s="374">
        <f ca="1">INDIRECT("'数据-取费表'!Ak"&amp;$G$1)</f>
        <v>0.02</v>
      </c>
    </row>
    <row r="23" spans="1:37" s="1860" customFormat="1" ht="18" customHeight="1">
      <c r="A23" s="1203" t="s">
        <v>1031</v>
      </c>
      <c r="B23" s="347" t="s">
        <v>1447</v>
      </c>
      <c r="C23" s="24">
        <f ca="1">IF('数据-取费表'!B22&lt;=1,ROUND(C19*F24*F23/2,0)+ROUND(C20*F24*F23/2,0),ROUND(C19*(POWER((1+F24),F23/2)-1),0)+ROUND(C20*(POWER((1+F24),F23/2)-1),0))</f>
        <v>662447</v>
      </c>
      <c r="D23" s="375" t="str">
        <f>IF(F23&lt;=1,"(建造成本+管理费用)×利率×(建设周期÷2)","(建造成本+管理费用)×((1+利率)^(建设周期÷2)-1)")</f>
        <v>(建造成本+管理费用)×((1+利率)^(建设周期÷2)-1)</v>
      </c>
      <c r="E23" s="347" t="s">
        <v>1448</v>
      </c>
      <c r="F23" s="371">
        <f>'数据-取费表'!B20</f>
        <v>3</v>
      </c>
      <c r="G23" s="1856"/>
      <c r="H23" s="1203" t="s">
        <v>1072</v>
      </c>
      <c r="I23" s="347" t="s">
        <v>1449</v>
      </c>
      <c r="J23" s="24">
        <f ca="1">ROUND(J13*M23,0)</f>
        <v>0</v>
      </c>
      <c r="K23" s="1800" t="s">
        <v>1450</v>
      </c>
      <c r="L23" s="347" t="s">
        <v>1451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7" t="s">
        <v>1457</v>
      </c>
      <c r="C25" s="24"/>
      <c r="D25" s="140" t="s">
        <v>1458</v>
      </c>
      <c r="E25" s="1820"/>
      <c r="F25" s="26"/>
      <c r="G25" s="1853"/>
      <c r="H25" s="1331" t="s">
        <v>1028</v>
      </c>
      <c r="I25" s="1346" t="s">
        <v>1459</v>
      </c>
      <c r="J25" s="355">
        <f ca="1">J5-J16</f>
        <v>-319167</v>
      </c>
      <c r="K25" s="1347" t="s">
        <v>1460</v>
      </c>
      <c r="L25" s="1348"/>
      <c r="M25" s="1349"/>
    </row>
    <row r="26" spans="1:37" ht="18" customHeight="1">
      <c r="A26" s="1203" t="s">
        <v>1031</v>
      </c>
      <c r="B26" s="347" t="s">
        <v>1461</v>
      </c>
      <c r="C26" s="24">
        <f ca="1">ROUND((C19+C20)*F26,0)</f>
        <v>459461</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3"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11144760</v>
      </c>
      <c r="D29" s="1344"/>
      <c r="E29" s="1342"/>
      <c r="F29" s="1345"/>
      <c r="G29" s="1856"/>
      <c r="H29" s="380" t="s">
        <v>1030</v>
      </c>
      <c r="I29" s="381" t="s">
        <v>1475</v>
      </c>
      <c r="J29" s="382">
        <f ca="1">ROUND(J26/(1+F40)^F41,0)</f>
        <v>0</v>
      </c>
      <c r="K29" s="383" t="s">
        <v>1476</v>
      </c>
      <c r="L29" s="384"/>
      <c r="M29" s="385">
        <f ca="1">INDIRECT("'数据-取费表'!k"&amp;$G$1)</f>
        <v>3589.2600000000011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461334</v>
      </c>
      <c r="D30" s="1339" t="s">
        <v>1421</v>
      </c>
      <c r="E30" s="1340"/>
      <c r="F30" s="1296"/>
      <c r="G30" s="1853"/>
      <c r="H30" s="745"/>
      <c r="I30" s="746"/>
      <c r="J30" s="747"/>
      <c r="K30" s="748"/>
      <c r="L30" s="749"/>
      <c r="M30" s="750"/>
    </row>
    <row r="31" spans="1:37" ht="18" customHeight="1">
      <c r="A31" s="1203" t="s">
        <v>1032</v>
      </c>
      <c r="B31" s="347" t="s">
        <v>1425</v>
      </c>
      <c r="C31" s="24">
        <f ca="1">ROUND(IF(项目基本情况!B11="自然人",C5*F31,C32+C33+C34),0)</f>
        <v>194854</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IF(项目基本情况!B11="自然人","——",ROUND(C5*F32/(1+'数据-取费表'!C42),0))</f>
        <v>58403</v>
      </c>
      <c r="D32" s="1800" t="s">
        <v>1430</v>
      </c>
      <c r="E32" s="347" t="s">
        <v>1418</v>
      </c>
      <c r="F32" s="377">
        <f>'数据-取费表'!B41</f>
        <v>5.5000000000000007E-2</v>
      </c>
      <c r="G32" s="1853"/>
      <c r="H32" s="745"/>
      <c r="I32" s="746"/>
      <c r="J32" s="747"/>
      <c r="K32" s="748"/>
      <c r="L32" s="749"/>
      <c r="M32" s="750"/>
    </row>
    <row r="33" spans="1:18" ht="18" customHeight="1">
      <c r="A33" s="1203" t="s">
        <v>1033</v>
      </c>
      <c r="B33" s="347" t="s">
        <v>1433</v>
      </c>
      <c r="C33" s="24">
        <f ca="1">IF(项目基本情况!B11="自然人","——",IF(D33="按租金收入计税",ROUND(C5*F33,0),IF(D33="按房产原值计税",ROUND(C29*F33*0.7,0),INDIRECT("'数据-取费表'!Aj"&amp;$G$1))))</f>
        <v>133795</v>
      </c>
      <c r="D33" s="1830" t="s">
        <v>3286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2656</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885.26</v>
      </c>
      <c r="G35" s="1853"/>
      <c r="H35" s="745"/>
      <c r="I35" s="1862"/>
      <c r="J35" s="1863"/>
      <c r="K35" s="1864"/>
      <c r="L35" s="1861"/>
      <c r="M35" s="1861"/>
    </row>
    <row r="36" spans="1:18" ht="18" customHeight="1">
      <c r="A36" s="1354" t="s">
        <v>1036</v>
      </c>
      <c r="B36" s="347" t="s">
        <v>1445</v>
      </c>
      <c r="C36" s="24">
        <f ca="1">ROUND(C29*F36,0)</f>
        <v>222895</v>
      </c>
      <c r="D36" s="1800" t="s">
        <v>1478</v>
      </c>
      <c r="E36" s="347" t="s">
        <v>1418</v>
      </c>
      <c r="F36" s="374">
        <f ca="1">INDIRECT("'数据-取费表'!Ak"&amp;$G$1)</f>
        <v>0.02</v>
      </c>
      <c r="G36" s="1853"/>
      <c r="H36" s="1861"/>
      <c r="I36" s="1862"/>
      <c r="J36" s="1863"/>
      <c r="K36" s="751"/>
      <c r="L36" s="1861"/>
      <c r="M36" s="1861"/>
    </row>
    <row r="37" spans="1:18" ht="18" customHeight="1">
      <c r="A37" s="1203" t="s">
        <v>1072</v>
      </c>
      <c r="B37" s="347" t="s">
        <v>1449</v>
      </c>
      <c r="C37" s="24">
        <f ca="1">ROUND(C13*F37,0)</f>
        <v>21286</v>
      </c>
      <c r="D37" s="1800" t="s">
        <v>1450</v>
      </c>
      <c r="E37" s="347" t="s">
        <v>1451</v>
      </c>
      <c r="F37" s="376">
        <f ca="1">INDIRECT("'数据-取费表'!Al"&amp;$G$1)</f>
        <v>2E-3</v>
      </c>
      <c r="G37" s="1853"/>
      <c r="H37" s="1861"/>
      <c r="I37" s="1862"/>
      <c r="J37" s="1863"/>
      <c r="K37" s="751"/>
      <c r="L37" s="1861"/>
      <c r="M37" s="1861"/>
    </row>
    <row r="38" spans="1:18" ht="18" customHeight="1" thickBot="1">
      <c r="A38" s="1341" t="s">
        <v>1389</v>
      </c>
      <c r="B38" s="1342" t="s">
        <v>1435</v>
      </c>
      <c r="C38" s="1343">
        <f ca="1">ROUND(C5*F38,1)</f>
        <v>22299.200000000001</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653626</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12250246</v>
      </c>
      <c r="D40" s="370" t="s">
        <v>1465</v>
      </c>
      <c r="E40" s="347" t="s">
        <v>1466</v>
      </c>
      <c r="F40" s="357">
        <f ca="1">INDIRECT("'数据-取费表'!I"&amp;$G$1)</f>
        <v>4.4999999999999998E-2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42.12</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f ca="1">ROUND(C40/F43,0)</f>
        <v>3413</v>
      </c>
      <c r="D43" s="383" t="s">
        <v>1484</v>
      </c>
      <c r="E43" s="384" t="s">
        <v>1485</v>
      </c>
      <c r="F43" s="385">
        <f ca="1">INDIRECT("'数据-取费表'!k"&amp;$G$1)</f>
        <v>3589.2600000000011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-34421953</v>
      </c>
      <c r="D45" s="1942" t="s">
        <v>1600</v>
      </c>
      <c r="E45" s="1868"/>
      <c r="F45" s="1868"/>
      <c r="O45" s="1871" t="s">
        <v>1515</v>
      </c>
      <c r="P45" s="1841"/>
      <c r="Q45" s="1841"/>
      <c r="R45" s="1841"/>
    </row>
    <row r="46" spans="1:18" s="1844" customFormat="1" ht="13.5" thickBot="1">
      <c r="A46" s="1872" t="s">
        <v>1516</v>
      </c>
      <c r="C46" s="1873">
        <f ca="1">ROUND(C45/10000,0)</f>
        <v>-3442</v>
      </c>
      <c r="D46" s="1874" t="str">
        <f>C2</f>
        <v>万元</v>
      </c>
      <c r="I46" s="1875" t="s">
        <v>1517</v>
      </c>
      <c r="J46" s="1876"/>
      <c r="K46" s="1877"/>
      <c r="L46" s="1878">
        <f ca="1">IF(M47="住宅",0,IF(L48&gt;J51,L60,J60))</f>
        <v>143493</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2"/>
      <c r="I47" s="1882" t="s">
        <v>1522</v>
      </c>
      <c r="J47" s="1883" t="s">
        <v>3287</v>
      </c>
      <c r="K47" s="1884" t="s">
        <v>1523</v>
      </c>
      <c r="L47" s="1885">
        <f ca="1">INDIRECT("'数据-取费表'!d"&amp;$G$1)</f>
        <v>50</v>
      </c>
      <c r="M47" s="1840" t="str">
        <f>IF(ISNUMBER(FIND("住宅",C1)),"住宅","非住宅")</f>
        <v>非住宅</v>
      </c>
      <c r="O47" s="1886" t="s">
        <v>1037</v>
      </c>
      <c r="P47" s="1887" t="s">
        <v>1524</v>
      </c>
      <c r="Q47" s="1888">
        <f ca="1">C40+J29</f>
        <v>12250246</v>
      </c>
      <c r="R47" s="1888" t="s">
        <v>1525</v>
      </c>
    </row>
    <row r="48" spans="1:18" s="1844" customFormat="1" ht="28.5" thickBot="1">
      <c r="A48" s="1362" t="s">
        <v>1132</v>
      </c>
      <c r="B48" s="345" t="s">
        <v>1397</v>
      </c>
      <c r="C48" s="1819">
        <f ca="1">C49+C53+C55</f>
        <v>0</v>
      </c>
      <c r="D48" s="1364"/>
      <c r="E48" s="1365"/>
      <c r="F48" s="1183"/>
      <c r="G48" s="792"/>
      <c r="H48" s="793"/>
      <c r="I48" s="1889" t="s">
        <v>1526</v>
      </c>
      <c r="J48" s="1890" t="s">
        <v>3288</v>
      </c>
      <c r="K48" s="1891" t="s">
        <v>1527</v>
      </c>
      <c r="L48" s="1892">
        <f ca="1">INDIRECT("'数据-取费表'!f"&amp;$G$1)</f>
        <v>42.12</v>
      </c>
      <c r="O48" s="1886" t="s">
        <v>1038</v>
      </c>
      <c r="P48" s="1887" t="s">
        <v>1528</v>
      </c>
      <c r="Q48" s="1888">
        <f ca="1">J60</f>
        <v>143493</v>
      </c>
      <c r="R48" s="1888" t="s">
        <v>1529</v>
      </c>
    </row>
    <row r="49" spans="1:18" s="1844" customFormat="1" ht="13.5" thickBot="1">
      <c r="A49" s="1196" t="s">
        <v>1133</v>
      </c>
      <c r="B49" s="1831" t="s">
        <v>1486</v>
      </c>
      <c r="C49" s="1366">
        <f ca="1">ROUND(F49*F51*F50*(1-F52),0)</f>
        <v>0</v>
      </c>
      <c r="D49" s="1278" t="s">
        <v>1400</v>
      </c>
      <c r="E49" s="1832" t="s">
        <v>1487</v>
      </c>
      <c r="F49" s="1283"/>
      <c r="G49" s="1893"/>
      <c r="H49" s="793"/>
      <c r="I49" s="1889" t="s">
        <v>1530</v>
      </c>
      <c r="J49" s="1894">
        <v>2015</v>
      </c>
      <c r="K49" s="1891" t="s">
        <v>1531</v>
      </c>
      <c r="L49" s="1895"/>
      <c r="O49" s="1896" t="s">
        <v>1039</v>
      </c>
      <c r="P49" s="1887" t="s">
        <v>1532</v>
      </c>
      <c r="Q49" s="1888">
        <f ca="1">C29</f>
        <v>11144760</v>
      </c>
      <c r="R49" s="1888" t="s">
        <v>1525</v>
      </c>
    </row>
    <row r="50" spans="1:18" s="1844" customFormat="1" ht="13.5" thickBot="1">
      <c r="A50" s="1197"/>
      <c r="B50" s="1200"/>
      <c r="C50" s="1201"/>
      <c r="D50" s="1174"/>
      <c r="E50" s="1279" t="s">
        <v>1402</v>
      </c>
      <c r="F50" s="1280">
        <f ca="1">F7</f>
        <v>3589.2600000000011</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8">
        <f ca="1">F8</f>
        <v>365</v>
      </c>
      <c r="I51" s="1900" t="s">
        <v>1536</v>
      </c>
      <c r="J51" s="1901">
        <f>IF(J49="",J50,J49+J50-YEAR('数据-取费表'!B2))</f>
        <v>57</v>
      </c>
      <c r="K51" s="1902" t="s">
        <v>1537</v>
      </c>
      <c r="L51" s="1903">
        <f ca="1">ROUND(-PV(INDIRECT("'数据-取费表'!h"&amp;$G$1),L48,(C39-C13*C76),0),0)</f>
        <v>-3997869</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42.12</v>
      </c>
      <c r="R52" s="1888" t="s">
        <v>1542</v>
      </c>
    </row>
    <row r="53" spans="1:18" s="1844" customFormat="1" ht="30.75" customHeight="1" thickBot="1">
      <c r="A53" s="1363" t="s">
        <v>1134</v>
      </c>
      <c r="B53" s="369"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42.12</v>
      </c>
      <c r="K53" s="3261" t="s">
        <v>1544</v>
      </c>
      <c r="L53" s="3262"/>
      <c r="O53" s="1886" t="s">
        <v>1043</v>
      </c>
      <c r="P53" s="1887" t="s">
        <v>1545</v>
      </c>
      <c r="Q53" s="1888">
        <f ca="1">Q47+Q48</f>
        <v>12393739</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0.248</v>
      </c>
      <c r="K55" s="1914" t="s">
        <v>1548</v>
      </c>
      <c r="L55" s="1915"/>
      <c r="O55" s="1879" t="s">
        <v>1518</v>
      </c>
      <c r="P55" s="1880" t="s">
        <v>1519</v>
      </c>
      <c r="Q55" s="1881" t="s">
        <v>1520</v>
      </c>
      <c r="R55" s="1881" t="s">
        <v>1521</v>
      </c>
    </row>
    <row r="56" spans="1:18" s="1844" customFormat="1" ht="36" customHeight="1" thickTop="1" thickBot="1">
      <c r="A56" s="1178">
        <v>2</v>
      </c>
      <c r="B56" s="1179" t="s">
        <v>1410</v>
      </c>
      <c r="C56" s="276">
        <f ca="1">C13</f>
        <v>10643246</v>
      </c>
      <c r="D56" s="1916"/>
      <c r="E56" s="1917"/>
      <c r="F56" s="1909"/>
      <c r="I56" s="1918" t="s">
        <v>1550</v>
      </c>
      <c r="J56" s="1919" t="s">
        <v>3054</v>
      </c>
      <c r="K56" s="1889" t="s">
        <v>1551</v>
      </c>
      <c r="L56" s="1892" t="str">
        <f ca="1">IF(L48&lt;J51,"——",L48-J51)</f>
        <v>——</v>
      </c>
      <c r="O56" s="1886" t="s">
        <v>1037</v>
      </c>
      <c r="P56" s="1887" t="s">
        <v>1524</v>
      </c>
      <c r="Q56" s="1888">
        <f ca="1">C40+J29</f>
        <v>12250246</v>
      </c>
      <c r="R56" s="1888" t="s">
        <v>1525</v>
      </c>
    </row>
    <row r="57" spans="1:18" s="1844" customFormat="1" ht="24.75" thickBot="1">
      <c r="A57" s="1920"/>
      <c r="B57" s="1171" t="s">
        <v>1474</v>
      </c>
      <c r="C57" s="282">
        <f ca="1">C29</f>
        <v>11144760</v>
      </c>
      <c r="D57" s="1921"/>
      <c r="E57" s="1922"/>
      <c r="F57" s="1923"/>
      <c r="I57" s="1924" t="s">
        <v>1552</v>
      </c>
      <c r="J57" s="1925">
        <f ca="1">IF(OR(M47="住宅",J51&lt;L48,J56="是"),"——",J51-L48)</f>
        <v>14.880000000000003</v>
      </c>
      <c r="K57" s="1889" t="s">
        <v>1601</v>
      </c>
      <c r="L57" s="1892" t="str">
        <f ca="1">IF(L48&lt;J51,"——",IF(L55="比较法",L49,IF(L55="基准地价",L50,L51)))</f>
        <v>——</v>
      </c>
      <c r="O57" s="1886" t="s">
        <v>1038</v>
      </c>
      <c r="P57" s="1887" t="s">
        <v>1602</v>
      </c>
      <c r="Q57" s="1888">
        <f ca="1">L60</f>
        <v>0</v>
      </c>
      <c r="R57" s="1888" t="s">
        <v>1603</v>
      </c>
    </row>
    <row r="58" spans="1:18" s="1844" customFormat="1" ht="24.75" thickBot="1">
      <c r="A58" s="360" t="s">
        <v>1027</v>
      </c>
      <c r="B58" s="1179" t="s">
        <v>1420</v>
      </c>
      <c r="C58" s="361">
        <f ca="1">ROUND(C59+C64+C65+C66,0)</f>
        <v>1182997</v>
      </c>
      <c r="D58" s="1181" t="s">
        <v>1421</v>
      </c>
      <c r="E58" s="1182"/>
      <c r="F58" s="1183"/>
      <c r="I58" s="1924" t="s">
        <v>1556</v>
      </c>
      <c r="J58" s="1926">
        <f ca="1">IF(J55&lt;0.4,0.4,J55)</f>
        <v>0.4</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938816</v>
      </c>
      <c r="D59" s="1184" t="s">
        <v>1426</v>
      </c>
      <c r="E59" s="1185" t="s">
        <v>1427</v>
      </c>
      <c r="F59" s="368" t="str">
        <f ca="1">IF(项目基本情况!B11="企业","",IF(INDIRECT("'数据-取费表'!c"&amp;$G$1)="住宅",5%,IF(F49*F50*F51/12/(1+'数据-取费表'!C42)&gt;20000,12%,7%)))</f>
        <v/>
      </c>
      <c r="I59" s="1924" t="s">
        <v>1559</v>
      </c>
      <c r="J59" s="1925">
        <f ca="1">IF(OR(M47="住宅",J51&lt;L48,J56="是"),"——",ROUND(C29*J58,0))</f>
        <v>4457904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7" t="s">
        <v>1561</v>
      </c>
      <c r="J60" s="1928">
        <f ca="1">IF(OR(M47="住宅",J51&lt;L48,J56="是"),"0",ROUND(J59/(1+J52)^J53,0))</f>
        <v>143493</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936160</v>
      </c>
      <c r="D61" s="1830" t="s">
        <v>1434</v>
      </c>
      <c r="E61" s="1171"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IF(项目基本情况!B11="自然人","——",ROUND(F62*F63,0))</f>
        <v>2656</v>
      </c>
      <c r="D62" s="1186" t="s">
        <v>1493</v>
      </c>
      <c r="E62" s="1171" t="s">
        <v>1494</v>
      </c>
      <c r="F62" s="371">
        <f t="shared" si="0"/>
        <v>3</v>
      </c>
      <c r="I62" s="1931" t="s">
        <v>1566</v>
      </c>
      <c r="J62" s="1932" t="s">
        <v>1567</v>
      </c>
      <c r="K62" s="1932" t="s">
        <v>1568</v>
      </c>
      <c r="L62" s="1932" t="s">
        <v>1569</v>
      </c>
      <c r="M62" s="1933" t="s">
        <v>1570</v>
      </c>
      <c r="O62" s="1886" t="s">
        <v>1043</v>
      </c>
      <c r="P62" s="1887" t="s">
        <v>1571</v>
      </c>
      <c r="Q62" s="1888">
        <f ca="1">Q56+Q57</f>
        <v>12250246</v>
      </c>
      <c r="R62" s="1888" t="s">
        <v>1044</v>
      </c>
    </row>
    <row r="63" spans="1:18" s="1844" customFormat="1" ht="13.5" thickBot="1">
      <c r="A63" s="372"/>
      <c r="B63" s="1177"/>
      <c r="C63" s="29"/>
      <c r="D63" s="1187"/>
      <c r="E63" s="1171" t="s">
        <v>1495</v>
      </c>
      <c r="F63" s="348">
        <f t="shared" ca="1" si="0"/>
        <v>885.26</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222895</v>
      </c>
      <c r="D64" s="1185" t="s">
        <v>1498</v>
      </c>
      <c r="E64" s="1171" t="s">
        <v>1490</v>
      </c>
      <c r="F64" s="374">
        <f t="shared" ca="1" si="0"/>
        <v>0.02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21286</v>
      </c>
      <c r="D65" s="1185" t="s">
        <v>1450</v>
      </c>
      <c r="E65" s="1171" t="s">
        <v>1451</v>
      </c>
      <c r="F65" s="376">
        <f t="shared" ca="1" si="0"/>
        <v>2E-3</v>
      </c>
      <c r="I65" s="1931" t="s">
        <v>1575</v>
      </c>
      <c r="J65" s="1932">
        <v>40</v>
      </c>
      <c r="K65" s="1932">
        <v>30</v>
      </c>
      <c r="L65" s="1932">
        <v>50</v>
      </c>
      <c r="M65" s="1934">
        <v>0.02</v>
      </c>
      <c r="O65" s="1886" t="s">
        <v>1037</v>
      </c>
      <c r="P65" s="1887" t="s">
        <v>1576</v>
      </c>
      <c r="Q65" s="1888">
        <f ca="1">C40+J29</f>
        <v>12250246</v>
      </c>
      <c r="R65" s="1888" t="s">
        <v>1525</v>
      </c>
    </row>
    <row r="66" spans="1:18" s="1844" customFormat="1" ht="16.5" thickBot="1">
      <c r="A66" s="1203" t="s">
        <v>1500</v>
      </c>
      <c r="B66" s="1171" t="s">
        <v>1435</v>
      </c>
      <c r="C66" s="24">
        <f ca="1">ROUND(C48*F66,0)</f>
        <v>0</v>
      </c>
      <c r="D66" s="1185" t="s">
        <v>1501</v>
      </c>
      <c r="E66" s="1171" t="s">
        <v>1418</v>
      </c>
      <c r="F66" s="357">
        <f t="shared" ca="1" si="0"/>
        <v>0.02</v>
      </c>
      <c r="O66" s="1886" t="s">
        <v>1038</v>
      </c>
      <c r="P66" s="1887" t="s">
        <v>1554</v>
      </c>
      <c r="Q66" s="1888">
        <f ca="1">L60</f>
        <v>0</v>
      </c>
      <c r="R66" s="1888" t="s">
        <v>1577</v>
      </c>
    </row>
    <row r="67" spans="1:18" s="1844" customFormat="1" ht="16.5" thickBot="1">
      <c r="A67" s="1178" t="s">
        <v>1028</v>
      </c>
      <c r="B67" s="1188" t="s">
        <v>1459</v>
      </c>
      <c r="C67" s="361">
        <f ca="1">C48-C58</f>
        <v>-1182997</v>
      </c>
      <c r="D67" s="1184" t="s">
        <v>1460</v>
      </c>
      <c r="E67" s="1189"/>
      <c r="F67" s="1190"/>
      <c r="O67" s="1896" t="s">
        <v>1039</v>
      </c>
      <c r="P67" s="1887" t="s">
        <v>1558</v>
      </c>
      <c r="Q67" s="1935">
        <f ca="1">L51</f>
        <v>-3997869</v>
      </c>
      <c r="R67" s="1888" t="s">
        <v>1578</v>
      </c>
    </row>
    <row r="68" spans="1:18" s="1844" customFormat="1" ht="16.5" thickBot="1">
      <c r="A68" s="1168" t="s">
        <v>1029</v>
      </c>
      <c r="B68" s="1169" t="s">
        <v>1481</v>
      </c>
      <c r="C68" s="346">
        <f ca="1">ROUND(C67*(1-((1+F70)/(1+F68))^F69)/(F68-F70),0)</f>
        <v>-22171707</v>
      </c>
      <c r="D68" s="1186" t="s">
        <v>1465</v>
      </c>
      <c r="E68" s="1171" t="s">
        <v>1466</v>
      </c>
      <c r="F68" s="357">
        <f ca="1">F40</f>
        <v>4.4999999999999998E-2</v>
      </c>
      <c r="O68" s="1896" t="s">
        <v>1040</v>
      </c>
      <c r="P68" s="1936" t="s">
        <v>1579</v>
      </c>
      <c r="Q68" s="1888">
        <f ca="1">ROUND(Q69-Q70*Q71,0)</f>
        <v>-197834</v>
      </c>
      <c r="R68" s="1888" t="s">
        <v>1048</v>
      </c>
    </row>
    <row r="69" spans="1:18" s="1844" customFormat="1" ht="13.5" thickBot="1">
      <c r="A69" s="1172"/>
      <c r="B69" s="1173"/>
      <c r="C69" s="351"/>
      <c r="D69" s="1191" t="s">
        <v>1469</v>
      </c>
      <c r="E69" s="1171" t="s">
        <v>1470</v>
      </c>
      <c r="F69" s="379">
        <f ca="1">F41</f>
        <v>42.12</v>
      </c>
      <c r="O69" s="1896" t="s">
        <v>1045</v>
      </c>
      <c r="P69" s="1936" t="s">
        <v>1580</v>
      </c>
      <c r="Q69" s="1888">
        <f ca="1">C39</f>
        <v>653626</v>
      </c>
      <c r="R69" s="1888" t="s">
        <v>1525</v>
      </c>
    </row>
    <row r="70" spans="1:18" s="1844" customFormat="1" ht="13.5" thickBot="1">
      <c r="A70" s="1175"/>
      <c r="B70" s="1176"/>
      <c r="C70" s="355"/>
      <c r="D70" s="1187"/>
      <c r="E70" s="1171" t="s">
        <v>1473</v>
      </c>
      <c r="F70" s="1277">
        <f ca="1">F42</f>
        <v>0</v>
      </c>
      <c r="O70" s="1896" t="s">
        <v>1046</v>
      </c>
      <c r="P70" s="1936" t="s">
        <v>1581</v>
      </c>
      <c r="Q70" s="1888">
        <f ca="1">C13</f>
        <v>10643246</v>
      </c>
      <c r="R70" s="1888" t="s">
        <v>1525</v>
      </c>
    </row>
    <row r="71" spans="1:18" s="1844" customFormat="1" ht="13.5" thickBot="1">
      <c r="A71" s="1192" t="s">
        <v>1030</v>
      </c>
      <c r="B71" s="1193" t="s">
        <v>1483</v>
      </c>
      <c r="C71" s="382">
        <f ca="1">ROUND(C68/F71,0)</f>
        <v>-6177</v>
      </c>
      <c r="D71" s="1194" t="s">
        <v>1484</v>
      </c>
      <c r="E71" s="1195" t="s">
        <v>1485</v>
      </c>
      <c r="F71" s="385">
        <f ca="1">F43</f>
        <v>3589.2600000000011</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851460</v>
      </c>
      <c r="D75" s="1844"/>
      <c r="E75" s="1844"/>
      <c r="F75" s="1844"/>
      <c r="K75" s="1870"/>
      <c r="L75" s="1844"/>
      <c r="O75" s="1886" t="s">
        <v>1043</v>
      </c>
      <c r="P75" s="1887" t="s">
        <v>1545</v>
      </c>
      <c r="Q75" s="1888">
        <f ca="1">Q65+Q66</f>
        <v>12250246</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-0.30299999999999994</v>
      </c>
    </row>
    <row r="80" spans="1:18">
      <c r="B80" s="386" t="s">
        <v>1507</v>
      </c>
      <c r="C80" s="318">
        <f ca="1">ROUND(C75/C39,3)</f>
        <v>1.3029999999999999</v>
      </c>
    </row>
    <row r="81" spans="2:3">
      <c r="B81" s="314" t="s">
        <v>1508</v>
      </c>
      <c r="C81" s="282"/>
    </row>
    <row r="82" spans="2:3">
      <c r="B82" s="317" t="s">
        <v>1509</v>
      </c>
      <c r="C82" s="319">
        <f ca="1">1-C83</f>
        <v>0.13100000000000001</v>
      </c>
    </row>
    <row r="83" spans="2:3">
      <c r="B83" s="317" t="s">
        <v>1510</v>
      </c>
      <c r="C83" s="318">
        <f ca="1">ROUND(C13/C40,3)</f>
        <v>0.86899999999999999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3298</v>
      </c>
      <c r="C20" s="2017"/>
    </row>
    <row r="21" spans="1:3">
      <c r="A21" s="2016" t="s">
        <v>1766</v>
      </c>
      <c r="B21" s="2016" t="s">
        <v>3299</v>
      </c>
      <c r="C21" s="2017"/>
    </row>
    <row r="22" spans="1:3">
      <c r="A22" s="2016" t="s">
        <v>1767</v>
      </c>
      <c r="B22" s="2016" t="s">
        <v>3303</v>
      </c>
      <c r="C22" s="2017"/>
    </row>
    <row r="23" spans="1:3">
      <c r="A23" s="2016" t="s">
        <v>1768</v>
      </c>
      <c r="B23" s="2016" t="s">
        <v>3305</v>
      </c>
      <c r="C23" s="2017"/>
    </row>
    <row r="24" spans="1:3">
      <c r="A24" s="2016" t="s">
        <v>1769</v>
      </c>
      <c r="B24" s="2016" t="s">
        <v>3307</v>
      </c>
      <c r="C24" s="2017"/>
    </row>
    <row r="25" spans="1:3">
      <c r="A25" s="2016" t="s">
        <v>1770</v>
      </c>
      <c r="B25" s="2016" t="s">
        <v>3309</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6号楼-101号商业用房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266"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2024" t="s">
        <v>861</v>
      </c>
      <c r="C54" s="2021" t="s">
        <v>1277</v>
      </c>
    </row>
    <row r="55" spans="1:4">
      <c r="A55" s="3266"/>
      <c r="B55" s="2024" t="s">
        <v>862</v>
      </c>
      <c r="C55" s="2021" t="s">
        <v>1278</v>
      </c>
    </row>
    <row r="56" spans="1:4">
      <c r="A56" s="3266"/>
      <c r="B56" s="2024" t="s">
        <v>863</v>
      </c>
      <c r="C56" s="2021" t="s">
        <v>1282</v>
      </c>
    </row>
    <row r="57" spans="1:4">
      <c r="A57" s="3266"/>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北京龙湖兴润置业有限公司：</v>
      </c>
    </row>
    <row r="4" spans="1:1" ht="36">
      <c r="A4" s="1950" t="str">
        <f>"受贵公司委托，我公司对"&amp;项目基本情况!S1&amp;"进行了预评估。"</f>
        <v>受贵公司委托，我公司对北京市大兴区永兴路7号院6号楼-101号商业用房房地产市场价值进行了预评估。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估价对象为北京市大兴区永兴路7号院6号楼-101号商业用房房地产，为所有。根据，估价对象（分摊）出让国有建设用地使用权面积为2126.73平方米，建筑面积为8622.76平方米。</v>
      </c>
    </row>
    <row r="8" spans="1:1" ht="57.75">
      <c r="A8" s="1953" t="s">
        <v>1610</v>
      </c>
    </row>
    <row r="9" spans="1:1" ht="18.75">
      <c r="A9" s="1952" t="s">
        <v>1611</v>
      </c>
    </row>
    <row r="10" spans="1:1" ht="54">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6号楼-101号商业用房房地产,属开发建设的商业项目，该项目尚在开发建设中。根据，估价对象（分摊）出让国有建设用地使用权面积为2126.73平方米，规划建筑面积为8622.76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2018年12月3日（评估专业人员实地查勘之日）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1605</v>
      </c>
    </row>
    <row r="24" spans="1:1" ht="18">
      <c r="A24" s="1957" t="str">
        <f>"本次评估采用的主估价方法为"&amp;'结果表(商业)'!K4&amp;"和"&amp;'结果表(商业)'!L4&amp;"。"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2107</v>
      </c>
      <c r="B1" s="2419"/>
      <c r="C1" s="2420" t="s">
        <v>48</v>
      </c>
      <c r="D1" s="2419"/>
      <c r="E1" s="2419"/>
      <c r="F1" s="2421" t="s">
        <v>2108</v>
      </c>
      <c r="G1" s="2072" t="s">
        <v>3060</v>
      </c>
      <c r="H1" s="2422" t="str">
        <f>IF(G1="现房","——","估价对象范围")</f>
        <v>——</v>
      </c>
      <c r="I1" s="2423" t="s">
        <v>3281</v>
      </c>
    </row>
    <row r="2" spans="1:12" ht="21.75" customHeight="1" thickBot="1">
      <c r="A2" s="3167" t="str">
        <f>项目基本情况!S2</f>
        <v>北京市大兴区永兴路7号院6号楼-101号商业用房房地产</v>
      </c>
      <c r="B2" s="3168"/>
      <c r="C2" s="3168"/>
      <c r="D2" s="3168"/>
      <c r="E2" s="3168"/>
      <c r="F2" s="3168"/>
      <c r="G2" s="3168"/>
      <c r="H2" s="3168"/>
      <c r="I2" s="3169"/>
    </row>
    <row r="3" spans="1:12" ht="12.75">
      <c r="A3" s="3170" t="s">
        <v>2109</v>
      </c>
      <c r="B3" s="3171"/>
      <c r="C3" s="3171"/>
      <c r="D3" s="3171"/>
      <c r="E3" s="3171"/>
      <c r="F3" s="3171"/>
      <c r="G3" s="3171"/>
      <c r="H3" s="3171"/>
      <c r="I3" s="3171"/>
    </row>
    <row r="4" spans="1:12" ht="14.25">
      <c r="A4" s="2426" t="s">
        <v>2110</v>
      </c>
      <c r="B4" s="2427" t="s">
        <v>2111</v>
      </c>
      <c r="C4" s="2428" t="s">
        <v>3306</v>
      </c>
      <c r="D4" s="2428" t="s">
        <v>3308</v>
      </c>
      <c r="E4" s="3151" t="s">
        <v>2112</v>
      </c>
      <c r="F4" s="3164"/>
      <c r="G4" s="3164"/>
      <c r="H4" s="3164"/>
      <c r="I4" s="3152"/>
      <c r="K4" s="2429" t="str">
        <f>IF(ISNUMBER(FIND("比较法",'结果表(车位) '!C4)),"比较法",IF(ISNUMBER(FIND("成本法",'结果表(车位) '!C4)),"成本法",IF(ISNUMBER(FIND("假设开发法",'结果表(车位) '!C4)),"假设开发法",IF(ISNUMBER(FIND("收益法",'结果表(车位) '!C4)),"收益法","基准地价系数修正法"))))</f>
        <v>成本法</v>
      </c>
      <c r="L4" s="2429" t="str">
        <f>IF(ISNUMBER(FIND("比较法",'结果表(车位) '!D4)),"比较法",IF(ISNUMBER(FIND("成本法",'结果表(车位) '!D4)),"成本法",IF(ISNUMBER(FIND("假设开发法",'结果表(车位) '!D4)),"假设开发法",IF(ISNUMBER(FIND("收益法",'结果表(车位) '!D4)),"收益法","基准地价系数修正法"))))</f>
        <v>收益法</v>
      </c>
    </row>
    <row r="5" spans="1:12" ht="12.75">
      <c r="A5" s="3142" t="s">
        <v>2113</v>
      </c>
      <c r="B5" s="3064">
        <v>25</v>
      </c>
      <c r="C5" s="3172"/>
      <c r="D5" s="3160"/>
      <c r="E5" s="140" t="s">
        <v>2114</v>
      </c>
      <c r="F5" s="2430"/>
      <c r="G5" s="2430"/>
      <c r="H5" s="2430"/>
      <c r="I5" s="1833"/>
    </row>
    <row r="6" spans="1:12" ht="12.75">
      <c r="A6" s="3142"/>
      <c r="B6" s="3064"/>
      <c r="C6" s="3174"/>
      <c r="D6" s="3160"/>
      <c r="E6" s="140" t="s">
        <v>2115</v>
      </c>
      <c r="F6" s="2430"/>
      <c r="G6" s="2430"/>
      <c r="H6" s="2430"/>
      <c r="I6" s="1833"/>
    </row>
    <row r="7" spans="1:12" ht="12.75">
      <c r="A7" s="3142"/>
      <c r="B7" s="3064"/>
      <c r="C7" s="3173"/>
      <c r="D7" s="3160"/>
      <c r="E7" s="140" t="s">
        <v>2116</v>
      </c>
      <c r="F7" s="2430"/>
      <c r="G7" s="2430"/>
      <c r="H7" s="2430"/>
      <c r="I7" s="1833"/>
    </row>
    <row r="8" spans="1:12" ht="12.75">
      <c r="A8" s="3142" t="s">
        <v>2117</v>
      </c>
      <c r="B8" s="3064">
        <v>15</v>
      </c>
      <c r="C8" s="3172"/>
      <c r="D8" s="3160"/>
      <c r="E8" s="140" t="s">
        <v>2118</v>
      </c>
      <c r="F8" s="2430"/>
      <c r="G8" s="2430"/>
      <c r="H8" s="2430"/>
      <c r="I8" s="1833"/>
    </row>
    <row r="9" spans="1:12" ht="12.75">
      <c r="A9" s="3142"/>
      <c r="B9" s="3064"/>
      <c r="C9" s="3173"/>
      <c r="D9" s="3160"/>
      <c r="E9" s="140" t="s">
        <v>2119</v>
      </c>
      <c r="F9" s="2430"/>
      <c r="G9" s="2430"/>
      <c r="H9" s="2430"/>
      <c r="I9" s="1833"/>
    </row>
    <row r="10" spans="1:12" ht="12.75">
      <c r="A10" s="3142" t="s">
        <v>2120</v>
      </c>
      <c r="B10" s="3064">
        <v>15</v>
      </c>
      <c r="C10" s="3172"/>
      <c r="D10" s="3160"/>
      <c r="E10" s="140" t="s">
        <v>2121</v>
      </c>
      <c r="F10" s="2430"/>
      <c r="G10" s="2430"/>
      <c r="H10" s="2430"/>
      <c r="I10" s="1833"/>
    </row>
    <row r="11" spans="1:12" ht="12.75">
      <c r="A11" s="3142"/>
      <c r="B11" s="3064"/>
      <c r="C11" s="3173"/>
      <c r="D11" s="3160"/>
      <c r="E11" s="140" t="s">
        <v>2122</v>
      </c>
      <c r="F11" s="2430"/>
      <c r="G11" s="2430"/>
      <c r="H11" s="2430"/>
      <c r="I11" s="1833"/>
    </row>
    <row r="12" spans="1:12" ht="12.75">
      <c r="A12" s="3142" t="s">
        <v>2123</v>
      </c>
      <c r="B12" s="3064">
        <v>15</v>
      </c>
      <c r="C12" s="3172"/>
      <c r="D12" s="3160"/>
      <c r="E12" s="140" t="s">
        <v>2124</v>
      </c>
      <c r="F12" s="2430"/>
      <c r="G12" s="2430"/>
      <c r="H12" s="2430"/>
      <c r="I12" s="1833"/>
    </row>
    <row r="13" spans="1:12" ht="12.75">
      <c r="A13" s="3142"/>
      <c r="B13" s="3064"/>
      <c r="C13" s="3173"/>
      <c r="D13" s="3160"/>
      <c r="E13" s="140" t="s">
        <v>2125</v>
      </c>
      <c r="F13" s="2430"/>
      <c r="G13" s="2430"/>
      <c r="H13" s="2430"/>
      <c r="I13" s="1833"/>
    </row>
    <row r="14" spans="1:12" ht="12.75">
      <c r="A14" s="3142" t="s">
        <v>2126</v>
      </c>
      <c r="B14" s="3064">
        <v>30</v>
      </c>
      <c r="C14" s="3172">
        <v>4</v>
      </c>
      <c r="D14" s="3160">
        <v>6</v>
      </c>
      <c r="E14" s="140" t="s">
        <v>2127</v>
      </c>
      <c r="F14" s="2430"/>
      <c r="G14" s="2430"/>
      <c r="H14" s="2430"/>
      <c r="I14" s="1833"/>
    </row>
    <row r="15" spans="1:12" ht="12.75">
      <c r="A15" s="3142"/>
      <c r="B15" s="3064"/>
      <c r="C15" s="3174"/>
      <c r="D15" s="3160"/>
      <c r="E15" s="140" t="s">
        <v>2128</v>
      </c>
      <c r="F15" s="2430"/>
      <c r="G15" s="2430"/>
      <c r="H15" s="2430"/>
      <c r="I15" s="1833"/>
    </row>
    <row r="16" spans="1:12" ht="12.75">
      <c r="A16" s="3142"/>
      <c r="B16" s="3064"/>
      <c r="C16" s="3173"/>
      <c r="D16" s="3160"/>
      <c r="E16" s="140" t="s">
        <v>2129</v>
      </c>
      <c r="F16" s="2430"/>
      <c r="G16" s="2430"/>
      <c r="H16" s="2430"/>
      <c r="I16" s="1833"/>
    </row>
    <row r="17" spans="1:35" ht="15">
      <c r="A17" s="2431" t="s">
        <v>2130</v>
      </c>
      <c r="B17" s="64"/>
      <c r="C17" s="141">
        <f>SUM(C5:C16)</f>
        <v>4</v>
      </c>
      <c r="D17" s="141">
        <f>SUM(D5:D16)</f>
        <v>6</v>
      </c>
      <c r="E17" s="138"/>
      <c r="F17" s="138"/>
      <c r="G17" s="138"/>
      <c r="H17" s="138"/>
      <c r="I17" s="138"/>
      <c r="K17" s="2429"/>
      <c r="L17" s="2432" t="s">
        <v>2131</v>
      </c>
      <c r="M17" s="2432" t="s">
        <v>2132</v>
      </c>
    </row>
    <row r="18" spans="1:35" ht="15.75" thickBot="1">
      <c r="A18" s="2433" t="s">
        <v>2133</v>
      </c>
      <c r="B18" s="2434"/>
      <c r="C18" s="142">
        <f>ROUND(C17/SUM(C17:D17),2)</f>
        <v>0.4</v>
      </c>
      <c r="D18" s="142">
        <f>1-C18</f>
        <v>0.6</v>
      </c>
      <c r="E18" s="138"/>
      <c r="F18" s="138"/>
      <c r="G18" s="138"/>
      <c r="H18" s="138"/>
      <c r="I18" s="138"/>
      <c r="K18" s="2429" t="s">
        <v>2134</v>
      </c>
      <c r="L18" s="2429">
        <f>IF(C1="",'数据-汇总表'!E3,SUMIF(项目类型,C1,'数据-汇总表'!E17:E26)+SUMIF(项目类型,C1,'数据-汇总表'!I17:I26))</f>
        <v>133.35999999999999</v>
      </c>
      <c r="M18" s="2429">
        <f>IF(C1="",'数据-汇总表'!E3,SUMIF(项目类型,C1,'数据-汇总表'!E17:E26))</f>
        <v>133.35999999999999</v>
      </c>
    </row>
    <row r="19" spans="1:35" ht="15">
      <c r="A19" s="2435" t="s">
        <v>2135</v>
      </c>
      <c r="B19" s="2436" t="s">
        <v>2136</v>
      </c>
      <c r="C19" s="143">
        <f ca="1">SUMIF(INDIRECT("'"&amp;C4&amp;"'"&amp;"!A:A"),'结果表(车位) '!B19,INDIRECT("'"&amp;C4&amp;"'"&amp;"!B:B"))</f>
        <v>63</v>
      </c>
      <c r="D19" s="144">
        <f ca="1">SUMIF(INDIRECT("'"&amp;D4&amp;"'"&amp;"!A:A"),'结果表(车位) '!B19,INDIRECT("'"&amp;D4&amp;"'"&amp;"!B:B"))</f>
        <v>21</v>
      </c>
      <c r="E19" s="2435" t="s">
        <v>2137</v>
      </c>
      <c r="F19" s="2436" t="s">
        <v>2136</v>
      </c>
      <c r="G19" s="145">
        <f ca="1">ROUND(C19*$C$18+D19*$D$18,0)</f>
        <v>38</v>
      </c>
      <c r="H19" s="2437" t="s">
        <v>2138</v>
      </c>
      <c r="I19" s="138"/>
      <c r="K19" s="2429" t="s">
        <v>2139</v>
      </c>
      <c r="L19" s="2429">
        <f>IF(C1="",'数据-汇总表'!D3,SUMIF(项目类型,C1,'数据-汇总表'!D17:D26)+SUMIF(项目类型,C1,'数据-汇总表'!H17:H27))</f>
        <v>32.89</v>
      </c>
      <c r="M19" s="2429">
        <f>IF(C1="",'数据-汇总表'!D3,SUMIF(项目类型,C1,'数据-汇总表'!D17:D26))</f>
        <v>32.89</v>
      </c>
    </row>
    <row r="20" spans="1:35" ht="15">
      <c r="A20" s="2438"/>
      <c r="B20" s="1249" t="s">
        <v>2140</v>
      </c>
      <c r="C20" s="146">
        <f ca="1">SUMIF(INDIRECT("'"&amp;C4&amp;"'"&amp;"!A:A"),'结果表(车位) '!B20,INDIRECT("'"&amp;C4&amp;"'"&amp;"!B:B"))</f>
        <v>4724</v>
      </c>
      <c r="D20" s="147">
        <f ca="1">SUMIF(INDIRECT("'"&amp;D4&amp;"'"&amp;"!A:A"),'结果表(车位) '!B20,INDIRECT("'"&amp;D4&amp;"'"&amp;"!B:B"))</f>
        <v>1569</v>
      </c>
      <c r="E20" s="2438"/>
      <c r="F20" s="1249" t="s">
        <v>2140</v>
      </c>
      <c r="G20" s="148">
        <f ca="1">ROUND(C20*$C$18+D20*$D$18,0)</f>
        <v>2831</v>
      </c>
      <c r="H20" s="982" t="s">
        <v>2141</v>
      </c>
      <c r="I20" s="138"/>
    </row>
    <row r="21" spans="1:35" ht="15" customHeight="1" thickBot="1">
      <c r="A21" s="1002"/>
      <c r="B21" s="2439" t="s">
        <v>2142</v>
      </c>
      <c r="C21" s="789">
        <f ca="1">ROUND(C19*10000/L19,0)</f>
        <v>19155</v>
      </c>
      <c r="D21" s="790">
        <f ca="1">ROUND(D19*10000/L19,0)</f>
        <v>6385</v>
      </c>
      <c r="E21" s="1002"/>
      <c r="F21" s="2439" t="s">
        <v>2142</v>
      </c>
      <c r="G21" s="149">
        <f ca="1">ROUND(G19*10000/L19,0)</f>
        <v>11554</v>
      </c>
      <c r="H21" s="2440" t="s">
        <v>2141</v>
      </c>
      <c r="I21" s="138"/>
    </row>
    <row r="22" spans="1:35" ht="15" thickBot="1">
      <c r="A22" s="2282" t="s">
        <v>2143</v>
      </c>
      <c r="B22" s="2441"/>
      <c r="C22" s="2442"/>
      <c r="D22" s="791">
        <f ca="1">IF(C19&lt;D19,D19/C19-1,C19/D19-1)</f>
        <v>2</v>
      </c>
      <c r="E22" s="138"/>
      <c r="F22" s="138"/>
      <c r="G22" s="138"/>
      <c r="H22" s="138"/>
      <c r="I22" s="138"/>
    </row>
    <row r="23" spans="1:35" ht="13.5" thickBot="1">
      <c r="A23" s="2419"/>
      <c r="B23" s="2419"/>
      <c r="C23" s="2419"/>
      <c r="D23" s="2419"/>
      <c r="E23" s="138"/>
      <c r="F23" s="138"/>
      <c r="G23" s="138"/>
      <c r="H23" s="138"/>
      <c r="I23" s="138"/>
    </row>
    <row r="24" spans="1:35" ht="14.25">
      <c r="A24" s="3181" t="s">
        <v>2144</v>
      </c>
      <c r="B24" s="2436" t="s">
        <v>2136</v>
      </c>
      <c r="C24" s="145">
        <f>IF(B30=0,0,D30)</f>
        <v>0</v>
      </c>
      <c r="D24" s="2443"/>
      <c r="E24" s="138"/>
      <c r="F24" s="138"/>
      <c r="G24" s="138"/>
      <c r="H24" s="138"/>
      <c r="I24" s="138"/>
    </row>
    <row r="25" spans="1:35" ht="14.25">
      <c r="A25" s="3182"/>
      <c r="B25" s="1249"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38</v>
      </c>
      <c r="D32" s="2450" t="s">
        <v>2151</v>
      </c>
      <c r="E32" s="138"/>
      <c r="F32" s="138"/>
      <c r="G32" s="138"/>
      <c r="H32" s="138"/>
      <c r="I32" s="138"/>
    </row>
    <row r="33" spans="1:15" ht="15">
      <c r="A33" s="959" t="s">
        <v>2152</v>
      </c>
      <c r="B33" s="2451"/>
      <c r="C33" s="2452" t="s">
        <v>3284</v>
      </c>
      <c r="D33" s="2453" t="s">
        <v>3306</v>
      </c>
      <c r="E33" s="2454" t="s">
        <v>2153</v>
      </c>
      <c r="F33" s="2946" t="str">
        <f>IF(D32="楼面单价","取值（单价）","取值（总价）")</f>
        <v>取值（总价）</v>
      </c>
      <c r="G33" s="138"/>
      <c r="H33" s="138"/>
      <c r="I33" s="138"/>
    </row>
    <row r="34" spans="1:15" ht="15">
      <c r="A34" s="2456"/>
      <c r="B34" s="2457" t="s">
        <v>2154</v>
      </c>
      <c r="C34" s="157">
        <f ca="1">IF(C33="自定义",F34,C32-C35)</f>
        <v>14</v>
      </c>
      <c r="D34" s="1057">
        <f ca="1">IF(C33="自定义",ROUND(C34/C32,3),IF(C33="收益比率",SUMIF(INDIRECT("'"&amp;D33&amp;"'"&amp;"!b:b"),"土地收益比率",INDIRECT("'"&amp;D33&amp;"'"&amp;"!c:c")),SUMIF(INDIRECT("'"&amp;D33&amp;"'"&amp;"!b:b"),"土地成本比率",INDIRECT("'"&amp;D33&amp;"'"&amp;"!c:c"))))</f>
        <v>0.376</v>
      </c>
      <c r="E34" s="2458" t="s">
        <v>2155</v>
      </c>
      <c r="F34" s="1738"/>
      <c r="G34" s="138"/>
      <c r="H34" s="138"/>
      <c r="I34" s="138"/>
    </row>
    <row r="35" spans="1:15" ht="15.75" thickBot="1">
      <c r="A35" s="2459"/>
      <c r="B35" s="2460" t="s">
        <v>2156</v>
      </c>
      <c r="C35" s="1443">
        <f ca="1">IF(C33="自定义",F35,ROUND(C32*D35,0))</f>
        <v>24</v>
      </c>
      <c r="D35" s="1444">
        <f ca="1">IF(C33="自定义",ROUND(C35/C32,3),IF(C33="收益比率",SUMIF(INDIRECT("'"&amp;D33&amp;"'"&amp;"!b:b"),"建筑物收益比率",INDIRECT("'"&amp;D33&amp;"'"&amp;"!c:c")),SUMIF(INDIRECT("'"&amp;D33&amp;"'"&amp;"!b:b"),"建筑物成本比率",INDIRECT("'"&amp;D33&amp;"'"&amp;"!c:c"))))</f>
        <v>0.624</v>
      </c>
      <c r="E35" s="2461" t="s">
        <v>2157</v>
      </c>
      <c r="F35" s="163"/>
      <c r="G35" s="138"/>
      <c r="H35" s="138"/>
      <c r="I35" s="138"/>
    </row>
    <row r="36" spans="1:15" ht="15.75" thickBot="1">
      <c r="A36" s="3161" t="s">
        <v>2158</v>
      </c>
      <c r="B36" s="2462" t="s">
        <v>2159</v>
      </c>
      <c r="C36" s="154"/>
      <c r="D36" s="2463"/>
      <c r="E36" s="2464"/>
      <c r="F36" s="2465"/>
      <c r="G36" s="138"/>
      <c r="H36" s="138"/>
      <c r="I36" s="138"/>
    </row>
    <row r="37" spans="1:15" ht="15.75" thickBot="1">
      <c r="A37" s="3162"/>
      <c r="B37" s="2268" t="s">
        <v>2160</v>
      </c>
      <c r="C37" s="156"/>
      <c r="D37" s="1394"/>
      <c r="E37" s="1394"/>
      <c r="F37" s="2465"/>
      <c r="G37" s="138"/>
      <c r="H37" s="138"/>
      <c r="I37" s="138"/>
    </row>
    <row r="38" spans="1:15" ht="15.75" thickBot="1">
      <c r="A38" s="3163"/>
      <c r="B38" s="2466" t="s">
        <v>2161</v>
      </c>
      <c r="C38" s="727"/>
      <c r="D38" s="2467" t="s">
        <v>2162</v>
      </c>
      <c r="E38" s="1394"/>
      <c r="F38" s="2465"/>
      <c r="G38" s="138"/>
      <c r="H38" s="138"/>
      <c r="I38" s="138"/>
    </row>
    <row r="39" spans="1:15" ht="15">
      <c r="A39" s="2438" t="s">
        <v>2163</v>
      </c>
      <c r="B39" s="2468" t="s">
        <v>2146</v>
      </c>
      <c r="C39" s="2469" t="s">
        <v>2147</v>
      </c>
      <c r="D39" s="2469" t="s">
        <v>2166</v>
      </c>
      <c r="E39" s="2470" t="s">
        <v>2148</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78" t="s">
        <v>2172</v>
      </c>
      <c r="B45" s="3179"/>
      <c r="C45" s="3180"/>
      <c r="D45" s="164">
        <f ca="1">ROUND(H101*F45,0)</f>
        <v>38</v>
      </c>
      <c r="E45" s="165" t="s">
        <v>2173</v>
      </c>
      <c r="F45" s="166">
        <v>1</v>
      </c>
      <c r="G45" s="167" t="s">
        <v>2174</v>
      </c>
      <c r="H45" s="138"/>
      <c r="I45" s="138"/>
      <c r="J45" s="3097" t="s">
        <v>2175</v>
      </c>
      <c r="K45" s="3097"/>
      <c r="L45" s="3097"/>
      <c r="M45" s="3097"/>
      <c r="N45" s="3097"/>
      <c r="O45" s="3097"/>
    </row>
    <row r="46" spans="1:15" ht="14.25" customHeight="1">
      <c r="A46" s="3175" t="s">
        <v>2176</v>
      </c>
      <c r="B46" s="3176"/>
      <c r="C46" s="3176"/>
      <c r="D46" s="3176"/>
      <c r="E46" s="3176"/>
      <c r="F46" s="3176"/>
      <c r="G46" s="3177"/>
      <c r="H46" s="2481"/>
      <c r="I46" s="168"/>
      <c r="J46" s="2958">
        <v>1</v>
      </c>
      <c r="K46" s="3097" t="s">
        <v>2177</v>
      </c>
      <c r="L46" s="3097"/>
      <c r="M46" s="3098"/>
      <c r="N46" s="3098"/>
      <c r="O46" s="3098"/>
    </row>
    <row r="47" spans="1:15" ht="12" customHeight="1">
      <c r="A47" s="169" t="s">
        <v>2178</v>
      </c>
      <c r="B47" s="170"/>
      <c r="C47" s="171"/>
      <c r="D47" s="172" t="s">
        <v>2179</v>
      </c>
      <c r="E47" s="24" t="s">
        <v>2180</v>
      </c>
      <c r="F47" s="173" t="s">
        <v>2181</v>
      </c>
      <c r="G47" s="174" t="s">
        <v>2182</v>
      </c>
      <c r="H47" s="2481"/>
      <c r="I47" s="168"/>
      <c r="J47" s="2958">
        <v>2</v>
      </c>
      <c r="K47" s="3097" t="s">
        <v>2183</v>
      </c>
      <c r="L47" s="3097"/>
      <c r="M47" s="3099">
        <f>'数据-取费表'!B2</f>
        <v>43437</v>
      </c>
      <c r="N47" s="3099"/>
      <c r="O47" s="3099"/>
    </row>
    <row r="48" spans="1:15" ht="25.5">
      <c r="A48" s="3165" t="s">
        <v>2184</v>
      </c>
      <c r="B48" s="3166"/>
      <c r="C48" s="3166"/>
      <c r="D48" s="140">
        <f>IF(H48="情况1",0,IF(H48="情况2",D52,IF(H48="情况3",D53,IF(H48="情况4",D54))))</f>
        <v>0</v>
      </c>
      <c r="E48" s="2950" t="str">
        <f>IF(H48="情况4","(销售额-原购置价)×税（费）率","销售额×税（费）率")</f>
        <v>销售额×税（费）率</v>
      </c>
      <c r="F48" s="175" t="str">
        <f>IF(H48="情况1","免征",'数据-取费表'!B41)</f>
        <v>免征</v>
      </c>
      <c r="G48" s="2482" t="s">
        <v>2185</v>
      </c>
      <c r="H48" s="2483" t="s">
        <v>2186</v>
      </c>
      <c r="I48" s="2481"/>
      <c r="J48" s="2958">
        <v>3</v>
      </c>
      <c r="K48" s="3097" t="s">
        <v>2187</v>
      </c>
      <c r="L48" s="3097"/>
      <c r="M48" s="3100">
        <f ca="1">H101</f>
        <v>38</v>
      </c>
      <c r="N48" s="3100"/>
      <c r="O48" s="3100"/>
    </row>
    <row r="49" spans="1:35" ht="25.5" customHeight="1">
      <c r="A49" s="176" t="s">
        <v>2188</v>
      </c>
      <c r="B49" s="3145" t="s">
        <v>2189</v>
      </c>
      <c r="C49" s="3145"/>
      <c r="D49" s="177">
        <v>0</v>
      </c>
      <c r="E49" s="23" t="s">
        <v>2190</v>
      </c>
      <c r="F49" s="28" t="s">
        <v>34</v>
      </c>
      <c r="G49" s="3126"/>
      <c r="H49" s="138"/>
      <c r="I49" s="2484"/>
      <c r="J49" s="2958">
        <v>4</v>
      </c>
      <c r="K49" s="3097" t="str">
        <f>IF(项目基本情况!E8="房地产抵押价值","房地产抵押价值","抵押担保权已注销时的房地产抵押价值")</f>
        <v>抵押担保权已注销时的房地产抵押价值</v>
      </c>
      <c r="L49" s="3097"/>
      <c r="M49" s="3100" t="str">
        <f>IF(项目基本情况!E8="房地产抵押价值",H107,H109)</f>
        <v>——</v>
      </c>
      <c r="N49" s="3100"/>
      <c r="O49" s="3100"/>
    </row>
    <row r="50" spans="1:35" ht="25.5" customHeight="1">
      <c r="A50" s="178"/>
      <c r="B50" s="3145" t="s">
        <v>2191</v>
      </c>
      <c r="C50" s="3145"/>
      <c r="D50" s="179"/>
      <c r="E50" s="31"/>
      <c r="F50" s="180"/>
      <c r="G50" s="3127"/>
      <c r="H50" s="138"/>
      <c r="I50" s="2484"/>
      <c r="J50" s="3097" t="s">
        <v>2192</v>
      </c>
      <c r="K50" s="3097"/>
      <c r="L50" s="3097"/>
      <c r="M50" s="3097"/>
      <c r="N50" s="3097"/>
      <c r="O50" s="3097"/>
    </row>
    <row r="51" spans="1:35" ht="12" customHeight="1">
      <c r="A51" s="181"/>
      <c r="B51" s="3145" t="s">
        <v>2193</v>
      </c>
      <c r="C51" s="3145"/>
      <c r="D51" s="182"/>
      <c r="E51" s="30"/>
      <c r="F51" s="180"/>
      <c r="G51" s="3128"/>
      <c r="H51" s="138"/>
      <c r="I51" s="2484"/>
      <c r="J51" s="2957" t="s">
        <v>2194</v>
      </c>
      <c r="K51" s="3097" t="s">
        <v>2195</v>
      </c>
      <c r="L51" s="3097"/>
      <c r="M51" s="2957" t="s">
        <v>2196</v>
      </c>
      <c r="N51" s="2957" t="s">
        <v>2197</v>
      </c>
      <c r="O51" s="2957" t="s">
        <v>2198</v>
      </c>
    </row>
    <row r="52" spans="1:35" ht="24" customHeight="1">
      <c r="A52" s="183" t="s">
        <v>2199</v>
      </c>
      <c r="B52" s="3145" t="s">
        <v>2200</v>
      </c>
      <c r="C52" s="3145"/>
      <c r="D52" s="182">
        <f ca="1">ROUND(D45*'数据-取费表'!B41/(1+'数据-取费表'!C42),0)</f>
        <v>2</v>
      </c>
      <c r="E52" s="11" t="s">
        <v>2201</v>
      </c>
      <c r="F52" s="184">
        <f>'数据-取费表'!B41</f>
        <v>5.5000000000000007E-2</v>
      </c>
      <c r="G52" s="2486"/>
      <c r="H52" s="138"/>
      <c r="I52" s="2484"/>
      <c r="J52" s="2958">
        <v>1</v>
      </c>
      <c r="K52" s="3120" t="s">
        <v>2202</v>
      </c>
      <c r="L52" s="3120"/>
      <c r="M52" s="1753">
        <f>D48</f>
        <v>0</v>
      </c>
      <c r="N52" s="2958" t="str">
        <f>E48</f>
        <v>销售额×税（费）率</v>
      </c>
      <c r="O52" s="1754" t="str">
        <f>F48</f>
        <v>免征</v>
      </c>
    </row>
    <row r="53" spans="1:35" ht="12" customHeight="1">
      <c r="A53" s="183" t="s">
        <v>2203</v>
      </c>
      <c r="B53" s="3146" t="s">
        <v>2204</v>
      </c>
      <c r="C53" s="3147"/>
      <c r="D53" s="182">
        <f ca="1">ROUND(D45*'数据-取费表'!B41/(1+'数据-取费表'!C42),0)</f>
        <v>2</v>
      </c>
      <c r="E53" s="11" t="s">
        <v>2201</v>
      </c>
      <c r="F53" s="184">
        <f>'数据-取费表'!B41</f>
        <v>5.5000000000000007E-2</v>
      </c>
      <c r="G53" s="2486"/>
      <c r="H53" s="138"/>
      <c r="I53" s="2484"/>
      <c r="J53" s="2958">
        <v>2</v>
      </c>
      <c r="K53" s="3120" t="s">
        <v>2205</v>
      </c>
      <c r="L53" s="3120"/>
      <c r="M53" s="1753">
        <f t="shared" ref="M53:O54" ca="1" si="0">D55</f>
        <v>0</v>
      </c>
      <c r="N53" s="2958" t="str">
        <f t="shared" si="0"/>
        <v>销售额×税（费）率</v>
      </c>
      <c r="O53" s="1754">
        <f t="shared" si="0"/>
        <v>5.0000000000000001E-4</v>
      </c>
    </row>
    <row r="54" spans="1:35" ht="12" customHeight="1">
      <c r="A54" s="183" t="s">
        <v>2206</v>
      </c>
      <c r="B54" s="3146" t="s">
        <v>2207</v>
      </c>
      <c r="C54" s="3147"/>
      <c r="D54" s="182">
        <f ca="1">C68</f>
        <v>2</v>
      </c>
      <c r="E54" s="30" t="s">
        <v>2208</v>
      </c>
      <c r="F54" s="184">
        <f>'数据-取费表'!B41</f>
        <v>5.5000000000000007E-2</v>
      </c>
      <c r="G54" s="2486"/>
      <c r="H54" s="2487"/>
      <c r="I54" s="2484"/>
      <c r="J54" s="2958">
        <v>3</v>
      </c>
      <c r="K54" s="3120" t="s">
        <v>2209</v>
      </c>
      <c r="L54" s="3120"/>
      <c r="M54" s="1753" t="e">
        <f t="shared" ca="1" si="0"/>
        <v>#DIV/0!</v>
      </c>
      <c r="N54" s="2958" t="str">
        <f t="shared" si="0"/>
        <v>增值额×税（费）率</v>
      </c>
      <c r="O54" s="1755" t="str">
        <f t="shared" si="0"/>
        <v>——</v>
      </c>
    </row>
    <row r="55" spans="1:35" ht="24" customHeight="1">
      <c r="A55" s="3184" t="s">
        <v>2210</v>
      </c>
      <c r="B55" s="3166"/>
      <c r="C55" s="3166"/>
      <c r="D55" s="185">
        <f ca="1">IF(H55="个人住宅",0,ROUND(D45*I55,0))</f>
        <v>0</v>
      </c>
      <c r="E55" s="11" t="s">
        <v>2211</v>
      </c>
      <c r="F55" s="184">
        <f>IF(H55="正常",I55,"免征")</f>
        <v>5.0000000000000001E-4</v>
      </c>
      <c r="G55" s="2486"/>
      <c r="H55" s="2483" t="s">
        <v>2212</v>
      </c>
      <c r="I55" s="186">
        <f>'数据-取费表'!B49</f>
        <v>5.0000000000000001E-4</v>
      </c>
      <c r="J55" s="2958" t="str">
        <f>IF(H59="非个人房产","",4)</f>
        <v/>
      </c>
      <c r="K55" s="3120" t="str">
        <f>IF(H59="非个人房产","——","个人所得税")</f>
        <v>——</v>
      </c>
      <c r="L55" s="3120"/>
      <c r="M55" s="1756" t="str">
        <f>D59</f>
        <v>——</v>
      </c>
      <c r="N55" s="2959" t="str">
        <f>E59</f>
        <v>——</v>
      </c>
      <c r="O55" s="1757" t="str">
        <f>F59</f>
        <v>——</v>
      </c>
    </row>
    <row r="56" spans="1:35" ht="24.75">
      <c r="A56" s="3184" t="s">
        <v>2213</v>
      </c>
      <c r="B56" s="3166"/>
      <c r="C56" s="3166"/>
      <c r="D56" s="185" t="e">
        <f ca="1">IF(H56="个人住宅",D57,D58)</f>
        <v>#DIV/0!</v>
      </c>
      <c r="E56" s="11" t="s">
        <v>2214</v>
      </c>
      <c r="F56" s="184" t="str">
        <f>IF(H56="正常",F58,"免征")</f>
        <v>——</v>
      </c>
      <c r="G56" s="2488" t="s">
        <v>2215</v>
      </c>
      <c r="H56" s="2489" t="s">
        <v>2212</v>
      </c>
      <c r="I56" s="2490"/>
      <c r="J56" s="2958" t="str">
        <f>IF(项目基本情况!K6="上海银行",IF(J55="",4,J55+1),"")</f>
        <v/>
      </c>
      <c r="K56" s="3103" t="str">
        <f>IF(项目基本情况!K6="上海银行","其他处置费用","")</f>
        <v/>
      </c>
      <c r="L56" s="3104"/>
      <c r="M56" s="1753" t="str">
        <f>IF(项目基本情况!K6="上海银行",M69,"")</f>
        <v/>
      </c>
      <c r="N56" s="3106" t="str">
        <f>IF(项目基本情况!K6="上海银行","包含处置中涉及的律师、诉讼、拍卖、评估等费用","")</f>
        <v/>
      </c>
      <c r="O56" s="3107"/>
    </row>
    <row r="57" spans="1:35" ht="12.75">
      <c r="A57" s="183" t="s">
        <v>2188</v>
      </c>
      <c r="B57" s="3151" t="s">
        <v>2216</v>
      </c>
      <c r="C57" s="3152"/>
      <c r="D57" s="187">
        <v>0</v>
      </c>
      <c r="E57" s="23" t="s">
        <v>2190</v>
      </c>
      <c r="F57" s="155"/>
      <c r="G57" s="2486"/>
      <c r="H57" s="2490"/>
      <c r="I57" s="2490"/>
      <c r="J57" s="3120">
        <f>IF(AND(J55="",J56=""),4,IF(项目基本情况!K6="上海银行",'结果表(车位) '!J56+1,'结果表(车位) '!J55+1))</f>
        <v>4</v>
      </c>
      <c r="K57" s="3120" t="s">
        <v>2217</v>
      </c>
      <c r="L57" s="2491" t="s">
        <v>2218</v>
      </c>
      <c r="M57" s="1758"/>
      <c r="N57" s="1759">
        <f ca="1">SUMIF(M52:M56,"&lt;9e307")</f>
        <v>0</v>
      </c>
      <c r="O57" s="2492"/>
      <c r="P57" s="1752" t="e">
        <f ca="1">N57/M49</f>
        <v>#VALUE!</v>
      </c>
    </row>
    <row r="58" spans="1:35" ht="24.75">
      <c r="A58" s="183" t="s">
        <v>2199</v>
      </c>
      <c r="B58" s="3151" t="s">
        <v>2219</v>
      </c>
      <c r="C58" s="3164"/>
      <c r="D58" s="185" t="e">
        <f ca="1">IF(H58="转让取得",C81,C97)</f>
        <v>#DIV/0!</v>
      </c>
      <c r="E58" s="11" t="s">
        <v>2214</v>
      </c>
      <c r="F58" s="24" t="s">
        <v>34</v>
      </c>
      <c r="G58" s="2486"/>
      <c r="H58" s="2489" t="s">
        <v>2220</v>
      </c>
      <c r="I58" s="2490"/>
      <c r="J58" s="3120"/>
      <c r="K58" s="3120"/>
      <c r="L58" s="2491" t="s">
        <v>2221</v>
      </c>
      <c r="M58" s="1760"/>
      <c r="N58" s="2493" t="str">
        <f ca="1">NUMBERSTRING(INT(N57*10000),2)&amp;"元整"</f>
        <v>零元整</v>
      </c>
      <c r="O58" s="2494"/>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22">
        <f>J57+1</f>
        <v>5</v>
      </c>
      <c r="K59" s="3120" t="s">
        <v>2224</v>
      </c>
      <c r="L59" s="2958" t="s">
        <v>2218</v>
      </c>
      <c r="M59" s="1761"/>
      <c r="N59" s="1762" t="e">
        <f ca="1">M49-N57</f>
        <v>#VALUE!</v>
      </c>
      <c r="O59" s="2496"/>
    </row>
    <row r="60" spans="1:35" ht="12" customHeight="1">
      <c r="A60" s="2497"/>
      <c r="B60" s="2419"/>
      <c r="C60" s="2419"/>
      <c r="D60" s="2419"/>
      <c r="E60" s="2168"/>
      <c r="F60" s="2490"/>
      <c r="G60" s="2490"/>
      <c r="H60" s="2498"/>
      <c r="I60" s="138"/>
      <c r="J60" s="3123"/>
      <c r="K60" s="3120"/>
      <c r="L60" s="2491" t="s">
        <v>2221</v>
      </c>
      <c r="M60" s="1760"/>
      <c r="N60" s="2493" t="e">
        <f ca="1">NUMBERSTRING(INT(N59*10000),2)&amp;"元整"</f>
        <v>#VALUE!</v>
      </c>
      <c r="O60" s="2494"/>
    </row>
    <row r="61" spans="1:35" ht="13.5" thickBot="1">
      <c r="A61" s="3183" t="s">
        <v>2225</v>
      </c>
      <c r="B61" s="3183"/>
      <c r="C61" s="3183"/>
      <c r="D61" s="3183"/>
      <c r="E61" s="3183"/>
      <c r="F61" s="2490"/>
      <c r="G61" s="2490"/>
      <c r="H61" s="2498"/>
      <c r="I61" s="138"/>
      <c r="J61" s="2958">
        <f>J59+1</f>
        <v>6</v>
      </c>
      <c r="K61" s="3120" t="s">
        <v>2226</v>
      </c>
      <c r="L61" s="3120"/>
      <c r="M61" s="1763"/>
      <c r="N61" s="1764" t="e">
        <f ca="1">ROUND(N59*10000/'数据-汇总表'!E3,0)</f>
        <v>#VALUE!</v>
      </c>
      <c r="O61" s="2499"/>
    </row>
    <row r="62" spans="1:35" ht="12.75">
      <c r="A62" s="3140" t="s">
        <v>2227</v>
      </c>
      <c r="B62" s="3141"/>
      <c r="C62" s="2953"/>
      <c r="D62" s="2953" t="s">
        <v>2228</v>
      </c>
      <c r="E62" s="192" t="s">
        <v>2229</v>
      </c>
      <c r="F62" s="2490"/>
      <c r="G62" s="2490"/>
      <c r="H62" s="2498"/>
      <c r="I62" s="138"/>
    </row>
    <row r="63" spans="1:35" ht="12.75">
      <c r="A63" s="203" t="s">
        <v>775</v>
      </c>
      <c r="B63" s="193" t="s">
        <v>2230</v>
      </c>
      <c r="C63" s="194">
        <f ca="1">ROUND((C64+C65)/(1+'数据-取费表'!C42),0)</f>
        <v>36</v>
      </c>
      <c r="D63" s="195"/>
      <c r="E63" s="196"/>
      <c r="F63" s="2490"/>
      <c r="G63" s="2490"/>
      <c r="H63" s="2498"/>
      <c r="I63" s="138"/>
      <c r="J63" s="3105" t="s">
        <v>2231</v>
      </c>
      <c r="K63" s="2963" t="s">
        <v>2232</v>
      </c>
      <c r="L63" s="1751" t="e">
        <f>IF(M49&gt;10000,M49*0.5%,IF(AND(M49&gt;1000,M49&lt;=10000),M49*1%,IF(AND(M49&gt;100,M49&lt;=1000),M49*3%,IF(AND(M49&gt;10,M49&lt;=100),M49*5%,M49*8%))))</f>
        <v>#VALUE!</v>
      </c>
      <c r="M63" s="24" t="e">
        <f>ROUND(L63,1)</f>
        <v>#VALUE!</v>
      </c>
      <c r="Z63" s="2424"/>
      <c r="AI63" s="2425"/>
    </row>
    <row r="64" spans="1:35" ht="14.25" customHeight="1">
      <c r="A64" s="197" t="s">
        <v>770</v>
      </c>
      <c r="B64" s="198" t="s">
        <v>2233</v>
      </c>
      <c r="C64" s="199">
        <f ca="1">D45</f>
        <v>38</v>
      </c>
      <c r="D64" s="200" t="s">
        <v>32</v>
      </c>
      <c r="E64" s="201"/>
      <c r="F64" s="2490"/>
      <c r="G64" s="2490"/>
      <c r="H64" s="2498"/>
      <c r="I64" s="138"/>
      <c r="J64" s="3105"/>
      <c r="K64" s="2963" t="s">
        <v>2234</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4"/>
      <c r="AI64" s="2425"/>
    </row>
    <row r="65" spans="1:35" ht="14.25" customHeight="1">
      <c r="A65" s="197" t="s">
        <v>771</v>
      </c>
      <c r="B65" s="198" t="s">
        <v>2236</v>
      </c>
      <c r="C65" s="202"/>
      <c r="D65" s="200"/>
      <c r="E65" s="201"/>
      <c r="F65" s="2490"/>
      <c r="G65" s="2490"/>
      <c r="H65" s="2498"/>
      <c r="I65" s="138"/>
      <c r="J65" s="3105"/>
      <c r="K65" s="2963" t="s">
        <v>2237</v>
      </c>
      <c r="L65" s="1751" t="e">
        <f>IF(M49&gt;1000,M49*0.1%,IF(AND(M49&gt;500,M49&lt;=1000),M49*0.5%,IF(AND(M49&gt;50,M49&lt;=500),M49*1%,IF(AND(M49&gt;1,M49&lt;=50),M49*1.5%))))</f>
        <v>#VALUE!</v>
      </c>
      <c r="M65" s="24" t="e">
        <f t="shared" si="1"/>
        <v>#VALUE!</v>
      </c>
      <c r="N65" s="138" t="s">
        <v>2235</v>
      </c>
      <c r="Z65" s="2424"/>
      <c r="AI65" s="2425"/>
    </row>
    <row r="66" spans="1:35" ht="14.25" customHeight="1">
      <c r="A66" s="203" t="s">
        <v>772</v>
      </c>
      <c r="B66" s="204" t="s">
        <v>2238</v>
      </c>
      <c r="C66" s="205"/>
      <c r="D66" s="206" t="s">
        <v>32</v>
      </c>
      <c r="E66" s="1775" t="s">
        <v>1367</v>
      </c>
      <c r="F66" s="2490"/>
      <c r="G66" s="2490"/>
      <c r="H66" s="2498"/>
      <c r="I66" s="138"/>
      <c r="J66" s="3105"/>
      <c r="K66" s="2963" t="s">
        <v>2239</v>
      </c>
      <c r="L66" s="1751" t="e">
        <f>M49*0.5%</f>
        <v>#VALUE!</v>
      </c>
      <c r="M66" s="24" t="e">
        <f>IF(L66&gt;0.5,0.5,ROUND(L66,0))</f>
        <v>#VALUE!</v>
      </c>
      <c r="N66" s="138" t="s">
        <v>2240</v>
      </c>
      <c r="Z66" s="2424"/>
      <c r="AI66" s="2425"/>
    </row>
    <row r="67" spans="1:35" ht="14.25" customHeight="1">
      <c r="A67" s="203" t="s">
        <v>773</v>
      </c>
      <c r="B67" s="204" t="s">
        <v>2241</v>
      </c>
      <c r="C67" s="207">
        <f ca="1">C63-C66</f>
        <v>36</v>
      </c>
      <c r="D67" s="200" t="s">
        <v>32</v>
      </c>
      <c r="E67" s="201"/>
      <c r="F67" s="2490"/>
      <c r="G67" s="2490"/>
      <c r="H67" s="2498"/>
      <c r="I67" s="138"/>
      <c r="J67" s="3105"/>
      <c r="K67" s="2963" t="s">
        <v>2242</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2243</v>
      </c>
      <c r="C68" s="210">
        <f ca="1">IF(C67&lt;=0,0,ROUND(C67*D68,0))</f>
        <v>2</v>
      </c>
      <c r="D68" s="211">
        <f>'数据-取费表'!B41</f>
        <v>5.5000000000000007E-2</v>
      </c>
      <c r="E68" s="212"/>
      <c r="F68" s="2490"/>
      <c r="G68" s="2490"/>
      <c r="H68" s="2498"/>
      <c r="I68" s="138"/>
      <c r="J68" s="3105"/>
      <c r="K68" s="2963" t="s">
        <v>2244</v>
      </c>
      <c r="L68" s="1751"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105"/>
      <c r="K69" s="2963" t="s">
        <v>2245</v>
      </c>
      <c r="L69" s="2506"/>
      <c r="M69" s="24" t="e">
        <f>ROUND(SUM(M63:M68),0)</f>
        <v>#VALUE!</v>
      </c>
      <c r="N69" s="1752"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9" t="s">
        <v>2246</v>
      </c>
      <c r="B70" s="3150"/>
      <c r="C70" s="3150"/>
      <c r="D70" s="3150"/>
      <c r="E70" s="3150"/>
      <c r="F70" s="3150"/>
      <c r="G70" s="3150"/>
      <c r="H70" s="315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0" t="s">
        <v>2227</v>
      </c>
      <c r="B71" s="3141"/>
      <c r="C71" s="2953"/>
      <c r="D71" s="2953"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36</v>
      </c>
      <c r="D72" s="200" t="s">
        <v>32</v>
      </c>
      <c r="E72" s="2952"/>
      <c r="F72" s="2947"/>
      <c r="G72" s="294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0</v>
      </c>
      <c r="D73" s="200" t="s">
        <v>32</v>
      </c>
      <c r="E73" s="2952"/>
      <c r="F73" s="2947"/>
      <c r="G73" s="294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2952"/>
      <c r="F74" s="2947"/>
      <c r="G74" s="294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46" t="s">
        <v>2255</v>
      </c>
      <c r="F76" s="3145"/>
      <c r="G76" s="3145"/>
      <c r="H76" s="314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2964" t="s">
        <v>2257</v>
      </c>
      <c r="F77" s="224"/>
      <c r="G77" s="2514" t="s">
        <v>2258</v>
      </c>
      <c r="H77" s="295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0</v>
      </c>
      <c r="D78" s="226">
        <f>'数据-取费表'!B43</f>
        <v>5.000000000000001E-3</v>
      </c>
      <c r="E78" s="3137" t="s">
        <v>2260</v>
      </c>
      <c r="F78" s="3138"/>
      <c r="G78" s="3138"/>
      <c r="H78" s="313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2261</v>
      </c>
      <c r="C79" s="207">
        <f ca="1">C72-C73</f>
        <v>36</v>
      </c>
      <c r="D79" s="200" t="s">
        <v>32</v>
      </c>
      <c r="E79" s="2952"/>
      <c r="F79" s="2947"/>
      <c r="G79" s="294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t="e">
        <f ca="1">IF(C79&lt;=0,0,C79/C73)</f>
        <v>#DIV/0!</v>
      </c>
      <c r="D80" s="200" t="s">
        <v>32</v>
      </c>
      <c r="E80" s="2964" t="e">
        <f ca="1">IF(C80&gt;=200%,"增值额超过扣除项目金额200%",IF(C80&gt;=100%,"增值额超过扣除项目金额100%，未超过200%",IF(C80&gt;=50%,"增值额超过扣除项目金额50%，未超过100%",IF(C80&lt;50%,"增值额未超过扣除项目金额50%"))))</f>
        <v>#DIV/0!</v>
      </c>
      <c r="F80" s="2947"/>
      <c r="G80" s="294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9" t="s">
        <v>2264</v>
      </c>
      <c r="B83" s="3150"/>
      <c r="C83" s="3150"/>
      <c r="D83" s="3150"/>
      <c r="E83" s="3150"/>
      <c r="F83" s="3150"/>
      <c r="G83" s="3150"/>
      <c r="H83" s="315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0" t="s">
        <v>2227</v>
      </c>
      <c r="B84" s="3141"/>
      <c r="C84" s="2953"/>
      <c r="D84" s="2953"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36</v>
      </c>
      <c r="D85" s="200" t="s">
        <v>32</v>
      </c>
      <c r="E85" s="2952"/>
      <c r="F85" s="2947"/>
      <c r="G85" s="294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0</v>
      </c>
      <c r="D86" s="235"/>
      <c r="E86" s="2952"/>
      <c r="F86" s="2947"/>
      <c r="G86" s="294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2948"/>
      <c r="F87" s="2949"/>
      <c r="G87" s="2949"/>
      <c r="H87" s="295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2949"/>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2949"/>
      <c r="G89" s="2949"/>
      <c r="H89" s="295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2949"/>
      <c r="G90" s="2949"/>
      <c r="H90" s="295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IF(H91="——",'成本法（商业）'!C33,I91)</f>
        <v>0</v>
      </c>
      <c r="D91" s="226"/>
      <c r="E91" s="3137" t="s">
        <v>2273</v>
      </c>
      <c r="F91" s="3138"/>
      <c r="G91" s="3138"/>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37" t="s">
        <v>2277</v>
      </c>
      <c r="F92" s="3138"/>
      <c r="G92" s="3138"/>
      <c r="H92" s="313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0</v>
      </c>
      <c r="D93" s="226">
        <f>'数据-取费表'!B43</f>
        <v>5.000000000000001E-3</v>
      </c>
      <c r="E93" s="3137" t="s">
        <v>2260</v>
      </c>
      <c r="F93" s="3138"/>
      <c r="G93" s="3138"/>
      <c r="H93" s="313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185" t="s">
        <v>2281</v>
      </c>
      <c r="F94" s="3186"/>
      <c r="G94" s="3186"/>
      <c r="H94" s="318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2261</v>
      </c>
      <c r="C95" s="207">
        <f ca="1">ROUND(C85-C86,0)</f>
        <v>36</v>
      </c>
      <c r="D95" s="200" t="s">
        <v>32</v>
      </c>
      <c r="E95" s="2952"/>
      <c r="F95" s="2947"/>
      <c r="G95" s="294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t="e">
        <f ca="1">IF(C95&lt;=0,0,C95/C86)</f>
        <v>#DIV/0!</v>
      </c>
      <c r="D96" s="200" t="s">
        <v>32</v>
      </c>
      <c r="E96" s="2964" t="e">
        <f ca="1">IF(C96&gt;=200%,"增值额超过扣除项目金额200%",IF(C96&gt;=100%,"增值额超过扣除项目金额100%，未超过200%",IF(C96&gt;=50%,"增值额超过扣除项目金额50%，未超过100%",IF(C96&lt;50%,"增值额未超过扣除项目金额50%"))))</f>
        <v>#DIV/0!</v>
      </c>
      <c r="F96" s="2947"/>
      <c r="G96" s="294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2282</v>
      </c>
      <c r="B99" s="2419"/>
      <c r="C99" s="2419"/>
      <c r="D99" s="2419"/>
      <c r="E99" s="2168"/>
      <c r="F99" s="2168"/>
      <c r="G99" s="2168"/>
      <c r="H99" s="2167"/>
      <c r="I99" s="138"/>
    </row>
    <row r="100" spans="1:35" ht="18.75" customHeight="1">
      <c r="A100" s="3085" t="s">
        <v>2283</v>
      </c>
      <c r="B100" s="3086"/>
      <c r="C100" s="3086"/>
      <c r="D100" s="3121"/>
      <c r="E100" s="3086" t="s">
        <v>2284</v>
      </c>
      <c r="F100" s="3086"/>
      <c r="G100" s="3086"/>
      <c r="H100" s="3121"/>
      <c r="I100" s="138"/>
    </row>
    <row r="101" spans="1:35" ht="18.75" customHeight="1">
      <c r="A101" s="3129" t="s">
        <v>2285</v>
      </c>
      <c r="B101" s="3130"/>
      <c r="C101" s="736" t="str">
        <f>C4</f>
        <v>成本法 (车库)</v>
      </c>
      <c r="D101" s="737" t="str">
        <f>D4</f>
        <v>收益法（车库）</v>
      </c>
      <c r="E101" s="3101" t="s">
        <v>2286</v>
      </c>
      <c r="F101" s="3102"/>
      <c r="G101" s="2521" t="s">
        <v>2287</v>
      </c>
      <c r="H101" s="1047">
        <f ca="1">H118</f>
        <v>38</v>
      </c>
      <c r="I101" s="138"/>
    </row>
    <row r="102" spans="1:35" ht="18.75" customHeight="1">
      <c r="A102" s="3131" t="s">
        <v>2288</v>
      </c>
      <c r="B102" s="2521" t="s">
        <v>2287</v>
      </c>
      <c r="C102" s="736">
        <f ca="1">C19</f>
        <v>63</v>
      </c>
      <c r="D102" s="737">
        <f ca="1">D19</f>
        <v>21</v>
      </c>
      <c r="E102" s="3101"/>
      <c r="F102" s="3102"/>
      <c r="G102" s="2521" t="s">
        <v>2289</v>
      </c>
      <c r="H102" s="371">
        <f ca="1">I118</f>
        <v>2849</v>
      </c>
      <c r="I102" s="138"/>
    </row>
    <row r="103" spans="1:35" ht="42.75" customHeight="1">
      <c r="A103" s="3131"/>
      <c r="B103" s="2521" t="s">
        <v>2289</v>
      </c>
      <c r="C103" s="738">
        <f ca="1">C20</f>
        <v>4724</v>
      </c>
      <c r="D103" s="739">
        <f ca="1">D20</f>
        <v>1569</v>
      </c>
      <c r="E103" s="3095" t="s">
        <v>2290</v>
      </c>
      <c r="F103" s="3096"/>
      <c r="G103" s="2522" t="s">
        <v>2291</v>
      </c>
      <c r="H103" s="1047">
        <f>IF(D36="正常操作",H104+H105+H106,H105+H106)</f>
        <v>0</v>
      </c>
      <c r="I103" s="138"/>
    </row>
    <row r="104" spans="1:35" ht="18.75" customHeight="1">
      <c r="A104" s="3131" t="s">
        <v>2292</v>
      </c>
      <c r="B104" s="2523" t="s">
        <v>2287</v>
      </c>
      <c r="C104" s="740">
        <f ca="1">H118</f>
        <v>38</v>
      </c>
      <c r="D104" s="741"/>
      <c r="E104" s="2268" t="s">
        <v>2293</v>
      </c>
      <c r="F104" s="2260"/>
      <c r="G104" s="2522" t="s">
        <v>2291</v>
      </c>
      <c r="H104" s="1048">
        <f>IF(D36="同一抵押权人同一抵押物续贷",C36&amp;"（未扣减，详见特别提示）",C36)</f>
        <v>0</v>
      </c>
      <c r="I104" s="138"/>
    </row>
    <row r="105" spans="1:35" ht="18.75" customHeight="1" thickBot="1">
      <c r="A105" s="3143"/>
      <c r="B105" s="2524" t="s">
        <v>2289</v>
      </c>
      <c r="C105" s="742">
        <f ca="1">I118</f>
        <v>2849</v>
      </c>
      <c r="D105" s="743"/>
      <c r="E105" s="2268" t="s">
        <v>2294</v>
      </c>
      <c r="F105" s="2260"/>
      <c r="G105" s="2522" t="s">
        <v>2291</v>
      </c>
      <c r="H105" s="1048">
        <f>C37</f>
        <v>0</v>
      </c>
      <c r="I105" s="138"/>
    </row>
    <row r="106" spans="1:35" ht="18.75" customHeight="1">
      <c r="A106" s="2419" t="s">
        <v>2295</v>
      </c>
      <c r="B106" s="2419"/>
      <c r="C106" s="2419"/>
      <c r="D106" s="2419"/>
      <c r="E106" s="2525" t="s">
        <v>2296</v>
      </c>
      <c r="F106" s="2260"/>
      <c r="G106" s="2522" t="s">
        <v>2291</v>
      </c>
      <c r="H106" s="1048">
        <f>C38</f>
        <v>0</v>
      </c>
      <c r="I106" s="138"/>
    </row>
    <row r="107" spans="1:35" ht="18.75" customHeight="1">
      <c r="A107" s="138"/>
      <c r="B107" s="138"/>
      <c r="C107" s="138"/>
      <c r="D107" s="138"/>
      <c r="E107" s="3132" t="str">
        <f>IF(项目基本情况!E8="已注销","——","3.房地产抵押价值")</f>
        <v>3.房地产抵押价值</v>
      </c>
      <c r="F107" s="3102"/>
      <c r="G107" s="2521" t="s">
        <v>2287</v>
      </c>
      <c r="H107" s="1047">
        <f ca="1">IF(E107="——","——",H101-H103)</f>
        <v>38</v>
      </c>
      <c r="I107" s="138"/>
    </row>
    <row r="108" spans="1:35" ht="18.75" customHeight="1">
      <c r="A108" s="138"/>
      <c r="B108" s="138"/>
      <c r="C108" s="138"/>
      <c r="D108" s="138"/>
      <c r="E108" s="3132"/>
      <c r="F108" s="3102"/>
      <c r="G108" s="2521" t="s">
        <v>2289</v>
      </c>
      <c r="H108" s="371">
        <f ca="1">ROUND(H107*10000/'数据-汇总表'!E3,0)</f>
        <v>44</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02"/>
      <c r="G109" s="2521" t="s">
        <v>2287</v>
      </c>
      <c r="H109" s="348" t="str">
        <f>IF(E109="——","——",H101-H105-H106)</f>
        <v>——</v>
      </c>
      <c r="I109" s="138"/>
    </row>
    <row r="110" spans="1:35" ht="18.75" customHeight="1">
      <c r="A110" s="138"/>
      <c r="B110" s="138"/>
      <c r="C110" s="138"/>
      <c r="D110" s="138"/>
      <c r="E110" s="3132"/>
      <c r="F110" s="3102"/>
      <c r="G110" s="2521" t="s">
        <v>2289</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1" t="s">
        <v>2287</v>
      </c>
      <c r="H111" s="1047" t="str">
        <f>IF(E111="——","——",N59)</f>
        <v>——</v>
      </c>
      <c r="I111" s="138"/>
    </row>
    <row r="112" spans="1:35" ht="18.75" customHeight="1" thickBot="1">
      <c r="A112" s="138"/>
      <c r="B112" s="138"/>
      <c r="C112" s="138"/>
      <c r="D112" s="138"/>
      <c r="E112" s="3135"/>
      <c r="F112" s="3136"/>
      <c r="G112" s="2526" t="s">
        <v>2289</v>
      </c>
      <c r="H112" s="790" t="str">
        <f>IF(E111="——","——",N61)</f>
        <v>——</v>
      </c>
      <c r="I112" s="138"/>
    </row>
    <row r="113" spans="1:11" ht="18.75" customHeight="1">
      <c r="A113" s="138"/>
      <c r="B113" s="138"/>
      <c r="C113" s="138"/>
      <c r="D113" s="138"/>
      <c r="E113" s="3144" t="s">
        <v>2295</v>
      </c>
      <c r="F113" s="3144"/>
      <c r="G113" s="3144"/>
      <c r="H113" s="3144"/>
      <c r="I113" s="138"/>
    </row>
    <row r="114" spans="1:11" ht="3.75" customHeight="1">
      <c r="A114" s="2419"/>
      <c r="B114" s="2419"/>
      <c r="C114" s="2419"/>
      <c r="D114" s="2419"/>
      <c r="E114" s="2497"/>
      <c r="F114" s="2497"/>
      <c r="G114" s="2497"/>
      <c r="H114" s="2497"/>
      <c r="I114" s="2419"/>
    </row>
    <row r="115" spans="1:11" ht="18.75" customHeight="1">
      <c r="A115" s="3157" t="s">
        <v>2297</v>
      </c>
      <c r="B115" s="3158"/>
      <c r="C115" s="3158"/>
      <c r="D115" s="3158"/>
      <c r="E115" s="3158"/>
      <c r="F115" s="3158"/>
      <c r="G115" s="3158"/>
      <c r="H115" s="3158"/>
      <c r="I115" s="3159"/>
    </row>
    <row r="116" spans="1:11" ht="27" customHeight="1">
      <c r="A116" s="3064" t="s">
        <v>2298</v>
      </c>
      <c r="B116" s="3111" t="s">
        <v>2299</v>
      </c>
      <c r="C116" s="3111" t="s">
        <v>2300</v>
      </c>
      <c r="D116" s="3117" t="s">
        <v>2301</v>
      </c>
      <c r="E116" s="3118"/>
      <c r="F116" s="3153" t="s">
        <v>2302</v>
      </c>
      <c r="G116" s="3153"/>
      <c r="H116" s="3064" t="s">
        <v>2303</v>
      </c>
      <c r="I116" s="3064"/>
    </row>
    <row r="117" spans="1:11" ht="18.75" customHeight="1">
      <c r="A117" s="3064"/>
      <c r="B117" s="3112"/>
      <c r="C117" s="3112"/>
      <c r="D117" s="2945" t="s">
        <v>2304</v>
      </c>
      <c r="E117" s="2945" t="s">
        <v>2305</v>
      </c>
      <c r="F117" s="2945" t="s">
        <v>2304</v>
      </c>
      <c r="G117" s="2945" t="s">
        <v>2306</v>
      </c>
      <c r="H117" s="2945" t="s">
        <v>2304</v>
      </c>
      <c r="I117" s="2945" t="s">
        <v>2306</v>
      </c>
    </row>
    <row r="118" spans="1:11" ht="24.75" customHeight="1">
      <c r="A118" s="2527" t="str">
        <f>项目基本情况!S2</f>
        <v>北京市大兴区永兴路7号院6号楼-101号商业用房房地产</v>
      </c>
      <c r="B118" s="2945">
        <f>M18</f>
        <v>133.35999999999999</v>
      </c>
      <c r="C118" s="2945">
        <f>M19</f>
        <v>32.89</v>
      </c>
      <c r="D118" s="2945">
        <f ca="1">ROUND(IF(D32="总价",C34,E118*B118/10000),0)</f>
        <v>14</v>
      </c>
      <c r="E118" s="2945">
        <f ca="1">ROUND(IF(C33="自定义",IF(D32="楼面单价",C34,D118*10000/B118),I118-G118),0)</f>
        <v>1049</v>
      </c>
      <c r="F118" s="2945">
        <f ca="1">ROUND(IF(D32="总价",C35,G118*B118/10000),0)</f>
        <v>24</v>
      </c>
      <c r="G118" s="2945">
        <f ca="1">ROUND(IF(D32="楼面单价",C35,F118*10000/B118),0)</f>
        <v>1800</v>
      </c>
      <c r="H118" s="2945">
        <f ca="1">ROUND(IF(D32="总价",C32,I118*B118/10000),0)</f>
        <v>38</v>
      </c>
      <c r="I118" s="2945">
        <f ca="1">ROUND(IF(D32="楼面单价",C32,H118*10000/B118),0)</f>
        <v>2849</v>
      </c>
    </row>
    <row r="119" spans="1:11" ht="18.75" customHeight="1">
      <c r="A119" s="3064" t="s">
        <v>2307</v>
      </c>
      <c r="B119" s="3064"/>
      <c r="C119" s="3064"/>
      <c r="D119" s="3113" t="str">
        <f ca="1">NUMBERSTRING(INT(D118*10000),2)&amp;"元整"</f>
        <v>壹拾肆万元整</v>
      </c>
      <c r="E119" s="3114"/>
      <c r="F119" s="3113" t="str">
        <f ca="1">NUMBERSTRING(INT(F118*10000),2)&amp;"元整"</f>
        <v>贰拾肆万元整</v>
      </c>
      <c r="G119" s="3114"/>
      <c r="H119" s="3113" t="str">
        <f ca="1">NUMBERSTRING(INT(H118*10000),2)&amp;"元整"</f>
        <v>叁拾捌万元整</v>
      </c>
      <c r="I119" s="3114"/>
    </row>
    <row r="120" spans="1:11" ht="18.75" customHeight="1">
      <c r="A120" s="3108" t="str">
        <f>IF(项目基本情况!B9="房地产市场价值","",MID(E103,3,LEN(E103)-2))</f>
        <v/>
      </c>
      <c r="B120" s="3109"/>
      <c r="C120" s="3110"/>
      <c r="D120" s="3108">
        <f>H103</f>
        <v>0</v>
      </c>
      <c r="E120" s="3109"/>
      <c r="F120" s="3109"/>
      <c r="G120" s="3109"/>
      <c r="H120" s="3109"/>
      <c r="I120" s="3110"/>
      <c r="K120" s="2424" t="str">
        <f>IF(D120=0,"故，本次评估不存在"&amp;A120,"故，本次评估"&amp;A120&amp;"为人民币"&amp;D120&amp;"万元整。")</f>
        <v>故，本次评估不存在</v>
      </c>
    </row>
    <row r="121" spans="1:11" ht="18.75" customHeight="1">
      <c r="A121" s="3154" t="s">
        <v>2307</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
      </c>
      <c r="B122" s="3119"/>
      <c r="C122" s="3119"/>
      <c r="D122" s="3108">
        <f ca="1">H107</f>
        <v>38</v>
      </c>
      <c r="E122" s="3109"/>
      <c r="F122" s="3109"/>
      <c r="G122" s="3109"/>
      <c r="H122" s="3109"/>
      <c r="I122" s="3110"/>
    </row>
    <row r="123" spans="1:11" ht="18.75" customHeight="1">
      <c r="A123" s="3064" t="s">
        <v>2307</v>
      </c>
      <c r="B123" s="3064"/>
      <c r="C123" s="3064"/>
      <c r="D123" s="3113" t="str">
        <f ca="1">NUMBERSTRING(INT(D122*10000),2)&amp;"元整"</f>
        <v>叁拾捌万元整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64" t="s">
        <v>2307</v>
      </c>
      <c r="B125" s="3064"/>
      <c r="C125" s="3064"/>
      <c r="D125" s="3113" t="e">
        <f>NUMBERSTRING(INT(D124*10000),2)&amp;"元整"</f>
        <v>#VALUE!</v>
      </c>
      <c r="E125" s="3115"/>
      <c r="F125" s="3115"/>
      <c r="G125" s="3115"/>
      <c r="H125" s="3115"/>
      <c r="I125" s="3114"/>
    </row>
    <row r="126" spans="1:11" ht="18.75" customHeight="1">
      <c r="A126" s="3119" t="str">
        <f>IF(项目基本情况!B9="房地产市场价值","",MID(E111,3,LEN(E111)-2))</f>
        <v/>
      </c>
      <c r="B126" s="3119"/>
      <c r="C126" s="3119"/>
      <c r="D126" s="3108" t="str">
        <f>H111</f>
        <v>——</v>
      </c>
      <c r="E126" s="3109"/>
      <c r="F126" s="3109"/>
      <c r="G126" s="3109"/>
      <c r="H126" s="3109"/>
      <c r="I126" s="3110"/>
    </row>
    <row r="127" spans="1:11" ht="18.75" customHeight="1">
      <c r="A127" s="3064" t="s">
        <v>2307</v>
      </c>
      <c r="B127" s="3064"/>
      <c r="C127" s="3064"/>
      <c r="D127" s="3113" t="e">
        <f>NUMBERSTRING(INT(D126*10000),2)&amp;"元整"</f>
        <v>#VALUE!</v>
      </c>
      <c r="E127" s="3115"/>
      <c r="F127" s="3115"/>
      <c r="G127" s="3115"/>
      <c r="H127" s="3115"/>
      <c r="I127" s="3114"/>
    </row>
    <row r="128" spans="1:11" ht="21.75" customHeight="1">
      <c r="A128" s="3116" t="s">
        <v>2308</v>
      </c>
      <c r="B128" s="3116"/>
      <c r="C128" s="3116"/>
      <c r="D128" s="3116"/>
      <c r="E128" s="3116"/>
      <c r="F128" s="3116"/>
      <c r="G128" s="3116"/>
      <c r="H128" s="3116"/>
      <c r="I128" s="3116"/>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C10:D13">
    <cfRule type="cellIs" dxfId="111" priority="5" stopIfTrue="1" operator="equal">
      <formula>15</formula>
    </cfRule>
  </conditionalFormatting>
  <conditionalFormatting sqref="D14:D16">
    <cfRule type="cellIs" dxfId="110" priority="4" stopIfTrue="1" operator="equal">
      <formula>30</formula>
    </cfRule>
  </conditionalFormatting>
  <conditionalFormatting sqref="C90">
    <cfRule type="expression" dxfId="109" priority="3" stopIfTrue="1">
      <formula>$H$88&lt;&gt;"仅含出让金"</formula>
    </cfRule>
  </conditionalFormatting>
  <conditionalFormatting sqref="C91">
    <cfRule type="expression" dxfId="108" priority="2" stopIfTrue="1">
      <formula>$H$91="由企业提供"</formula>
    </cfRule>
  </conditionalFormatting>
  <conditionalFormatting sqref="E36">
    <cfRule type="expression" dxfId="10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1" sqref="C3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9" t="s">
        <v>48</v>
      </c>
      <c r="C1" s="2556" t="s">
        <v>2418</v>
      </c>
      <c r="D1" s="242"/>
      <c r="E1" s="242"/>
      <c r="F1" s="242"/>
      <c r="G1" s="1381">
        <f>MATCH(B1,'数据-取费表'!A6:A16,0)+5</f>
        <v>8</v>
      </c>
      <c r="H1" s="1284" t="str">
        <f>IF(ISERROR(FIND("住宅",B1)),"非住宅","住宅")</f>
        <v>非住宅</v>
      </c>
    </row>
    <row r="2" spans="1:8" s="244" customFormat="1" ht="18" customHeight="1">
      <c r="A2" s="245" t="s">
        <v>2317</v>
      </c>
      <c r="B2" s="246">
        <f ca="1">ROUND(IF(D2="——",C52/10000,C52/10000-E2),0)</f>
        <v>63</v>
      </c>
      <c r="C2" s="243" t="s">
        <v>2318</v>
      </c>
      <c r="D2" s="2550" t="s">
        <v>70</v>
      </c>
      <c r="E2" s="1442" t="e">
        <f ca="1">SUMIF(INDIRECT("'"&amp;G2&amp;"'"&amp;"!A:A"),"承租人权益价值",INDIRECT("'"&amp;G2&amp;"'"&amp;"!c:c"))</f>
        <v>#REF!</v>
      </c>
      <c r="F2" s="2551" t="s">
        <v>2318</v>
      </c>
      <c r="G2" s="2552"/>
    </row>
    <row r="3" spans="1:8" s="244" customFormat="1" ht="18" customHeight="1" thickBot="1">
      <c r="A3" s="247" t="s">
        <v>2319</v>
      </c>
      <c r="B3" s="248">
        <f ca="1">ROUND(B2*10000/(IF(B1="",'数据-汇总表'!E3,INDIRECT("'数据-取费表'!k"&amp;$G$1))),0)</f>
        <v>4724</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180768</v>
      </c>
      <c r="D5" s="255" t="s">
        <v>2324</v>
      </c>
      <c r="E5" s="256" t="s">
        <v>2325</v>
      </c>
      <c r="F5" s="256" t="s">
        <v>2326</v>
      </c>
      <c r="G5" s="257"/>
    </row>
    <row r="6" spans="1:8" s="258" customFormat="1" ht="13.5" customHeight="1">
      <c r="A6" s="951" t="s">
        <v>2327</v>
      </c>
      <c r="B6" s="259" t="s">
        <v>2328</v>
      </c>
      <c r="C6" s="260">
        <f ca="1">ROUND('基准地价修正（商业）'!C39*'基准地价修正（商业）'!D39,0)</f>
        <v>150830</v>
      </c>
      <c r="D6" s="261"/>
      <c r="E6" s="262"/>
      <c r="F6" s="262"/>
      <c r="G6" s="263"/>
    </row>
    <row r="7" spans="1:8" s="258" customFormat="1" ht="13.5" customHeight="1">
      <c r="A7" s="951" t="s">
        <v>2329</v>
      </c>
      <c r="B7" s="259" t="s">
        <v>2330</v>
      </c>
      <c r="C7" s="264">
        <f ca="1">ROUND(C6*F7,0)</f>
        <v>4600</v>
      </c>
      <c r="D7" s="264"/>
      <c r="E7" s="262"/>
      <c r="F7" s="265">
        <f>'数据-取费表'!B48+'数据-取费表'!B49</f>
        <v>3.0499999999999999E-2</v>
      </c>
      <c r="G7" s="263"/>
    </row>
    <row r="8" spans="1:8" s="267" customFormat="1">
      <c r="A8" s="951" t="s">
        <v>2331</v>
      </c>
      <c r="B8" s="259" t="s">
        <v>2332</v>
      </c>
      <c r="C8" s="264">
        <f ca="1">IF(G8="已包含在土地购买价格中",0,C9+C10)</f>
        <v>25338</v>
      </c>
      <c r="D8" s="266"/>
      <c r="E8" s="264"/>
      <c r="F8" s="265"/>
      <c r="G8" s="2553" t="s">
        <v>3294</v>
      </c>
    </row>
    <row r="9" spans="1:8" s="258" customFormat="1" ht="13.5" customHeight="1">
      <c r="A9" s="952" t="s">
        <v>800</v>
      </c>
      <c r="B9" s="268" t="s">
        <v>2333</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2335</v>
      </c>
      <c r="C10" s="269">
        <f ca="1">ROUND(D10*E10,0)</f>
        <v>25338</v>
      </c>
      <c r="D10" s="1034">
        <f ca="1">IF(B1="",'数据-汇总表'!E6,IF(INDIRECT("'数据-取费表'!c"&amp;$G$1)="住宅",INDIRECT("'数据-取费表'!s"&amp;$G$1),INDIRECT("'数据-取费表'!k"&amp;$G$1)+INDIRECT("'数据-取费表'!s"&amp;$G$1)))</f>
        <v>133.35999999999999</v>
      </c>
      <c r="E10" s="269">
        <f>'数据-取费表'!B28</f>
        <v>190</v>
      </c>
      <c r="F10" s="265"/>
      <c r="G10" s="270"/>
    </row>
    <row r="11" spans="1:8" s="258" customFormat="1" ht="13.5" hidden="1" customHeight="1">
      <c r="A11" s="271" t="s">
        <v>7</v>
      </c>
      <c r="B11" s="259" t="s">
        <v>2336</v>
      </c>
      <c r="C11" s="255"/>
      <c r="D11" s="1036"/>
      <c r="E11" s="262"/>
      <c r="F11" s="262"/>
      <c r="G11" s="263"/>
    </row>
    <row r="12" spans="1:8" s="258" customFormat="1" ht="13.5" hidden="1" customHeight="1">
      <c r="A12" s="271" t="s">
        <v>8</v>
      </c>
      <c r="B12" s="259" t="s">
        <v>2419</v>
      </c>
      <c r="C12" s="255">
        <v>0</v>
      </c>
      <c r="D12" s="1036"/>
      <c r="E12" s="272"/>
      <c r="F12" s="265">
        <v>3.0499999999999999E-2</v>
      </c>
      <c r="G12" s="263"/>
    </row>
    <row r="13" spans="1:8" s="258" customFormat="1" ht="13.5" hidden="1" customHeight="1">
      <c r="A13" s="271" t="s">
        <v>9</v>
      </c>
      <c r="B13" s="259" t="s">
        <v>2420</v>
      </c>
      <c r="C13" s="255"/>
      <c r="D13" s="1036"/>
      <c r="E13" s="262"/>
      <c r="F13" s="262"/>
      <c r="G13" s="263"/>
    </row>
    <row r="14" spans="1:8" s="258" customFormat="1" ht="13.5" hidden="1" customHeight="1">
      <c r="A14" s="271" t="s">
        <v>10</v>
      </c>
      <c r="B14" s="259" t="s">
        <v>2332</v>
      </c>
      <c r="C14" s="255"/>
      <c r="D14" s="1036"/>
      <c r="E14" s="262"/>
      <c r="F14" s="262"/>
      <c r="G14" s="263" t="s">
        <v>2421</v>
      </c>
    </row>
    <row r="15" spans="1:8" s="258" customFormat="1" ht="13.5" hidden="1" customHeight="1">
      <c r="A15" s="271" t="s">
        <v>11</v>
      </c>
      <c r="B15" s="259" t="s">
        <v>2422</v>
      </c>
      <c r="C15" s="264"/>
      <c r="D15" s="1036"/>
      <c r="E15" s="262"/>
      <c r="F15" s="262"/>
      <c r="G15" s="263" t="s">
        <v>2423</v>
      </c>
    </row>
    <row r="16" spans="1:8" s="258" customFormat="1" ht="13.5" hidden="1" customHeight="1">
      <c r="A16" s="271" t="s">
        <v>12</v>
      </c>
      <c r="B16" s="259" t="s">
        <v>2332</v>
      </c>
      <c r="C16" s="264"/>
      <c r="D16" s="1036"/>
      <c r="E16" s="262"/>
      <c r="F16" s="262"/>
      <c r="G16" s="263"/>
    </row>
    <row r="17" spans="1:7" s="258" customFormat="1" ht="13.5" hidden="1" customHeight="1">
      <c r="A17" s="271" t="s">
        <v>13</v>
      </c>
      <c r="B17" s="259" t="s">
        <v>2424</v>
      </c>
      <c r="C17" s="273"/>
      <c r="D17" s="1037"/>
      <c r="E17" s="273"/>
      <c r="F17" s="273"/>
      <c r="G17" s="263" t="s">
        <v>2423</v>
      </c>
    </row>
    <row r="18" spans="1:7" s="258" customFormat="1" ht="13.5" hidden="1" customHeight="1">
      <c r="A18" s="271" t="s">
        <v>14</v>
      </c>
      <c r="B18" s="259" t="s">
        <v>2425</v>
      </c>
      <c r="C18" s="264">
        <v>0</v>
      </c>
      <c r="D18" s="1036"/>
      <c r="E18" s="262"/>
      <c r="F18" s="265">
        <v>3.0499999999999999E-2</v>
      </c>
      <c r="G18" s="263" t="s">
        <v>2426</v>
      </c>
    </row>
    <row r="19" spans="1:7" s="267" customFormat="1" ht="13.5" customHeight="1">
      <c r="A19" s="299" t="s">
        <v>2427</v>
      </c>
      <c r="B19" s="254" t="s">
        <v>2428</v>
      </c>
      <c r="C19" s="255" t="str">
        <f>IF(G19="已包含在土地取得成本中","0",ROUND(D19*E19,0))</f>
        <v>0</v>
      </c>
      <c r="D19" s="1038">
        <f ca="1">D9+D10</f>
        <v>133.35999999999999</v>
      </c>
      <c r="E19" s="255">
        <f>'数据-取费表'!B31</f>
        <v>100</v>
      </c>
      <c r="F19" s="275"/>
      <c r="G19" s="2553" t="s">
        <v>3296</v>
      </c>
    </row>
    <row r="20" spans="1:7" s="258" customFormat="1" ht="13.5" customHeight="1">
      <c r="A20" s="299" t="s">
        <v>2429</v>
      </c>
      <c r="B20" s="254" t="s">
        <v>2430</v>
      </c>
      <c r="C20" s="276">
        <f ca="1">ROUND((C5+C19)*F20,0)</f>
        <v>3615</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2">
        <f ca="1">ROUND(SUM(C23:C25),0)</f>
        <v>27263</v>
      </c>
      <c r="D22" s="279">
        <f ca="1">C26</f>
        <v>1.4E-3</v>
      </c>
      <c r="E22" s="280" t="s">
        <v>2434</v>
      </c>
      <c r="F22" s="281">
        <f ca="1">'数据-取费表'!B40</f>
        <v>4.7500000000000001E-2</v>
      </c>
      <c r="G22" s="278" t="str">
        <f>IF('数据-取费表'!B22&lt;=1,"单利计息","复利计息")</f>
        <v>复利计息</v>
      </c>
    </row>
    <row r="23" spans="1:7" s="258" customFormat="1" ht="13.5" customHeight="1">
      <c r="A23" s="953" t="s">
        <v>2327</v>
      </c>
      <c r="B23" s="259" t="s">
        <v>2438</v>
      </c>
      <c r="C23" s="1383">
        <f ca="1">ROUND(IF('数据-取费表'!B22&lt;=1,C5*F22*'数据-取费表'!B22,C5*(POWER((1+F22),'数据-取费表'!B22)-1)),0)</f>
        <v>27002</v>
      </c>
      <c r="D23" s="282"/>
      <c r="E23" s="282"/>
      <c r="F23" s="283"/>
      <c r="G23" s="284" t="s">
        <v>2439</v>
      </c>
    </row>
    <row r="24" spans="1:7" s="258" customFormat="1" ht="13.5" customHeight="1">
      <c r="A24" s="953" t="s">
        <v>2329</v>
      </c>
      <c r="B24" s="259" t="s">
        <v>2440</v>
      </c>
      <c r="C24" s="1383">
        <f ca="1">ROUND(IF('数据-取费表'!B22&lt;=1,C19*F22*('数据-取费表'!B19/2+'数据-取费表'!B20),C19*(POWER((1+F22),('数据-取费表'!B19/2+'数据-取费表'!B20))-1)),0)</f>
        <v>0</v>
      </c>
      <c r="D24" s="282"/>
      <c r="E24" s="282"/>
      <c r="F24" s="283"/>
      <c r="G24" s="284" t="s">
        <v>2441</v>
      </c>
    </row>
    <row r="25" spans="1:7" s="258" customFormat="1" ht="24">
      <c r="A25" s="953" t="s">
        <v>2331</v>
      </c>
      <c r="B25" s="259" t="s">
        <v>2442</v>
      </c>
      <c r="C25" s="1383">
        <f ca="1">ROUND(IF('数据-取费表'!B22&lt;=1,C20*F22*'数据-取费表'!B22/2,C20*(POWER((1+F22),'数据-取费表'!B22/2)-1)),0)</f>
        <v>261</v>
      </c>
      <c r="D25" s="282"/>
      <c r="E25" s="285"/>
      <c r="F25" s="283"/>
      <c r="G25" s="286" t="s">
        <v>2443</v>
      </c>
    </row>
    <row r="26" spans="1:7" s="258" customFormat="1">
      <c r="A26" s="953"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9219</v>
      </c>
      <c r="D27" s="279">
        <f ca="1">C29</f>
        <v>1E-3</v>
      </c>
      <c r="E27" s="280" t="s">
        <v>2369</v>
      </c>
      <c r="F27" s="290">
        <f ca="1">IF(B1="",'数据-取费表'!Q16,INDIRECT("'数据-取费表'!q"&amp;$G$1))</f>
        <v>0.05</v>
      </c>
      <c r="G27" s="291" t="s">
        <v>2370</v>
      </c>
    </row>
    <row r="28" spans="1:7" s="258" customFormat="1" ht="13.5" customHeight="1">
      <c r="A28" s="953" t="s">
        <v>791</v>
      </c>
      <c r="B28" s="292" t="s">
        <v>2371</v>
      </c>
      <c r="C28" s="293">
        <f ca="1">ROUND((C5+C19+C20)*F27,0)</f>
        <v>9219</v>
      </c>
      <c r="D28" s="279"/>
      <c r="E28" s="280"/>
      <c r="F28" s="290"/>
      <c r="G28" s="291"/>
    </row>
    <row r="29" spans="1:7" s="258" customFormat="1" ht="13.5" customHeight="1">
      <c r="A29" s="953" t="s">
        <v>792</v>
      </c>
      <c r="B29" s="292" t="s">
        <v>2372</v>
      </c>
      <c r="C29" s="282">
        <f ca="1">ROUND(C21*F27,4)</f>
        <v>1E-3</v>
      </c>
      <c r="D29" s="279"/>
      <c r="E29" s="280"/>
      <c r="F29" s="290"/>
      <c r="G29" s="291"/>
    </row>
    <row r="30" spans="1:7" s="258" customFormat="1" ht="13.5" customHeight="1">
      <c r="A30" s="299" t="s">
        <v>2373</v>
      </c>
      <c r="B30" s="254" t="s">
        <v>2374</v>
      </c>
      <c r="C30" s="279">
        <f>ROUND(F30/(1+'数据-取费表'!C42),4)</f>
        <v>5.2400000000000002E-2</v>
      </c>
      <c r="D30" s="280" t="s">
        <v>2369</v>
      </c>
      <c r="E30" s="285"/>
      <c r="F30" s="281">
        <f>'数据-取费表'!B41</f>
        <v>5.5000000000000007E-2</v>
      </c>
      <c r="G30" s="278" t="s">
        <v>2375</v>
      </c>
    </row>
    <row r="31" spans="1:7" ht="16.5" customHeight="1">
      <c r="A31" s="253">
        <v>1</v>
      </c>
      <c r="B31" s="254" t="s">
        <v>2376</v>
      </c>
      <c r="C31" s="255">
        <f ca="1">ROUND((C5+C19+C20+C22+C27)/(1-C21-D22-D27-C30),0)</f>
        <v>238721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334734</v>
      </c>
      <c r="D33" s="276"/>
      <c r="E33" s="256"/>
      <c r="F33" s="285"/>
      <c r="G33" s="278"/>
    </row>
    <row r="34" spans="1:7" s="302" customFormat="1" ht="13.5" customHeight="1">
      <c r="A34" s="953" t="s">
        <v>791</v>
      </c>
      <c r="B34" s="259" t="s">
        <v>2380</v>
      </c>
      <c r="C34" s="264">
        <f ca="1">ROUND(IF(B1="",SUMPRODUCT('数据-取费表'!K6:K14,'数据-取费表'!L6:L14),INDIRECT("'数据-取费表'!l"&amp;$G$1)*INDIRECT("'数据-取费表'!k"&amp;$G$1)+'数据-取费表'!L14*INDIRECT("'数据-取费表'!S"&amp;$G$1)),0)</f>
        <v>293392</v>
      </c>
      <c r="D34" s="261"/>
      <c r="E34" s="264"/>
      <c r="F34" s="301"/>
      <c r="G34" s="263"/>
    </row>
    <row r="35" spans="1:7" ht="13.5" customHeight="1">
      <c r="A35" s="953" t="s">
        <v>796</v>
      </c>
      <c r="B35" s="259" t="s">
        <v>2382</v>
      </c>
      <c r="C35" s="264">
        <f ca="1">ROUND(C34*F35,0)</f>
        <v>10269</v>
      </c>
      <c r="D35" s="264"/>
      <c r="E35" s="264"/>
      <c r="F35" s="303">
        <f>'数据-取费表'!B33</f>
        <v>3.5000000000000003E-2</v>
      </c>
      <c r="G35" s="263" t="s">
        <v>2383</v>
      </c>
    </row>
    <row r="36" spans="1:7" ht="24">
      <c r="A36" s="953" t="s">
        <v>797</v>
      </c>
      <c r="B36" s="259" t="s">
        <v>2384</v>
      </c>
      <c r="C36" s="264">
        <f ca="1">ROUND(IF(B1="",SUM('数据-取费表'!AP6:AP13)*F36,IF(INDIRECT("'数据-取费表'!c"&amp;$G$1)="住宅",INDIRECT("'数据-取费表'!k"&amp;$G$1)*INDIRECT("'数据-取费表'!l"&amp;$G$1)*F36,0)),0)</f>
        <v>0</v>
      </c>
      <c r="D36" s="264"/>
      <c r="E36" s="264"/>
      <c r="F36" s="303">
        <f>'数据-取费表'!B34</f>
        <v>0.05</v>
      </c>
      <c r="G36" s="304" t="s">
        <v>2385</v>
      </c>
    </row>
    <row r="37" spans="1:7" s="302" customFormat="1" ht="13.5" customHeight="1">
      <c r="A37" s="953" t="s">
        <v>798</v>
      </c>
      <c r="B37" s="259" t="s">
        <v>2386</v>
      </c>
      <c r="C37" s="293">
        <f ca="1">ROUND(E37*D37,0)</f>
        <v>26672</v>
      </c>
      <c r="D37" s="261">
        <f ca="1">D19</f>
        <v>133.35999999999999</v>
      </c>
      <c r="E37" s="293">
        <f>'数据-取费表'!B35</f>
        <v>200</v>
      </c>
      <c r="F37" s="303"/>
      <c r="G37" s="305"/>
    </row>
    <row r="38" spans="1:7" ht="13.5" customHeight="1">
      <c r="A38" s="953" t="s">
        <v>799</v>
      </c>
      <c r="B38" s="259" t="s">
        <v>2388</v>
      </c>
      <c r="C38" s="264">
        <f ca="1">ROUND(C34*F38,0)</f>
        <v>4401</v>
      </c>
      <c r="D38" s="264"/>
      <c r="E38" s="264"/>
      <c r="F38" s="303">
        <f>'数据-取费表'!B36</f>
        <v>1.4999999999999999E-2</v>
      </c>
      <c r="G38" s="263" t="s">
        <v>2383</v>
      </c>
    </row>
    <row r="39" spans="1:7" s="258" customFormat="1" ht="13.5" customHeight="1">
      <c r="A39" s="299" t="s">
        <v>2389</v>
      </c>
      <c r="B39" s="254" t="s">
        <v>2390</v>
      </c>
      <c r="C39" s="276">
        <f ca="1">ROUND(C33*F20,0)</f>
        <v>6695</v>
      </c>
      <c r="D39" s="276"/>
      <c r="E39" s="276"/>
      <c r="F39" s="277"/>
      <c r="G39" s="278" t="s">
        <v>2391</v>
      </c>
    </row>
    <row r="40" spans="1:7" s="258" customFormat="1" ht="13.5" customHeight="1">
      <c r="A40" s="299" t="s">
        <v>2392</v>
      </c>
      <c r="B40" s="254" t="s">
        <v>2393</v>
      </c>
      <c r="C40" s="1730">
        <f>F21</f>
        <v>0.02</v>
      </c>
      <c r="D40" s="280" t="s">
        <v>2394</v>
      </c>
      <c r="E40" s="276"/>
      <c r="F40" s="277"/>
      <c r="G40" s="278" t="s">
        <v>2395</v>
      </c>
    </row>
    <row r="41" spans="1:7" s="258" customFormat="1" ht="13.5" customHeight="1">
      <c r="A41" s="299" t="s">
        <v>2396</v>
      </c>
      <c r="B41" s="254" t="s">
        <v>2397</v>
      </c>
      <c r="C41" s="276">
        <f ca="1">ROUND(SUM(C42:C43),0)</f>
        <v>24614</v>
      </c>
      <c r="D41" s="279">
        <f ca="1">C44</f>
        <v>1.4E-3</v>
      </c>
      <c r="E41" s="280" t="s">
        <v>2394</v>
      </c>
      <c r="F41" s="281"/>
      <c r="G41" s="278" t="str">
        <f>IF('数据-取费表'!B22&lt;=1,"单利计息","复利计息")</f>
        <v>复利计息</v>
      </c>
    </row>
    <row r="42" spans="1:7" ht="13.5" customHeight="1">
      <c r="A42" s="953" t="s">
        <v>791</v>
      </c>
      <c r="B42" s="259" t="s">
        <v>2398</v>
      </c>
      <c r="C42" s="282">
        <f ca="1">ROUND(IF('数据-取费表'!B22&lt;=1,C33*F22*'数据-取费表'!B20/2,C33*(POWER((1+F22),'数据-取费表'!B20/2)-1)),0)</f>
        <v>24131</v>
      </c>
      <c r="D42" s="282"/>
      <c r="E42" s="282"/>
      <c r="F42" s="283"/>
      <c r="G42" s="3238" t="s">
        <v>2446</v>
      </c>
    </row>
    <row r="43" spans="1:7" ht="13.5" customHeight="1">
      <c r="A43" s="953" t="s">
        <v>792</v>
      </c>
      <c r="B43" s="259" t="s">
        <v>2400</v>
      </c>
      <c r="C43" s="282">
        <f ca="1">ROUND(IF('数据-取费表'!B22&lt;=1,C39*F22*'数据-取费表'!B20/2,C39*(POWER((1+F22),'数据-取费表'!B20/2)-1)),0)</f>
        <v>483</v>
      </c>
      <c r="D43" s="282"/>
      <c r="E43" s="282"/>
      <c r="F43" s="283"/>
      <c r="G43" s="3239"/>
    </row>
    <row r="44" spans="1:7" ht="13.5" customHeight="1">
      <c r="A44" s="953" t="s">
        <v>793</v>
      </c>
      <c r="B44" s="259" t="s">
        <v>2401</v>
      </c>
      <c r="C44" s="282">
        <f ca="1">ROUND(IF('数据-取费表'!B22&lt;=1,C40*F22*'数据-取费表'!B20/2,C40*(POWER((1+F22),'数据-取费表'!B20/2)-1)),4)</f>
        <v>1.4E-3</v>
      </c>
      <c r="D44" s="282"/>
      <c r="E44" s="282"/>
      <c r="F44" s="283"/>
      <c r="G44" s="3240"/>
    </row>
    <row r="45" spans="1:7" s="258" customFormat="1" ht="13.5" customHeight="1">
      <c r="A45" s="299" t="s">
        <v>2402</v>
      </c>
      <c r="B45" s="288" t="s">
        <v>2368</v>
      </c>
      <c r="C45" s="289">
        <f ca="1">C46</f>
        <v>17071</v>
      </c>
      <c r="D45" s="279">
        <f ca="1">C47</f>
        <v>1E-3</v>
      </c>
      <c r="E45" s="280" t="s">
        <v>2394</v>
      </c>
      <c r="F45" s="290"/>
      <c r="G45" s="291" t="s">
        <v>2403</v>
      </c>
    </row>
    <row r="46" spans="1:7" s="258" customFormat="1" ht="13.5" customHeight="1">
      <c r="A46" s="953" t="s">
        <v>791</v>
      </c>
      <c r="B46" s="292" t="s">
        <v>2404</v>
      </c>
      <c r="C46" s="293">
        <f ca="1">ROUND((C33+C39)*F27,0)</f>
        <v>17071</v>
      </c>
      <c r="D46" s="307"/>
      <c r="E46" s="280"/>
      <c r="F46" s="290"/>
      <c r="G46" s="291"/>
    </row>
    <row r="47" spans="1:7" s="258" customFormat="1" ht="13.5" customHeight="1">
      <c r="A47" s="953" t="s">
        <v>792</v>
      </c>
      <c r="B47" s="292" t="s">
        <v>2405</v>
      </c>
      <c r="C47" s="282">
        <f ca="1">ROUND(C40*F27,4)</f>
        <v>1E-3</v>
      </c>
      <c r="D47" s="307"/>
      <c r="E47" s="280"/>
      <c r="F47" s="290"/>
      <c r="G47" s="291"/>
    </row>
    <row r="48" spans="1:7" s="258" customFormat="1" ht="13.5" customHeight="1">
      <c r="A48" s="299" t="s">
        <v>2367</v>
      </c>
      <c r="B48" s="254" t="s">
        <v>2406</v>
      </c>
      <c r="C48" s="306">
        <f>ROUND(F30/(1+'数据-取费表'!C42),4)</f>
        <v>5.2400000000000002E-2</v>
      </c>
      <c r="D48" s="280" t="s">
        <v>2394</v>
      </c>
      <c r="E48" s="276"/>
      <c r="F48" s="281"/>
      <c r="G48" s="278" t="s">
        <v>2407</v>
      </c>
    </row>
    <row r="49" spans="1:7" ht="16.5" customHeight="1">
      <c r="A49" s="299" t="s">
        <v>2373</v>
      </c>
      <c r="B49" s="254" t="s">
        <v>2447</v>
      </c>
      <c r="C49" s="276">
        <f ca="1">ROUND((C33+C39+C41+C45)/(1-C40-D41-D45-C48),0)</f>
        <v>414088</v>
      </c>
      <c r="D49" s="276"/>
      <c r="E49" s="276"/>
      <c r="F49" s="308"/>
      <c r="G49" s="278" t="s">
        <v>2409</v>
      </c>
    </row>
    <row r="50" spans="1:7" s="302" customFormat="1">
      <c r="A50" s="299" t="s">
        <v>2410</v>
      </c>
      <c r="B50" s="254" t="s">
        <v>2411</v>
      </c>
      <c r="C50" s="276"/>
      <c r="D50" s="276"/>
      <c r="E50" s="276"/>
      <c r="F50" s="308">
        <f>IF('数据-取费表'!B24=0,'数据-取费表'!N16,1)</f>
        <v>0.95499999999999996</v>
      </c>
      <c r="G50" s="291"/>
    </row>
    <row r="51" spans="1:7" ht="16.5" customHeight="1">
      <c r="A51" s="299" t="s">
        <v>2413</v>
      </c>
      <c r="B51" s="254" t="s">
        <v>2448</v>
      </c>
      <c r="C51" s="276">
        <f ca="1">ROUND(C49*F50,0)</f>
        <v>395454</v>
      </c>
      <c r="D51" s="276"/>
      <c r="E51" s="276"/>
      <c r="F51" s="308"/>
      <c r="G51" s="278" t="s">
        <v>2415</v>
      </c>
    </row>
    <row r="52" spans="1:7" s="252" customFormat="1" ht="16.5" thickBot="1">
      <c r="A52" s="309" t="s">
        <v>2416</v>
      </c>
      <c r="B52" s="310"/>
      <c r="C52" s="311">
        <f ca="1">C31+C51</f>
        <v>634175</v>
      </c>
      <c r="D52" s="310"/>
      <c r="E52" s="310"/>
      <c r="F52" s="310"/>
      <c r="G52" s="312"/>
    </row>
    <row r="55" spans="1:7" ht="15">
      <c r="B55" s="314" t="s">
        <v>2417</v>
      </c>
      <c r="C55" s="315"/>
    </row>
    <row r="56" spans="1:7">
      <c r="B56" s="317" t="s">
        <v>1509</v>
      </c>
      <c r="C56" s="319">
        <f ca="1">1-C57</f>
        <v>0.376</v>
      </c>
    </row>
    <row r="57" spans="1:7">
      <c r="B57" s="317" t="s">
        <v>1510</v>
      </c>
      <c r="C57" s="318">
        <f ca="1">ROUND(C51/C52,3)</f>
        <v>0.624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G29" sqref="G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48</v>
      </c>
      <c r="D1" s="1822" t="s">
        <v>70</v>
      </c>
      <c r="E1" s="1823" t="s">
        <v>1383</v>
      </c>
      <c r="F1" s="1285">
        <f ca="1">J53</f>
        <v>42.12</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ROUND(D2/10000,0)</f>
        <v>21</v>
      </c>
      <c r="C2" s="1847" t="s">
        <v>1512</v>
      </c>
      <c r="D2" s="1940">
        <f ca="1">C40+J29+L46</f>
        <v>209189</v>
      </c>
      <c r="E2" s="1848" t="s">
        <v>1588</v>
      </c>
      <c r="F2" s="1849"/>
      <c r="G2" s="1850"/>
      <c r="H2" s="1842"/>
      <c r="I2" s="1842"/>
      <c r="J2" s="1842"/>
      <c r="K2" s="1843"/>
      <c r="L2" s="1842"/>
      <c r="M2" s="1842"/>
    </row>
    <row r="3" spans="1:37" ht="18" customHeight="1" thickBot="1">
      <c r="A3" s="1851" t="s">
        <v>1513</v>
      </c>
      <c r="B3" s="1852">
        <f ca="1">IF(ISERROR(D2/F43),0,ROUND(D2/F43,0))</f>
        <v>1569</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24825</v>
      </c>
      <c r="D5" s="1824" t="s">
        <v>1398</v>
      </c>
      <c r="E5" s="1295"/>
      <c r="F5" s="1296"/>
      <c r="G5" s="1853"/>
      <c r="H5" s="344">
        <v>1</v>
      </c>
      <c r="I5" s="345" t="s">
        <v>1397</v>
      </c>
      <c r="J5" s="1294">
        <f ca="1">J6+J10+J12</f>
        <v>0</v>
      </c>
      <c r="K5" s="1824" t="s">
        <v>1398</v>
      </c>
      <c r="L5" s="1295"/>
      <c r="M5" s="1296"/>
    </row>
    <row r="6" spans="1:37" ht="18" customHeight="1">
      <c r="A6" s="1293" t="s">
        <v>1032</v>
      </c>
      <c r="B6" s="3263" t="s">
        <v>1399</v>
      </c>
      <c r="C6" s="1298">
        <f ca="1">ROUND(F6*F8*F7*(1-F9),0)</f>
        <v>24825</v>
      </c>
      <c r="D6" s="164" t="s">
        <v>3021</v>
      </c>
      <c r="E6" s="347" t="s">
        <v>1401</v>
      </c>
      <c r="F6" s="348">
        <f ca="1">INDIRECT("'数据-取费表'!u"&amp;$G$1)</f>
        <v>0.6</v>
      </c>
      <c r="G6" s="1853"/>
      <c r="H6" s="1293" t="s">
        <v>1032</v>
      </c>
      <c r="I6" s="3263" t="s">
        <v>1399</v>
      </c>
      <c r="J6" s="346">
        <f ca="1">ROUND(M6*M8*M7*(1-M9),0)</f>
        <v>0</v>
      </c>
      <c r="K6" s="1836" t="s">
        <v>3022</v>
      </c>
      <c r="L6" s="347" t="s">
        <v>1401</v>
      </c>
      <c r="M6" s="348">
        <f ca="1">INDIRECT("'数据-取费表'!z"&amp;$G$1)</f>
        <v>0</v>
      </c>
    </row>
    <row r="7" spans="1:37" ht="18" customHeight="1">
      <c r="A7" s="1297"/>
      <c r="B7" s="3264"/>
      <c r="C7" s="1299"/>
      <c r="D7" s="352"/>
      <c r="E7" s="2965" t="s">
        <v>1402</v>
      </c>
      <c r="F7" s="348">
        <f ca="1">IF(INDIRECT("'数据-取费表'!ah"&amp;$G$1)="",INDIRECT("'数据-取费表'!k"&amp;$G$1),INDIRECT("'数据-取费表'!ah"&amp;$G$1))</f>
        <v>133.35999999999999</v>
      </c>
      <c r="G7" s="1853"/>
      <c r="H7" s="349"/>
      <c r="I7" s="3264"/>
      <c r="J7" s="351"/>
      <c r="K7" s="352"/>
      <c r="L7" s="347" t="s">
        <v>1402</v>
      </c>
      <c r="M7" s="348">
        <f ca="1">F7</f>
        <v>133.35999999999999</v>
      </c>
    </row>
    <row r="8" spans="1:37" ht="18" customHeight="1">
      <c r="A8" s="349"/>
      <c r="B8" s="3264"/>
      <c r="C8" s="351"/>
      <c r="D8" s="352"/>
      <c r="E8" s="347" t="s">
        <v>1403</v>
      </c>
      <c r="F8" s="348">
        <f ca="1">INDIRECT("'数据-取费表'!ai"&amp;$G$1)</f>
        <v>365</v>
      </c>
      <c r="G8" s="1853"/>
      <c r="H8" s="349"/>
      <c r="I8" s="3264"/>
      <c r="J8" s="351"/>
      <c r="K8" s="352"/>
      <c r="L8" s="347" t="s">
        <v>1403</v>
      </c>
      <c r="M8" s="348">
        <f ca="1">INDIRECT("'数据-取费表'!ai"&amp;$G$1)</f>
        <v>365</v>
      </c>
    </row>
    <row r="9" spans="1:37" ht="18" customHeight="1">
      <c r="A9" s="349"/>
      <c r="B9" s="3265"/>
      <c r="C9" s="351"/>
      <c r="D9" s="352"/>
      <c r="E9" s="347" t="s">
        <v>1404</v>
      </c>
      <c r="F9" s="357">
        <f ca="1">INDIRECT("'数据-取费表'!w"&amp;$G$1)</f>
        <v>0.15</v>
      </c>
      <c r="G9" s="1853"/>
      <c r="H9" s="349"/>
      <c r="I9" s="3265"/>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3032</v>
      </c>
      <c r="E10" s="358" t="s">
        <v>1406</v>
      </c>
      <c r="F10" s="1368" t="s">
        <v>3310</v>
      </c>
      <c r="G10" s="1853"/>
      <c r="H10" s="1293" t="s">
        <v>1036</v>
      </c>
      <c r="I10" s="1825" t="s">
        <v>1405</v>
      </c>
      <c r="J10" s="346">
        <f ca="1">ROUND(IF(M10="押一",J6/12*M11,IF(M10="押二",J6/12*2*M11,IF(M10="押三",J6/12*3*M11,J11*M11))),0)</f>
        <v>0</v>
      </c>
      <c r="K10" s="1837" t="s">
        <v>3034</v>
      </c>
      <c r="L10" s="358" t="s">
        <v>1406</v>
      </c>
      <c r="M10" s="1368"/>
    </row>
    <row r="11" spans="1:37" ht="18" customHeight="1">
      <c r="A11" s="353"/>
      <c r="B11" s="1827" t="s">
        <v>1598</v>
      </c>
      <c r="C11" s="1180"/>
      <c r="D11" s="352"/>
      <c r="E11" s="358" t="s">
        <v>1408</v>
      </c>
      <c r="F11" s="359">
        <f ca="1">'数据-取费表'!B39</f>
        <v>1.4999999999999999E-2</v>
      </c>
      <c r="G11" s="1853"/>
      <c r="H11" s="1301"/>
      <c r="I11" s="1827" t="s">
        <v>1599</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395454</v>
      </c>
      <c r="D13" s="1333" t="s">
        <v>1411</v>
      </c>
      <c r="E13" s="1333" t="s">
        <v>1412</v>
      </c>
      <c r="F13" s="1334">
        <f ca="1">INDIRECT("'数据-取费表'!y"&amp;$G$1)</f>
        <v>0.95499999999999996</v>
      </c>
      <c r="G13" s="1853"/>
      <c r="H13" s="1331">
        <v>2</v>
      </c>
      <c r="I13" s="1332" t="s">
        <v>1410</v>
      </c>
      <c r="J13" s="1292">
        <f ca="1">ROUND(J14*J15,0)</f>
        <v>0</v>
      </c>
      <c r="K13" s="1339" t="s">
        <v>1411</v>
      </c>
      <c r="L13" s="1854"/>
      <c r="M13" s="1855"/>
    </row>
    <row r="14" spans="1:37" ht="18" customHeight="1">
      <c r="A14" s="1203" t="s">
        <v>1031</v>
      </c>
      <c r="B14" s="347" t="s">
        <v>1413</v>
      </c>
      <c r="C14" s="363">
        <f ca="1">ROUND(INDIRECT("'数据-取费表'!l"&amp;$G$1)*F43+'数据-取费表'!L14*INDIRECT("'数据-取费表'!S"&amp;$G$1),0)</f>
        <v>293392</v>
      </c>
      <c r="D14" s="2952" t="s">
        <v>1414</v>
      </c>
      <c r="E14" s="2947"/>
      <c r="F14" s="364"/>
      <c r="G14" s="1853"/>
      <c r="H14" s="1203" t="s">
        <v>1032</v>
      </c>
      <c r="I14" s="347" t="s">
        <v>1415</v>
      </c>
      <c r="J14" s="24">
        <f ca="1">C29</f>
        <v>414088</v>
      </c>
      <c r="K14" s="2964"/>
      <c r="L14" s="981"/>
      <c r="M14" s="982"/>
    </row>
    <row r="15" spans="1:37" s="1860" customFormat="1" ht="18" customHeight="1" thickBot="1">
      <c r="A15" s="1203" t="s">
        <v>1033</v>
      </c>
      <c r="B15" s="347" t="s">
        <v>1416</v>
      </c>
      <c r="C15" s="24">
        <f ca="1">ROUND(C14*F15,0)</f>
        <v>10269</v>
      </c>
      <c r="D15" s="365" t="s">
        <v>1417</v>
      </c>
      <c r="E15" s="365" t="s">
        <v>1418</v>
      </c>
      <c r="F15" s="366">
        <f>'数据-取费表'!B33</f>
        <v>3.5000000000000003E-2</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11859</v>
      </c>
      <c r="K16" s="1339" t="s">
        <v>1421</v>
      </c>
      <c r="L16" s="2954"/>
      <c r="M16" s="1296"/>
    </row>
    <row r="17" spans="1:37" s="1860" customFormat="1" ht="18" customHeight="1">
      <c r="A17" s="1203" t="s">
        <v>1386</v>
      </c>
      <c r="B17" s="347" t="s">
        <v>1422</v>
      </c>
      <c r="C17" s="24">
        <f ca="1">ROUND(F17*(F43+INDIRECT("'数据-取费表'!S"&amp;$G$1)),0)</f>
        <v>26672</v>
      </c>
      <c r="D17" s="347" t="s">
        <v>1423</v>
      </c>
      <c r="E17" s="347" t="s">
        <v>1424</v>
      </c>
      <c r="F17" s="26">
        <f>'数据-取费表'!B35</f>
        <v>200</v>
      </c>
      <c r="G17" s="1856"/>
      <c r="H17" s="1203" t="s">
        <v>1032</v>
      </c>
      <c r="I17" s="347" t="s">
        <v>1425</v>
      </c>
      <c r="J17" s="24">
        <f ca="1">ROUND(IF(项目基本情况!B11="自然人",J5*M17,J18+J19+J20),0)</f>
        <v>3577</v>
      </c>
      <c r="K17" s="2952" t="s">
        <v>1426</v>
      </c>
      <c r="L17" s="295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4401</v>
      </c>
      <c r="D18" s="347" t="s">
        <v>1417</v>
      </c>
      <c r="E18" s="347" t="s">
        <v>1418</v>
      </c>
      <c r="F18" s="367">
        <f>'数据-取费表'!B36</f>
        <v>1.4999999999999999E-2</v>
      </c>
      <c r="G18" s="1856"/>
      <c r="H18" s="1203" t="s">
        <v>1031</v>
      </c>
      <c r="I18" s="347" t="s">
        <v>1429</v>
      </c>
      <c r="J18" s="24">
        <f ca="1">ROUND(J5*M18/(1+'数据-取费表'!C42),0)</f>
        <v>0</v>
      </c>
      <c r="K18" s="295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334734</v>
      </c>
      <c r="D19" s="140" t="s">
        <v>1432</v>
      </c>
      <c r="E19" s="2962"/>
      <c r="F19" s="26"/>
      <c r="G19" s="1853"/>
      <c r="H19" s="1203" t="s">
        <v>1033</v>
      </c>
      <c r="I19" s="347" t="s">
        <v>1433</v>
      </c>
      <c r="J19" s="24">
        <f ca="1">IF(K19="按租金收入计税",ROUND(J5*M19,0),ROUND(C29*M19*0.7,0))</f>
        <v>3478</v>
      </c>
      <c r="K19" s="1830" t="s">
        <v>1434</v>
      </c>
      <c r="L19" s="347" t="s">
        <v>1418</v>
      </c>
      <c r="M19" s="367">
        <f>IF(K19="按租金收入计税",'数据-取费表'!B51,'数据-取费表'!B50)</f>
        <v>1.2E-2</v>
      </c>
    </row>
    <row r="20" spans="1:37" s="1860" customFormat="1" ht="18" customHeight="1">
      <c r="A20" s="1203" t="s">
        <v>1036</v>
      </c>
      <c r="B20" s="347" t="s">
        <v>1435</v>
      </c>
      <c r="C20" s="24">
        <f ca="1">ROUND(C19*F20,0)</f>
        <v>6695</v>
      </c>
      <c r="D20" s="369" t="s">
        <v>1436</v>
      </c>
      <c r="E20" s="347" t="s">
        <v>1418</v>
      </c>
      <c r="F20" s="367">
        <f>'数据-取费表'!B37</f>
        <v>0.02</v>
      </c>
      <c r="G20" s="1856"/>
      <c r="H20" s="1203" t="s">
        <v>1385</v>
      </c>
      <c r="I20" s="164" t="s">
        <v>1437</v>
      </c>
      <c r="J20" s="25">
        <f ca="1">ROUND(M20*M21,0)</f>
        <v>99</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v>
      </c>
      <c r="D21" s="369" t="s">
        <v>1441</v>
      </c>
      <c r="E21" s="347" t="s">
        <v>1442</v>
      </c>
      <c r="F21" s="367">
        <f>'数据-取费表'!B38</f>
        <v>0.02</v>
      </c>
      <c r="G21" s="1856"/>
      <c r="H21" s="372"/>
      <c r="I21" s="356"/>
      <c r="J21" s="29"/>
      <c r="K21" s="373"/>
      <c r="L21" s="347" t="s">
        <v>1443</v>
      </c>
      <c r="M21" s="348">
        <f ca="1">INDIRECT("'数据-取费表'!r"&amp;$G$1)</f>
        <v>32.89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2962"/>
      <c r="F22" s="26"/>
      <c r="G22" s="1853"/>
      <c r="H22" s="1203" t="s">
        <v>1036</v>
      </c>
      <c r="I22" s="347" t="s">
        <v>1445</v>
      </c>
      <c r="J22" s="24">
        <f ca="1">ROUND(J14*M22,0)</f>
        <v>8282</v>
      </c>
      <c r="K22" s="2950" t="s">
        <v>1446</v>
      </c>
      <c r="L22" s="347" t="s">
        <v>1418</v>
      </c>
      <c r="M22" s="374">
        <f ca="1">INDIRECT("'数据-取费表'!Ak"&amp;$G$1)</f>
        <v>0.02</v>
      </c>
    </row>
    <row r="23" spans="1:37" s="1860" customFormat="1" ht="18" customHeight="1">
      <c r="A23" s="1203" t="s">
        <v>1031</v>
      </c>
      <c r="B23" s="347" t="s">
        <v>1447</v>
      </c>
      <c r="C23" s="24">
        <f ca="1">IF('数据-取费表'!B22&lt;=1,ROUND(C19*F24*F23/2,0)+ROUND(C20*F24*F23/2,0),ROUND(C19*(POWER((1+F24),F23/2)-1),0)+ROUND(C20*(POWER((1+F24),F23/2)-1),0))</f>
        <v>24614</v>
      </c>
      <c r="D23" s="375" t="str">
        <f>IF(F23&lt;=1,"(建造成本+管理费用)×利率×(建设周期÷2)","(建造成本+管理费用)×((1+利率)^(建设周期÷2)-1)")</f>
        <v>(建造成本+管理费用)×((1+利率)^(建设周期÷2)-1)</v>
      </c>
      <c r="E23" s="347" t="s">
        <v>1448</v>
      </c>
      <c r="F23" s="371">
        <f>'数据-取费表'!B20</f>
        <v>3</v>
      </c>
      <c r="G23" s="1856"/>
      <c r="H23" s="1203" t="s">
        <v>1072</v>
      </c>
      <c r="I23" s="347" t="s">
        <v>1449</v>
      </c>
      <c r="J23" s="24">
        <f ca="1">ROUND(J13*M23,0)</f>
        <v>0</v>
      </c>
      <c r="K23" s="2950" t="s">
        <v>1450</v>
      </c>
      <c r="L23" s="347" t="s">
        <v>1418</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ROUND(J5*M24,0)</f>
        <v>0</v>
      </c>
      <c r="K24" s="1344" t="s">
        <v>1455</v>
      </c>
      <c r="L24" s="1342" t="s">
        <v>1418</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7" t="s">
        <v>1457</v>
      </c>
      <c r="C25" s="24"/>
      <c r="D25" s="140" t="s">
        <v>1458</v>
      </c>
      <c r="E25" s="2962"/>
      <c r="F25" s="26"/>
      <c r="G25" s="1853"/>
      <c r="H25" s="1331" t="s">
        <v>1028</v>
      </c>
      <c r="I25" s="1346" t="s">
        <v>1459</v>
      </c>
      <c r="J25" s="355">
        <f ca="1">J5-J16</f>
        <v>-11859</v>
      </c>
      <c r="K25" s="1347" t="s">
        <v>1460</v>
      </c>
      <c r="L25" s="1348"/>
      <c r="M25" s="1349"/>
    </row>
    <row r="26" spans="1:37" ht="18" customHeight="1">
      <c r="A26" s="1203" t="s">
        <v>1031</v>
      </c>
      <c r="B26" s="347" t="s">
        <v>1461</v>
      </c>
      <c r="C26" s="24">
        <f ca="1">ROUND((C19+C20)*F26,0)</f>
        <v>17071</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3"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414088</v>
      </c>
      <c r="D29" s="1344"/>
      <c r="E29" s="1342"/>
      <c r="F29" s="1345"/>
      <c r="G29" s="1856"/>
      <c r="H29" s="380" t="s">
        <v>1030</v>
      </c>
      <c r="I29" s="381" t="s">
        <v>1475</v>
      </c>
      <c r="J29" s="382">
        <f ca="1">ROUND(J26/(1+F40)^F41,0)</f>
        <v>0</v>
      </c>
      <c r="K29" s="383" t="s">
        <v>1476</v>
      </c>
      <c r="L29" s="384"/>
      <c r="M29" s="385">
        <f ca="1">INDIRECT("'数据-取费表'!k"&amp;$G$1)</f>
        <v>133.35999999999999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13948</v>
      </c>
      <c r="D30" s="1339" t="s">
        <v>1421</v>
      </c>
      <c r="E30" s="2954"/>
      <c r="F30" s="1296"/>
      <c r="G30" s="1853"/>
      <c r="H30" s="745"/>
      <c r="I30" s="746"/>
      <c r="J30" s="747"/>
      <c r="K30" s="748"/>
      <c r="L30" s="749"/>
      <c r="M30" s="750"/>
    </row>
    <row r="31" spans="1:37" ht="18" customHeight="1">
      <c r="A31" s="1203" t="s">
        <v>1032</v>
      </c>
      <c r="B31" s="347" t="s">
        <v>1425</v>
      </c>
      <c r="C31" s="24">
        <f ca="1">ROUND(IF(项目基本情况!B11="自然人",C5*F31,C32+C33+C34),0)</f>
        <v>4378</v>
      </c>
      <c r="D31" s="2952" t="s">
        <v>1426</v>
      </c>
      <c r="E31" s="295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IF(项目基本情况!B11="自然人","——",ROUND(C5*F32/(1+'数据-取费表'!C42),0))</f>
        <v>1300</v>
      </c>
      <c r="D32" s="2950" t="s">
        <v>1430</v>
      </c>
      <c r="E32" s="347" t="s">
        <v>1418</v>
      </c>
      <c r="F32" s="377">
        <f>'数据-取费表'!B41</f>
        <v>5.5000000000000007E-2</v>
      </c>
      <c r="G32" s="1853"/>
      <c r="H32" s="745"/>
      <c r="I32" s="746"/>
      <c r="J32" s="747"/>
      <c r="K32" s="748"/>
      <c r="L32" s="749"/>
      <c r="M32" s="750"/>
    </row>
    <row r="33" spans="1:18" ht="18" customHeight="1">
      <c r="A33" s="1203" t="s">
        <v>1033</v>
      </c>
      <c r="B33" s="347" t="s">
        <v>1433</v>
      </c>
      <c r="C33" s="24">
        <f ca="1">IF(项目基本情况!B11="自然人","——",IF(D33="按租金收入计税",ROUND(C5*F33,0),IF(D33="按房产原值计税",ROUND(C29*F33*0.7,0),INDIRECT("'数据-取费表'!Aj"&amp;$G$1))))</f>
        <v>2979</v>
      </c>
      <c r="D33" s="1830" t="s">
        <v>3286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99</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32.89</v>
      </c>
      <c r="G35" s="1853"/>
      <c r="H35" s="745"/>
      <c r="I35" s="1862"/>
      <c r="J35" s="1863"/>
      <c r="K35" s="1864"/>
      <c r="L35" s="1861"/>
      <c r="M35" s="1861"/>
    </row>
    <row r="36" spans="1:18" ht="18" customHeight="1">
      <c r="A36" s="1354" t="s">
        <v>1036</v>
      </c>
      <c r="B36" s="347" t="s">
        <v>1445</v>
      </c>
      <c r="C36" s="24">
        <f ca="1">ROUND(C29*F36,0)</f>
        <v>8282</v>
      </c>
      <c r="D36" s="2950" t="s">
        <v>1478</v>
      </c>
      <c r="E36" s="347" t="s">
        <v>1418</v>
      </c>
      <c r="F36" s="374">
        <f ca="1">INDIRECT("'数据-取费表'!Ak"&amp;$G$1)</f>
        <v>0.02</v>
      </c>
      <c r="G36" s="1853"/>
      <c r="H36" s="1861"/>
      <c r="I36" s="1862"/>
      <c r="J36" s="1863"/>
      <c r="K36" s="751"/>
      <c r="L36" s="1861"/>
      <c r="M36" s="1861"/>
    </row>
    <row r="37" spans="1:18" ht="18" customHeight="1">
      <c r="A37" s="1203" t="s">
        <v>1072</v>
      </c>
      <c r="B37" s="347" t="s">
        <v>1449</v>
      </c>
      <c r="C37" s="24">
        <f ca="1">ROUND(C13*F37,0)</f>
        <v>791</v>
      </c>
      <c r="D37" s="2950" t="s">
        <v>1450</v>
      </c>
      <c r="E37" s="347" t="s">
        <v>1418</v>
      </c>
      <c r="F37" s="376">
        <f ca="1">INDIRECT("'数据-取费表'!Al"&amp;$G$1)</f>
        <v>2E-3</v>
      </c>
      <c r="G37" s="1853"/>
      <c r="H37" s="1861"/>
      <c r="I37" s="1862"/>
      <c r="J37" s="1863"/>
      <c r="K37" s="751"/>
      <c r="L37" s="1861"/>
      <c r="M37" s="1861"/>
    </row>
    <row r="38" spans="1:18" ht="18" customHeight="1" thickBot="1">
      <c r="A38" s="1341" t="s">
        <v>1388</v>
      </c>
      <c r="B38" s="1342" t="s">
        <v>1435</v>
      </c>
      <c r="C38" s="1343">
        <f ca="1">ROUND(C5*F38,1)</f>
        <v>496.5</v>
      </c>
      <c r="D38" s="1344" t="s">
        <v>1455</v>
      </c>
      <c r="E38" s="1342" t="s">
        <v>1418</v>
      </c>
      <c r="F38" s="1338">
        <f ca="1">INDIRECT("'数据-取费表'!Am"&amp;$G$1)</f>
        <v>0.02</v>
      </c>
      <c r="G38" s="1853"/>
      <c r="H38" s="1861"/>
      <c r="I38" s="1862"/>
      <c r="J38" s="1863"/>
      <c r="K38" s="1867"/>
      <c r="L38" s="1861"/>
      <c r="M38" s="1861"/>
    </row>
    <row r="39" spans="1:18" ht="24.6" customHeight="1" thickTop="1">
      <c r="A39" s="1331" t="s">
        <v>1028</v>
      </c>
      <c r="B39" s="1346" t="s">
        <v>1459</v>
      </c>
      <c r="C39" s="355">
        <f ca="1">C5-C30</f>
        <v>10877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203857</v>
      </c>
      <c r="D40" s="370" t="s">
        <v>1465</v>
      </c>
      <c r="E40" s="347" t="s">
        <v>1466</v>
      </c>
      <c r="F40" s="357">
        <f ca="1">INDIRECT("'数据-取费表'!I"&amp;$G$1)</f>
        <v>4.4999999999999998E-2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42.12</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f ca="1">ROUND(C40/F43,0)</f>
        <v>1529</v>
      </c>
      <c r="D43" s="383" t="s">
        <v>1484</v>
      </c>
      <c r="E43" s="384" t="s">
        <v>1485</v>
      </c>
      <c r="F43" s="385">
        <f ca="1">INDIRECT("'数据-取费表'!k"&amp;$G$1)</f>
        <v>133.35999999999999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-1027661</v>
      </c>
      <c r="D45" s="1942" t="s">
        <v>1600</v>
      </c>
      <c r="E45" s="1868"/>
      <c r="F45" s="1868"/>
      <c r="O45" s="1871" t="s">
        <v>1515</v>
      </c>
      <c r="P45" s="1841"/>
      <c r="Q45" s="1841"/>
      <c r="R45" s="1841"/>
    </row>
    <row r="46" spans="1:18" s="1844" customFormat="1" ht="13.5" thickBot="1">
      <c r="A46" s="1872" t="s">
        <v>1516</v>
      </c>
      <c r="C46" s="1873">
        <f ca="1">ROUND(C45/10000,0)</f>
        <v>-103</v>
      </c>
      <c r="D46" s="1874" t="str">
        <f>C2</f>
        <v>万元</v>
      </c>
      <c r="I46" s="1875" t="s">
        <v>1517</v>
      </c>
      <c r="J46" s="1876"/>
      <c r="K46" s="1877"/>
      <c r="L46" s="1878">
        <f ca="1">IF(M47="住宅",0,IF(L48&gt;J51,L60,J60))</f>
        <v>5332</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2"/>
      <c r="I47" s="1882" t="s">
        <v>1522</v>
      </c>
      <c r="J47" s="1883" t="s">
        <v>3287</v>
      </c>
      <c r="K47" s="1884" t="s">
        <v>1523</v>
      </c>
      <c r="L47" s="1885">
        <f ca="1">INDIRECT("'数据-取费表'!d"&amp;$G$1)</f>
        <v>50</v>
      </c>
      <c r="M47" s="1840" t="str">
        <f>IF(ISNUMBER(FIND("住宅",C1)),"住宅","非住宅")</f>
        <v>非住宅</v>
      </c>
      <c r="O47" s="1886" t="s">
        <v>1037</v>
      </c>
      <c r="P47" s="1887" t="s">
        <v>1524</v>
      </c>
      <c r="Q47" s="1888">
        <f ca="1">C40+J29</f>
        <v>203857</v>
      </c>
      <c r="R47" s="1888" t="s">
        <v>1525</v>
      </c>
    </row>
    <row r="48" spans="1:18" s="1844" customFormat="1" ht="28.5" thickBot="1">
      <c r="A48" s="1362" t="s">
        <v>1132</v>
      </c>
      <c r="B48" s="345" t="s">
        <v>1397</v>
      </c>
      <c r="C48" s="2961">
        <f ca="1">C49+C53+C55</f>
        <v>0</v>
      </c>
      <c r="D48" s="1364"/>
      <c r="E48" s="1365"/>
      <c r="F48" s="1183"/>
      <c r="G48" s="792"/>
      <c r="H48" s="793"/>
      <c r="I48" s="1889" t="s">
        <v>1526</v>
      </c>
      <c r="J48" s="1890" t="s">
        <v>3288</v>
      </c>
      <c r="K48" s="1891" t="s">
        <v>1527</v>
      </c>
      <c r="L48" s="1892">
        <f ca="1">INDIRECT("'数据-取费表'!f"&amp;$G$1)</f>
        <v>42.12</v>
      </c>
      <c r="O48" s="1886" t="s">
        <v>1038</v>
      </c>
      <c r="P48" s="1887" t="s">
        <v>1528</v>
      </c>
      <c r="Q48" s="1888">
        <f ca="1">J60</f>
        <v>5332</v>
      </c>
      <c r="R48" s="1888" t="s">
        <v>1529</v>
      </c>
    </row>
    <row r="49" spans="1:18" s="1844" customFormat="1" ht="13.5" thickBot="1">
      <c r="A49" s="1196" t="s">
        <v>1133</v>
      </c>
      <c r="B49" s="1831" t="s">
        <v>1486</v>
      </c>
      <c r="C49" s="1366">
        <f ca="1">ROUND(F49*F51*F50*(1-F52),0)</f>
        <v>0</v>
      </c>
      <c r="D49" s="1278" t="s">
        <v>1400</v>
      </c>
      <c r="E49" s="1832" t="s">
        <v>1487</v>
      </c>
      <c r="F49" s="1283"/>
      <c r="G49" s="1893"/>
      <c r="H49" s="793"/>
      <c r="I49" s="1889" t="s">
        <v>1530</v>
      </c>
      <c r="J49" s="1894">
        <v>2015</v>
      </c>
      <c r="K49" s="1891" t="s">
        <v>1531</v>
      </c>
      <c r="L49" s="1895"/>
      <c r="O49" s="1896" t="s">
        <v>1039</v>
      </c>
      <c r="P49" s="1887" t="s">
        <v>1532</v>
      </c>
      <c r="Q49" s="1888">
        <f ca="1">C29</f>
        <v>414088</v>
      </c>
      <c r="R49" s="1888" t="s">
        <v>1525</v>
      </c>
    </row>
    <row r="50" spans="1:18" s="1844" customFormat="1" ht="13.5" thickBot="1">
      <c r="A50" s="1197"/>
      <c r="B50" s="1200"/>
      <c r="C50" s="1201"/>
      <c r="D50" s="1174"/>
      <c r="E50" s="1279" t="s">
        <v>1402</v>
      </c>
      <c r="F50" s="1280">
        <f ca="1">F7</f>
        <v>133.35999999999999</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8">
        <f ca="1">F8</f>
        <v>365</v>
      </c>
      <c r="I51" s="1900" t="s">
        <v>1536</v>
      </c>
      <c r="J51" s="1901">
        <f>IF(J49="",J50,J49+J50-YEAR('数据-取费表'!B2))</f>
        <v>57</v>
      </c>
      <c r="K51" s="1902" t="s">
        <v>1537</v>
      </c>
      <c r="L51" s="1903">
        <f ca="1">ROUND(-PV(INDIRECT("'数据-取费表'!h"&amp;$G$1),L48,(C39-C13*C76),0),0)</f>
        <v>-419509</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42.12</v>
      </c>
      <c r="R52" s="1888" t="s">
        <v>1542</v>
      </c>
    </row>
    <row r="53" spans="1:18" s="1844" customFormat="1" ht="30.75" customHeight="1" thickBot="1">
      <c r="A53" s="1363" t="s">
        <v>1134</v>
      </c>
      <c r="B53" s="369"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42.12</v>
      </c>
      <c r="K53" s="3261" t="s">
        <v>1544</v>
      </c>
      <c r="L53" s="3262"/>
      <c r="O53" s="1886" t="s">
        <v>1043</v>
      </c>
      <c r="P53" s="1887" t="s">
        <v>1545</v>
      </c>
      <c r="Q53" s="1888">
        <f ca="1">Q47+Q48</f>
        <v>209189</v>
      </c>
      <c r="R53" s="1888" t="s">
        <v>1044</v>
      </c>
    </row>
    <row r="54" spans="1:18" s="1844" customFormat="1" ht="13.5" thickBot="1">
      <c r="A54" s="1196"/>
      <c r="B54" s="1943" t="s">
        <v>1599</v>
      </c>
      <c r="C54" s="1180"/>
      <c r="D54" s="1826"/>
      <c r="E54" s="295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6"/>
      <c r="F55" s="1909"/>
      <c r="I55" s="1912" t="s">
        <v>1547</v>
      </c>
      <c r="J55" s="1913">
        <f ca="1">ROUND(IF(J47="钢混",J57/J50,1-(1-2%)*(J50-J57)/J50),3)</f>
        <v>0.248</v>
      </c>
      <c r="K55" s="1914" t="s">
        <v>1548</v>
      </c>
      <c r="L55" s="1915"/>
      <c r="O55" s="1879" t="s">
        <v>1518</v>
      </c>
      <c r="P55" s="1880" t="s">
        <v>1519</v>
      </c>
      <c r="Q55" s="1881" t="s">
        <v>1520</v>
      </c>
      <c r="R55" s="1881" t="s">
        <v>1521</v>
      </c>
    </row>
    <row r="56" spans="1:18" s="1844" customFormat="1" ht="36" customHeight="1" thickTop="1" thickBot="1">
      <c r="A56" s="1178">
        <v>2</v>
      </c>
      <c r="B56" s="1179" t="s">
        <v>1410</v>
      </c>
      <c r="C56" s="276">
        <f ca="1">C13</f>
        <v>395454</v>
      </c>
      <c r="D56" s="1916"/>
      <c r="E56" s="1917"/>
      <c r="F56" s="1909"/>
      <c r="I56" s="1918" t="s">
        <v>1550</v>
      </c>
      <c r="J56" s="1919" t="s">
        <v>3054</v>
      </c>
      <c r="K56" s="1889" t="s">
        <v>1551</v>
      </c>
      <c r="L56" s="1892" t="str">
        <f ca="1">IF(L48&lt;J51,"——",L48-J51)</f>
        <v>——</v>
      </c>
      <c r="O56" s="1886" t="s">
        <v>1037</v>
      </c>
      <c r="P56" s="1887" t="s">
        <v>1524</v>
      </c>
      <c r="Q56" s="1888">
        <f ca="1">C40+J29</f>
        <v>203857</v>
      </c>
      <c r="R56" s="1888" t="s">
        <v>1525</v>
      </c>
    </row>
    <row r="57" spans="1:18" s="1844" customFormat="1" ht="24.75" thickBot="1">
      <c r="A57" s="1920"/>
      <c r="B57" s="1171" t="s">
        <v>1474</v>
      </c>
      <c r="C57" s="282">
        <f ca="1">C29</f>
        <v>414088</v>
      </c>
      <c r="D57" s="1921"/>
      <c r="E57" s="1922"/>
      <c r="F57" s="1923"/>
      <c r="I57" s="1924" t="s">
        <v>1552</v>
      </c>
      <c r="J57" s="1925">
        <f ca="1">IF(OR(M47="住宅",J51&lt;L48,J56="是"),"——",J51-L48)</f>
        <v>14.880000000000003</v>
      </c>
      <c r="K57" s="1889" t="s">
        <v>1601</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79" t="s">
        <v>1420</v>
      </c>
      <c r="C58" s="361">
        <f ca="1">ROUND(C59+C64+C65+C66,0)</f>
        <v>43955</v>
      </c>
      <c r="D58" s="1181" t="s">
        <v>1421</v>
      </c>
      <c r="E58" s="1182"/>
      <c r="F58" s="1183"/>
      <c r="I58" s="1924" t="s">
        <v>1556</v>
      </c>
      <c r="J58" s="1926">
        <f ca="1">IF(J55&lt;0.4,0.4,J55)</f>
        <v>0.4</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34882</v>
      </c>
      <c r="D59" s="1184" t="s">
        <v>1426</v>
      </c>
      <c r="E59" s="1185" t="s">
        <v>1427</v>
      </c>
      <c r="F59" s="368" t="str">
        <f ca="1">IF(项目基本情况!B11="企业","",IF(INDIRECT("'数据-取费表'!c"&amp;$G$1)="住宅",5%,IF(F49*F50*F51/12/(1+'数据-取费表'!C42)&gt;20000,12%,7%)))</f>
        <v/>
      </c>
      <c r="I59" s="1924" t="s">
        <v>1559</v>
      </c>
      <c r="J59" s="1925">
        <f ca="1">IF(OR(M47="住宅",J51&lt;L48,J56="是"),"——",ROUND(C29*J58,0))</f>
        <v>165635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7" t="s">
        <v>1561</v>
      </c>
      <c r="J60" s="1928">
        <f ca="1">IF(OR(M47="住宅",J51&lt;L48,J56="是"),"0",ROUND(J59/(1+J52)^J53,0))</f>
        <v>5332</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4">
        <f ca="1">IF(项目基本情况!B11="自然人","——",IF(D61="按租金收入计税",ROUND(C48*F61,0),IF(D61="按房产原值计税",ROUND(C57*F61*0.7,0),INDIRECT("'数据-取费表'!Aj"&amp;$G$1))))</f>
        <v>34783</v>
      </c>
      <c r="D61" s="1830" t="s">
        <v>1434</v>
      </c>
      <c r="E61" s="1171" t="s">
        <v>1418</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5">
        <f ca="1">IF(项目基本情况!B11="自然人","——",ROUND(F62*F63,0))</f>
        <v>99</v>
      </c>
      <c r="D62" s="1186" t="s">
        <v>1438</v>
      </c>
      <c r="E62" s="1171" t="s">
        <v>1439</v>
      </c>
      <c r="F62" s="371">
        <f t="shared" si="0"/>
        <v>3</v>
      </c>
      <c r="I62" s="1931" t="s">
        <v>1566</v>
      </c>
      <c r="J62" s="1932" t="s">
        <v>1567</v>
      </c>
      <c r="K62" s="1932" t="s">
        <v>1568</v>
      </c>
      <c r="L62" s="1932" t="s">
        <v>1569</v>
      </c>
      <c r="M62" s="1933" t="s">
        <v>1570</v>
      </c>
      <c r="O62" s="1886" t="s">
        <v>1043</v>
      </c>
      <c r="P62" s="1887" t="s">
        <v>1545</v>
      </c>
      <c r="Q62" s="1888">
        <f ca="1">Q56+Q57</f>
        <v>203857</v>
      </c>
      <c r="R62" s="1888" t="s">
        <v>1044</v>
      </c>
    </row>
    <row r="63" spans="1:18" s="1844" customFormat="1" ht="13.5" thickBot="1">
      <c r="A63" s="372"/>
      <c r="B63" s="1177"/>
      <c r="C63" s="29"/>
      <c r="D63" s="1187"/>
      <c r="E63" s="1171" t="s">
        <v>1443</v>
      </c>
      <c r="F63" s="348">
        <f t="shared" ca="1" si="0"/>
        <v>32.89</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4">
        <f ca="1">ROUND(C57*F64,0)</f>
        <v>8282</v>
      </c>
      <c r="D64" s="1185" t="s">
        <v>1478</v>
      </c>
      <c r="E64" s="1171" t="s">
        <v>1418</v>
      </c>
      <c r="F64" s="374">
        <f t="shared" ca="1" si="0"/>
        <v>0.02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791</v>
      </c>
      <c r="D65" s="1185" t="s">
        <v>1450</v>
      </c>
      <c r="E65" s="1171" t="s">
        <v>1418</v>
      </c>
      <c r="F65" s="376">
        <f t="shared" ca="1" si="0"/>
        <v>2E-3</v>
      </c>
      <c r="I65" s="1931" t="s">
        <v>1575</v>
      </c>
      <c r="J65" s="1932">
        <v>40</v>
      </c>
      <c r="K65" s="1932">
        <v>30</v>
      </c>
      <c r="L65" s="1932">
        <v>50</v>
      </c>
      <c r="M65" s="1934">
        <v>0.02</v>
      </c>
      <c r="O65" s="1886" t="s">
        <v>1037</v>
      </c>
      <c r="P65" s="1887" t="s">
        <v>1524</v>
      </c>
      <c r="Q65" s="1888">
        <f ca="1">C40+J29</f>
        <v>203857</v>
      </c>
      <c r="R65" s="1888" t="s">
        <v>1525</v>
      </c>
    </row>
    <row r="66" spans="1:18" s="1844" customFormat="1" ht="16.5" thickBot="1">
      <c r="A66" s="1203" t="s">
        <v>1500</v>
      </c>
      <c r="B66" s="1171" t="s">
        <v>1435</v>
      </c>
      <c r="C66" s="24">
        <f ca="1">ROUND(C48*F66,0)</f>
        <v>0</v>
      </c>
      <c r="D66" s="1185" t="s">
        <v>1455</v>
      </c>
      <c r="E66" s="1171" t="s">
        <v>1418</v>
      </c>
      <c r="F66" s="357">
        <f t="shared" ca="1" si="0"/>
        <v>0.02</v>
      </c>
      <c r="O66" s="1886" t="s">
        <v>1038</v>
      </c>
      <c r="P66" s="1887" t="s">
        <v>1554</v>
      </c>
      <c r="Q66" s="1888">
        <f ca="1">L60</f>
        <v>0</v>
      </c>
      <c r="R66" s="1888" t="s">
        <v>1577</v>
      </c>
    </row>
    <row r="67" spans="1:18" s="1844" customFormat="1" ht="16.5" thickBot="1">
      <c r="A67" s="1178" t="s">
        <v>1028</v>
      </c>
      <c r="B67" s="1188" t="s">
        <v>1459</v>
      </c>
      <c r="C67" s="361">
        <f ca="1">C48-C58</f>
        <v>-43955</v>
      </c>
      <c r="D67" s="1184" t="s">
        <v>1460</v>
      </c>
      <c r="E67" s="1189"/>
      <c r="F67" s="1190"/>
      <c r="O67" s="1896" t="s">
        <v>1039</v>
      </c>
      <c r="P67" s="1887" t="s">
        <v>1558</v>
      </c>
      <c r="Q67" s="1935">
        <f ca="1">L51</f>
        <v>-419509</v>
      </c>
      <c r="R67" s="1888" t="s">
        <v>1578</v>
      </c>
    </row>
    <row r="68" spans="1:18" s="1844" customFormat="1" ht="16.5" thickBot="1">
      <c r="A68" s="1168" t="s">
        <v>1029</v>
      </c>
      <c r="B68" s="1169" t="s">
        <v>1481</v>
      </c>
      <c r="C68" s="346">
        <f ca="1">ROUND(C67*(1-((1+F70)/(1+F68))^F69)/(F68-F70),0)</f>
        <v>-823804</v>
      </c>
      <c r="D68" s="1186" t="s">
        <v>1465</v>
      </c>
      <c r="E68" s="1171" t="s">
        <v>1466</v>
      </c>
      <c r="F68" s="357">
        <f ca="1">F40</f>
        <v>4.4999999999999998E-2</v>
      </c>
      <c r="O68" s="1896" t="s">
        <v>1040</v>
      </c>
      <c r="P68" s="1936" t="s">
        <v>1579</v>
      </c>
      <c r="Q68" s="1888">
        <f ca="1">ROUND(Q69-Q70*Q71,0)</f>
        <v>-20759</v>
      </c>
      <c r="R68" s="1888" t="s">
        <v>1048</v>
      </c>
    </row>
    <row r="69" spans="1:18" s="1844" customFormat="1" ht="13.5" thickBot="1">
      <c r="A69" s="1172"/>
      <c r="B69" s="1173"/>
      <c r="C69" s="351"/>
      <c r="D69" s="1191" t="s">
        <v>1469</v>
      </c>
      <c r="E69" s="1171" t="s">
        <v>1470</v>
      </c>
      <c r="F69" s="379">
        <f ca="1">F41</f>
        <v>42.12</v>
      </c>
      <c r="O69" s="1896" t="s">
        <v>1045</v>
      </c>
      <c r="P69" s="1936" t="s">
        <v>1580</v>
      </c>
      <c r="Q69" s="1888">
        <f ca="1">C39</f>
        <v>10877</v>
      </c>
      <c r="R69" s="1888" t="s">
        <v>1525</v>
      </c>
    </row>
    <row r="70" spans="1:18" s="1844" customFormat="1" ht="13.5" thickBot="1">
      <c r="A70" s="1175"/>
      <c r="B70" s="1176"/>
      <c r="C70" s="355"/>
      <c r="D70" s="1187"/>
      <c r="E70" s="1171" t="s">
        <v>1473</v>
      </c>
      <c r="F70" s="1277">
        <f ca="1">F42</f>
        <v>0</v>
      </c>
      <c r="O70" s="1896" t="s">
        <v>1046</v>
      </c>
      <c r="P70" s="1936" t="s">
        <v>1581</v>
      </c>
      <c r="Q70" s="1888">
        <f ca="1">C13</f>
        <v>395454</v>
      </c>
      <c r="R70" s="1888" t="s">
        <v>1525</v>
      </c>
    </row>
    <row r="71" spans="1:18" s="1844" customFormat="1" ht="13.5" thickBot="1">
      <c r="A71" s="1192" t="s">
        <v>1030</v>
      </c>
      <c r="B71" s="1193" t="s">
        <v>1483</v>
      </c>
      <c r="C71" s="382">
        <f ca="1">ROUND(C68/F71,0)</f>
        <v>-6177</v>
      </c>
      <c r="D71" s="1194" t="s">
        <v>1484</v>
      </c>
      <c r="E71" s="1195" t="s">
        <v>1485</v>
      </c>
      <c r="F71" s="385">
        <f ca="1">F43</f>
        <v>133.35999999999999</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31636</v>
      </c>
      <c r="D75" s="1844"/>
      <c r="E75" s="1844"/>
      <c r="F75" s="1844"/>
      <c r="K75" s="1870"/>
      <c r="L75" s="1844"/>
      <c r="O75" s="1886" t="s">
        <v>1043</v>
      </c>
      <c r="P75" s="1887" t="s">
        <v>1545</v>
      </c>
      <c r="Q75" s="1888">
        <f ca="1">Q65+Q66</f>
        <v>203857</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-1.9089999999999998</v>
      </c>
    </row>
    <row r="80" spans="1:18">
      <c r="B80" s="386" t="s">
        <v>1507</v>
      </c>
      <c r="C80" s="318">
        <f ca="1">ROUND(C75/C39,3)</f>
        <v>2.9089999999999998</v>
      </c>
    </row>
    <row r="81" spans="2:3">
      <c r="B81" s="314" t="s">
        <v>1508</v>
      </c>
      <c r="C81" s="282"/>
    </row>
    <row r="82" spans="2:3">
      <c r="B82" s="317" t="s">
        <v>1509</v>
      </c>
      <c r="C82" s="319">
        <f ca="1">1-C83</f>
        <v>-0.94</v>
      </c>
    </row>
    <row r="83" spans="2:3">
      <c r="B83" s="317" t="s">
        <v>1510</v>
      </c>
      <c r="C83" s="318">
        <f ca="1">ROUND(C13/C40,3)</f>
        <v>1.94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9" t="s">
        <v>48</v>
      </c>
      <c r="C1" s="242"/>
      <c r="D1" s="242"/>
      <c r="E1" s="242"/>
      <c r="F1" s="242"/>
      <c r="G1" s="1381">
        <f>MATCH(B1,'数据-取费表'!A6:A16,0)+5</f>
        <v>8</v>
      </c>
    </row>
    <row r="2" spans="1:9" s="244" customFormat="1" ht="18" customHeight="1">
      <c r="A2" s="245" t="s">
        <v>1390</v>
      </c>
      <c r="B2" s="246">
        <f ca="1">IF(D2="——",C52,C52-E2)</f>
        <v>63</v>
      </c>
      <c r="C2" s="243" t="s">
        <v>2318</v>
      </c>
      <c r="D2" s="2550" t="s">
        <v>70</v>
      </c>
      <c r="E2" s="1442" t="e">
        <f ca="1">SUMIF(INDIRECT("'"&amp;G2&amp;"'"&amp;"!A:A"),"承租人权益价值",INDIRECT("'"&amp;G2&amp;"'"&amp;"!c:c"))</f>
        <v>#REF!</v>
      </c>
      <c r="F2" s="2551" t="s">
        <v>2318</v>
      </c>
      <c r="G2" s="2552"/>
    </row>
    <row r="3" spans="1:9" s="244" customFormat="1" ht="18" customHeight="1" thickBot="1">
      <c r="A3" s="247" t="s">
        <v>1391</v>
      </c>
      <c r="B3" s="248">
        <f ca="1">ROUND(B2*10000/(IF(B1="",'数据-汇总表'!E3,INDIRECT("'数据-取费表'!k"&amp;$G$1))),0)</f>
        <v>4724</v>
      </c>
      <c r="C3" s="243" t="s">
        <v>2320</v>
      </c>
      <c r="D3" s="243"/>
      <c r="E3" s="243"/>
      <c r="F3" s="243"/>
      <c r="G3" s="243"/>
    </row>
    <row r="4" spans="1:9" s="252" customFormat="1" ht="15.75">
      <c r="A4" s="249" t="s">
        <v>2321</v>
      </c>
      <c r="B4" s="250"/>
      <c r="C4" s="250"/>
      <c r="D4" s="250"/>
      <c r="E4" s="250"/>
      <c r="F4" s="250"/>
      <c r="G4" s="251"/>
    </row>
    <row r="5" spans="1:9" s="258" customFormat="1" ht="13.5" customHeight="1">
      <c r="A5" s="299" t="s">
        <v>782</v>
      </c>
      <c r="B5" s="254" t="s">
        <v>2323</v>
      </c>
      <c r="C5" s="255">
        <f ca="1">C6+C7+C8</f>
        <v>18</v>
      </c>
      <c r="D5" s="255" t="s">
        <v>2324</v>
      </c>
      <c r="E5" s="256" t="s">
        <v>2325</v>
      </c>
      <c r="F5" s="256" t="s">
        <v>2326</v>
      </c>
      <c r="G5" s="257"/>
    </row>
    <row r="6" spans="1:9" s="258" customFormat="1" ht="13.5" customHeight="1">
      <c r="A6" s="951" t="s">
        <v>791</v>
      </c>
      <c r="B6" s="259" t="s">
        <v>2328</v>
      </c>
      <c r="C6" s="260">
        <f ca="1">'基准地价修正（商业）'!E39</f>
        <v>15</v>
      </c>
      <c r="D6" s="261"/>
      <c r="E6" s="262"/>
      <c r="F6" s="262"/>
      <c r="G6" s="263"/>
    </row>
    <row r="7" spans="1:9" s="258" customFormat="1" ht="13.5" customHeight="1">
      <c r="A7" s="951" t="s">
        <v>792</v>
      </c>
      <c r="B7" s="259" t="s">
        <v>2330</v>
      </c>
      <c r="C7" s="264">
        <f ca="1">ROUND(C6*F7,0)</f>
        <v>0</v>
      </c>
      <c r="D7" s="264"/>
      <c r="E7" s="262"/>
      <c r="F7" s="265">
        <f>'数据-取费表'!B48+'数据-取费表'!B49</f>
        <v>3.0499999999999999E-2</v>
      </c>
      <c r="G7" s="263"/>
    </row>
    <row r="8" spans="1:9" s="267" customFormat="1">
      <c r="A8" s="951" t="s">
        <v>793</v>
      </c>
      <c r="B8" s="259" t="s">
        <v>2332</v>
      </c>
      <c r="C8" s="264">
        <f ca="1">IF(G8="已包含在土地购买价格中","0",IF(B1="",'数据-取费表'!B29,IF(G9="全部缴纳",C9+C10,H9)))</f>
        <v>3</v>
      </c>
      <c r="D8" s="266"/>
      <c r="E8" s="264"/>
      <c r="F8" s="265"/>
      <c r="G8" s="2553" t="s">
        <v>3294</v>
      </c>
    </row>
    <row r="9" spans="1:9" s="258" customFormat="1" ht="13.5" customHeight="1">
      <c r="A9" s="952" t="s">
        <v>800</v>
      </c>
      <c r="B9" s="268" t="s">
        <v>2333</v>
      </c>
      <c r="C9" s="269">
        <f ca="1">ROUND(D9*E9/10000,0)</f>
        <v>0</v>
      </c>
      <c r="D9" s="1034">
        <f ca="1">IF(B1="",'数据-汇总表'!E5,IF(INDIRECT("'数据-取费表'!c"&amp;$G$1)="住宅",INDIRECT("'数据-取费表'!k"&amp;$G$1),0))</f>
        <v>0</v>
      </c>
      <c r="E9" s="269">
        <f>'数据-取费表'!B27</f>
        <v>150</v>
      </c>
      <c r="F9" s="265"/>
      <c r="G9" s="2554" t="s">
        <v>3295</v>
      </c>
      <c r="H9" s="1392"/>
      <c r="I9" s="2555" t="s">
        <v>2334</v>
      </c>
    </row>
    <row r="10" spans="1:9" s="258" customFormat="1" ht="13.5" customHeight="1">
      <c r="A10" s="952" t="s">
        <v>801</v>
      </c>
      <c r="B10" s="268" t="s">
        <v>2335</v>
      </c>
      <c r="C10" s="269">
        <f ca="1">ROUND(D10*E10/10000,0)</f>
        <v>3</v>
      </c>
      <c r="D10" s="1034">
        <f ca="1">IF(B1="",'数据-汇总表'!E6,IF(INDIRECT("'数据-取费表'!c"&amp;$G$1)="住宅",INDIRECT("'数据-取费表'!s"&amp;$G$1),INDIRECT("'数据-取费表'!k"&amp;$G$1)+INDIRECT("'数据-取费表'!s"&amp;$G$1)))</f>
        <v>133.35999999999999</v>
      </c>
      <c r="E10" s="269">
        <f>'数据-取费表'!B28</f>
        <v>190</v>
      </c>
      <c r="F10" s="265"/>
      <c r="G10" s="270"/>
    </row>
    <row r="11" spans="1:9" s="258" customFormat="1" ht="13.5" hidden="1" customHeight="1">
      <c r="A11" s="271" t="s">
        <v>7</v>
      </c>
      <c r="B11" s="259" t="s">
        <v>2336</v>
      </c>
      <c r="C11" s="255"/>
      <c r="D11" s="1036"/>
      <c r="E11" s="262"/>
      <c r="F11" s="262"/>
      <c r="G11" s="263"/>
    </row>
    <row r="12" spans="1:9" s="258" customFormat="1" ht="13.5" hidden="1" customHeight="1">
      <c r="A12" s="271" t="s">
        <v>8</v>
      </c>
      <c r="B12" s="259" t="s">
        <v>2337</v>
      </c>
      <c r="C12" s="255">
        <v>0</v>
      </c>
      <c r="D12" s="1036"/>
      <c r="E12" s="272"/>
      <c r="F12" s="265">
        <v>3.0499999999999999E-2</v>
      </c>
      <c r="G12" s="263"/>
    </row>
    <row r="13" spans="1:9" s="258" customFormat="1" ht="13.5" hidden="1" customHeight="1">
      <c r="A13" s="271" t="s">
        <v>9</v>
      </c>
      <c r="B13" s="259" t="s">
        <v>2338</v>
      </c>
      <c r="C13" s="255"/>
      <c r="D13" s="1036"/>
      <c r="E13" s="262"/>
      <c r="F13" s="262"/>
      <c r="G13" s="263"/>
    </row>
    <row r="14" spans="1:9" s="258" customFormat="1" ht="13.5" hidden="1" customHeight="1">
      <c r="A14" s="271" t="s">
        <v>10</v>
      </c>
      <c r="B14" s="259" t="s">
        <v>2332</v>
      </c>
      <c r="C14" s="255"/>
      <c r="D14" s="1036"/>
      <c r="E14" s="262"/>
      <c r="F14" s="262"/>
      <c r="G14" s="263" t="s">
        <v>2340</v>
      </c>
    </row>
    <row r="15" spans="1:9" s="258" customFormat="1" ht="13.5" hidden="1" customHeight="1">
      <c r="A15" s="271" t="s">
        <v>11</v>
      </c>
      <c r="B15" s="259" t="s">
        <v>2341</v>
      </c>
      <c r="C15" s="264"/>
      <c r="D15" s="1036"/>
      <c r="E15" s="262"/>
      <c r="F15" s="262"/>
      <c r="G15" s="263" t="s">
        <v>2342</v>
      </c>
    </row>
    <row r="16" spans="1:9" s="258" customFormat="1" ht="13.5" hidden="1" customHeight="1">
      <c r="A16" s="271" t="s">
        <v>12</v>
      </c>
      <c r="B16" s="259" t="s">
        <v>2332</v>
      </c>
      <c r="C16" s="264"/>
      <c r="D16" s="1036"/>
      <c r="E16" s="262"/>
      <c r="F16" s="262"/>
      <c r="G16" s="263"/>
    </row>
    <row r="17" spans="1:7" s="258" customFormat="1" ht="13.5" hidden="1" customHeight="1">
      <c r="A17" s="271" t="s">
        <v>13</v>
      </c>
      <c r="B17" s="259" t="s">
        <v>2343</v>
      </c>
      <c r="C17" s="273"/>
      <c r="D17" s="1037"/>
      <c r="E17" s="273"/>
      <c r="F17" s="273"/>
      <c r="G17" s="263" t="s">
        <v>2342</v>
      </c>
    </row>
    <row r="18" spans="1:7" s="258" customFormat="1" ht="13.5" hidden="1" customHeight="1">
      <c r="A18" s="271" t="s">
        <v>14</v>
      </c>
      <c r="B18" s="259" t="s">
        <v>2344</v>
      </c>
      <c r="C18" s="264">
        <v>0</v>
      </c>
      <c r="D18" s="1036"/>
      <c r="E18" s="262"/>
      <c r="F18" s="265">
        <v>3.0499999999999999E-2</v>
      </c>
      <c r="G18" s="263" t="s">
        <v>2345</v>
      </c>
    </row>
    <row r="19" spans="1:7" s="267" customFormat="1" ht="13.5" customHeight="1">
      <c r="A19" s="299" t="s">
        <v>2346</v>
      </c>
      <c r="B19" s="254" t="s">
        <v>2347</v>
      </c>
      <c r="C19" s="255" t="str">
        <f>IF(G19="已包含在土地取得成本中","0",ROUND(D19*E19/10000,0))</f>
        <v>0</v>
      </c>
      <c r="D19" s="1038">
        <f ca="1">D9+D10</f>
        <v>133.35999999999999</v>
      </c>
      <c r="E19" s="255">
        <f>'数据-取费表'!B31</f>
        <v>100</v>
      </c>
      <c r="F19" s="275"/>
      <c r="G19" s="2553" t="s">
        <v>3296</v>
      </c>
    </row>
    <row r="20" spans="1:7" s="258" customFormat="1" ht="13.5" customHeight="1">
      <c r="A20" s="299" t="s">
        <v>2348</v>
      </c>
      <c r="B20" s="254" t="s">
        <v>2349</v>
      </c>
      <c r="C20" s="276">
        <f ca="1">ROUND((C5+C19)*F20,0)</f>
        <v>0</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6">
        <f ca="1">ROUND(SUM(C23:C25),0)</f>
        <v>3</v>
      </c>
      <c r="D22" s="279">
        <f ca="1">C26</f>
        <v>1.4E-3</v>
      </c>
      <c r="E22" s="280" t="s">
        <v>2353</v>
      </c>
      <c r="F22" s="281">
        <f ca="1">'数据-取费表'!B40</f>
        <v>4.7500000000000001E-2</v>
      </c>
      <c r="G22" s="278" t="str">
        <f>IF('数据-取费表'!B22&lt;=1,"单利计息","复利计息")</f>
        <v>复利计息</v>
      </c>
    </row>
    <row r="23" spans="1:7" s="258" customFormat="1" ht="13.5" customHeight="1">
      <c r="A23" s="953" t="s">
        <v>791</v>
      </c>
      <c r="B23" s="259" t="s">
        <v>2358</v>
      </c>
      <c r="C23" s="1357">
        <f ca="1">ROUND(IF('数据-取费表'!B22&lt;=1,C5*F22*'数据-取费表'!B23,C5*(POWER((1+F22),'数据-取费表'!B23)-1)),0)</f>
        <v>3</v>
      </c>
      <c r="D23" s="282"/>
      <c r="E23" s="282"/>
      <c r="F23" s="283"/>
      <c r="G23" s="284" t="s">
        <v>2359</v>
      </c>
    </row>
    <row r="24" spans="1:7" s="258" customFormat="1" ht="13.5" customHeight="1">
      <c r="A24" s="953" t="s">
        <v>792</v>
      </c>
      <c r="B24" s="259" t="s">
        <v>2361</v>
      </c>
      <c r="C24" s="1357">
        <f ca="1">ROUND(IF('数据-取费表'!B22&lt;=1,C19*F22*('数据-取费表'!B19/2+'数据-取费表'!B21),C19*(POWER((1+F22),('数据-取费表'!B19/2+'数据-取费表'!B21))-1)),0)</f>
        <v>0</v>
      </c>
      <c r="D24" s="282"/>
      <c r="E24" s="282"/>
      <c r="F24" s="283"/>
      <c r="G24" s="284" t="s">
        <v>2362</v>
      </c>
    </row>
    <row r="25" spans="1:7" s="258" customFormat="1" ht="24">
      <c r="A25" s="953" t="s">
        <v>793</v>
      </c>
      <c r="B25" s="259" t="s">
        <v>2364</v>
      </c>
      <c r="C25" s="1357">
        <f ca="1">ROUND(IF('数据-取费表'!B22&lt;=1,C20*F22*'数据-取费表'!B23/2,C20*(POWER((1+F22),'数据-取费表'!B23/2)-1)),0)</f>
        <v>0</v>
      </c>
      <c r="D25" s="282"/>
      <c r="E25" s="285"/>
      <c r="F25" s="283"/>
      <c r="G25" s="286" t="s">
        <v>2365</v>
      </c>
    </row>
    <row r="26" spans="1:7" s="258" customFormat="1">
      <c r="A26" s="953"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1</v>
      </c>
      <c r="D27" s="279">
        <f ca="1">C29</f>
        <v>1E-3</v>
      </c>
      <c r="E27" s="280" t="s">
        <v>2353</v>
      </c>
      <c r="F27" s="290">
        <f ca="1">IF(B1="",'数据-取费表'!Q16,INDIRECT("'数据-取费表'!q"&amp;$G$1))</f>
        <v>0.05</v>
      </c>
      <c r="G27" s="291" t="s">
        <v>2370</v>
      </c>
    </row>
    <row r="28" spans="1:7" s="258" customFormat="1" ht="13.5" customHeight="1">
      <c r="A28" s="953" t="s">
        <v>791</v>
      </c>
      <c r="B28" s="292" t="s">
        <v>2371</v>
      </c>
      <c r="C28" s="293">
        <f ca="1">ROUND((C5+C19+C20)*F27*'数据-取费表'!B21/'数据-取费表'!B20,0)</f>
        <v>1</v>
      </c>
      <c r="D28" s="279"/>
      <c r="E28" s="280"/>
      <c r="F28" s="290"/>
      <c r="G28" s="291"/>
    </row>
    <row r="29" spans="1:7" s="258" customFormat="1" ht="13.5" customHeight="1">
      <c r="A29" s="953" t="s">
        <v>792</v>
      </c>
      <c r="B29" s="292" t="s">
        <v>2372</v>
      </c>
      <c r="C29" s="282">
        <f ca="1">ROUND(C21*F27*'数据-取费表'!B21/'数据-取费表'!B20,4)</f>
        <v>1E-3</v>
      </c>
      <c r="D29" s="279"/>
      <c r="E29" s="280"/>
      <c r="F29" s="290"/>
      <c r="G29" s="291"/>
    </row>
    <row r="30" spans="1:7" s="258" customFormat="1" ht="13.5" customHeight="1">
      <c r="A30" s="299" t="s">
        <v>2373</v>
      </c>
      <c r="B30" s="254" t="s">
        <v>2374</v>
      </c>
      <c r="C30" s="279">
        <f>ROUND(F30/(1+'数据-取费表'!C42),4)</f>
        <v>5.2400000000000002E-2</v>
      </c>
      <c r="D30" s="280" t="s">
        <v>2353</v>
      </c>
      <c r="E30" s="285"/>
      <c r="F30" s="281">
        <f>'数据-取费表'!B41</f>
        <v>5.5000000000000007E-2</v>
      </c>
      <c r="G30" s="278" t="s">
        <v>2375</v>
      </c>
    </row>
    <row r="31" spans="1:7" ht="16.5" customHeight="1">
      <c r="A31" s="253">
        <v>1</v>
      </c>
      <c r="B31" s="254" t="s">
        <v>2376</v>
      </c>
      <c r="C31" s="255">
        <f ca="1">ROUND((C5+C19+C20+C22+C27)/(1-C21-D22-D27-C30),0)</f>
        <v>24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33</v>
      </c>
      <c r="D33" s="276"/>
      <c r="E33" s="256"/>
      <c r="F33" s="285"/>
      <c r="G33" s="278"/>
    </row>
    <row r="34" spans="1:7" s="302" customFormat="1" ht="13.5" customHeight="1">
      <c r="A34" s="953" t="s">
        <v>791</v>
      </c>
      <c r="B34" s="259" t="s">
        <v>2380</v>
      </c>
      <c r="C34" s="264">
        <f ca="1">IF(B1="",IF(F34=100%,'数据-取费表'!M16,'数据-取费表'!O16),IF(F34=100%,INDIRECT("'数据-取费表'!m"&amp;$G$1)+INDIRECT("'数据-取费表'!t"&amp;$G$1),INDIRECT("'数据-取费表'!o"&amp;$G$1)+INDIRECT("'数据-取费表'!aq"&amp;$G$1)))</f>
        <v>29</v>
      </c>
      <c r="D34" s="261"/>
      <c r="E34" s="264"/>
      <c r="F34" s="301">
        <f ca="1">IF('数据-取费表'!B24=0,1,IF(B1="",'数据-取费表'!N16,INDIRECT("'数据-取费表'!n"&amp;$G$1)))</f>
        <v>1</v>
      </c>
      <c r="G34" s="263" t="s">
        <v>2381</v>
      </c>
    </row>
    <row r="35" spans="1:7" ht="13.5" customHeight="1">
      <c r="A35" s="953" t="s">
        <v>796</v>
      </c>
      <c r="B35" s="259" t="s">
        <v>2382</v>
      </c>
      <c r="C35" s="264">
        <f ca="1">ROUND(C34*F35,0)</f>
        <v>1</v>
      </c>
      <c r="D35" s="264"/>
      <c r="E35" s="264"/>
      <c r="F35" s="303">
        <f>'数据-取费表'!B33</f>
        <v>3.5000000000000003E-2</v>
      </c>
      <c r="G35" s="263" t="s">
        <v>2383</v>
      </c>
    </row>
    <row r="36" spans="1:7" ht="24">
      <c r="A36" s="953"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3" t="s">
        <v>798</v>
      </c>
      <c r="B37" s="259" t="s">
        <v>2386</v>
      </c>
      <c r="C37" s="293">
        <f ca="1">ROUND(E37*D37*F34/10000,0)</f>
        <v>3</v>
      </c>
      <c r="D37" s="261">
        <f ca="1">D19</f>
        <v>133.35999999999999</v>
      </c>
      <c r="E37" s="293">
        <f>'数据-取费表'!B35</f>
        <v>200</v>
      </c>
      <c r="F37" s="303"/>
      <c r="G37" s="305" t="s">
        <v>2387</v>
      </c>
    </row>
    <row r="38" spans="1:7" ht="13.5" customHeight="1">
      <c r="A38" s="953" t="s">
        <v>799</v>
      </c>
      <c r="B38" s="259" t="s">
        <v>2388</v>
      </c>
      <c r="C38" s="264">
        <f ca="1">ROUND(C34*F38,0)</f>
        <v>0</v>
      </c>
      <c r="D38" s="264"/>
      <c r="E38" s="264"/>
      <c r="F38" s="303">
        <f>'数据-取费表'!B36</f>
        <v>1.4999999999999999E-2</v>
      </c>
      <c r="G38" s="263" t="s">
        <v>2383</v>
      </c>
    </row>
    <row r="39" spans="1:7" s="258" customFormat="1" ht="13.5" customHeight="1">
      <c r="A39" s="299" t="s">
        <v>2346</v>
      </c>
      <c r="B39" s="254" t="s">
        <v>2349</v>
      </c>
      <c r="C39" s="276">
        <f ca="1">ROUND(C33*F20,0)</f>
        <v>1</v>
      </c>
      <c r="D39" s="276"/>
      <c r="E39" s="276"/>
      <c r="F39" s="277"/>
      <c r="G39" s="278" t="s">
        <v>2391</v>
      </c>
    </row>
    <row r="40" spans="1:7" s="258" customFormat="1" ht="13.5" customHeight="1">
      <c r="A40" s="299" t="s">
        <v>2348</v>
      </c>
      <c r="B40" s="254" t="s">
        <v>2352</v>
      </c>
      <c r="C40" s="1730">
        <f>F21</f>
        <v>0.02</v>
      </c>
      <c r="D40" s="280" t="s">
        <v>2394</v>
      </c>
      <c r="E40" s="276"/>
      <c r="F40" s="277"/>
      <c r="G40" s="278" t="s">
        <v>2395</v>
      </c>
    </row>
    <row r="41" spans="1:7" s="258" customFormat="1" ht="13.5" customHeight="1">
      <c r="A41" s="299" t="s">
        <v>2351</v>
      </c>
      <c r="B41" s="254" t="s">
        <v>2356</v>
      </c>
      <c r="C41" s="276">
        <f ca="1">ROUND(SUM(C42:C43),0)</f>
        <v>2</v>
      </c>
      <c r="D41" s="279">
        <f ca="1">C44</f>
        <v>1.4E-3</v>
      </c>
      <c r="E41" s="280" t="s">
        <v>2394</v>
      </c>
      <c r="F41" s="281"/>
      <c r="G41" s="278" t="str">
        <f>IF('数据-取费表'!B22&lt;=1,"单利计息","复利计息")</f>
        <v>复利计息</v>
      </c>
    </row>
    <row r="42" spans="1:7" ht="13.5" customHeight="1">
      <c r="A42" s="953" t="s">
        <v>791</v>
      </c>
      <c r="B42" s="259" t="s">
        <v>2358</v>
      </c>
      <c r="C42" s="282">
        <f ca="1">ROUND(IF('数据-取费表'!B22&lt;=1,C33*F22*'数据-取费表'!B21/2,C33*(POWER((1+F22),'数据-取费表'!B21/2)-1)),0)</f>
        <v>2</v>
      </c>
      <c r="D42" s="282"/>
      <c r="E42" s="282"/>
      <c r="F42" s="283"/>
      <c r="G42" s="3238" t="s">
        <v>2399</v>
      </c>
    </row>
    <row r="43" spans="1:7" ht="13.5" customHeight="1">
      <c r="A43" s="953" t="s">
        <v>792</v>
      </c>
      <c r="B43" s="259" t="s">
        <v>2361</v>
      </c>
      <c r="C43" s="282">
        <f ca="1">ROUND(IF('数据-取费表'!B22&lt;=1,C39*F22*'数据-取费表'!B21/2,C39*(POWER((1+F22),'数据-取费表'!B21/2)-1)),0)</f>
        <v>0</v>
      </c>
      <c r="D43" s="282"/>
      <c r="E43" s="282"/>
      <c r="F43" s="283"/>
      <c r="G43" s="3239"/>
    </row>
    <row r="44" spans="1:7" ht="13.5" customHeight="1">
      <c r="A44" s="953" t="s">
        <v>793</v>
      </c>
      <c r="B44" s="259" t="s">
        <v>2364</v>
      </c>
      <c r="C44" s="282">
        <f ca="1">ROUND(IF('数据-取费表'!B22&lt;=1,C40*F22*'数据-取费表'!B21/2,C40*(POWER((1+F22),'数据-取费表'!B21/2)-1)),4)</f>
        <v>1.4E-3</v>
      </c>
      <c r="D44" s="282"/>
      <c r="E44" s="282"/>
      <c r="F44" s="283"/>
      <c r="G44" s="3240"/>
    </row>
    <row r="45" spans="1:7" s="258" customFormat="1" ht="13.5" customHeight="1">
      <c r="A45" s="299" t="s">
        <v>2355</v>
      </c>
      <c r="B45" s="288" t="s">
        <v>2368</v>
      </c>
      <c r="C45" s="289">
        <f ca="1">C46</f>
        <v>2</v>
      </c>
      <c r="D45" s="279">
        <f ca="1">C47</f>
        <v>1E-3</v>
      </c>
      <c r="E45" s="280" t="s">
        <v>2394</v>
      </c>
      <c r="F45" s="290"/>
      <c r="G45" s="291" t="s">
        <v>2403</v>
      </c>
    </row>
    <row r="46" spans="1:7" s="258" customFormat="1" ht="13.5" customHeight="1">
      <c r="A46" s="953" t="s">
        <v>791</v>
      </c>
      <c r="B46" s="292" t="s">
        <v>2404</v>
      </c>
      <c r="C46" s="293">
        <f ca="1">ROUND((C33+C39)*F27,0)</f>
        <v>2</v>
      </c>
      <c r="D46" s="307"/>
      <c r="E46" s="280"/>
      <c r="F46" s="290"/>
      <c r="G46" s="291"/>
    </row>
    <row r="47" spans="1:7" s="258" customFormat="1" ht="13.5" customHeight="1">
      <c r="A47" s="953" t="s">
        <v>792</v>
      </c>
      <c r="B47" s="292" t="s">
        <v>2405</v>
      </c>
      <c r="C47" s="282">
        <f ca="1">ROUND(C40*F27,4)</f>
        <v>1E-3</v>
      </c>
      <c r="D47" s="307"/>
      <c r="E47" s="280"/>
      <c r="F47" s="290"/>
      <c r="G47" s="291"/>
    </row>
    <row r="48" spans="1:7" s="258" customFormat="1" ht="13.5" customHeight="1">
      <c r="A48" s="299" t="s">
        <v>2367</v>
      </c>
      <c r="B48" s="254" t="s">
        <v>2406</v>
      </c>
      <c r="C48" s="1730">
        <f>ROUND(F30/(1+'数据-取费表'!C42),4)</f>
        <v>5.2400000000000002E-2</v>
      </c>
      <c r="D48" s="280" t="s">
        <v>2394</v>
      </c>
      <c r="E48" s="276"/>
      <c r="F48" s="281"/>
      <c r="G48" s="278" t="s">
        <v>2407</v>
      </c>
    </row>
    <row r="49" spans="1:7" ht="16.5" customHeight="1">
      <c r="A49" s="299" t="s">
        <v>2373</v>
      </c>
      <c r="B49" s="254" t="s">
        <v>2408</v>
      </c>
      <c r="C49" s="276">
        <f ca="1">ROUND((C33+C39+C41+C45)/(1-C40-D41-D45-C48),0)</f>
        <v>41</v>
      </c>
      <c r="D49" s="276"/>
      <c r="E49" s="276"/>
      <c r="F49" s="308"/>
      <c r="G49" s="278" t="s">
        <v>2409</v>
      </c>
    </row>
    <row r="50" spans="1:7" s="302" customFormat="1" ht="24">
      <c r="A50" s="299" t="s">
        <v>2410</v>
      </c>
      <c r="B50" s="254" t="s">
        <v>2411</v>
      </c>
      <c r="C50" s="276"/>
      <c r="D50" s="276"/>
      <c r="E50" s="276"/>
      <c r="F50" s="308">
        <f>IF('数据-取费表'!B24=0,'数据-取费表'!N16,1)</f>
        <v>0.95499999999999996</v>
      </c>
      <c r="G50" s="291" t="s">
        <v>2412</v>
      </c>
    </row>
    <row r="51" spans="1:7" ht="16.5" customHeight="1">
      <c r="A51" s="299" t="s">
        <v>2413</v>
      </c>
      <c r="B51" s="254" t="s">
        <v>2414</v>
      </c>
      <c r="C51" s="276">
        <f ca="1">ROUND(C49*F50,0)</f>
        <v>39</v>
      </c>
      <c r="D51" s="276"/>
      <c r="E51" s="276"/>
      <c r="F51" s="308"/>
      <c r="G51" s="278" t="s">
        <v>2415</v>
      </c>
    </row>
    <row r="52" spans="1:7" s="252" customFormat="1" ht="16.5" thickBot="1">
      <c r="A52" s="309" t="s">
        <v>2416</v>
      </c>
      <c r="B52" s="310"/>
      <c r="C52" s="311">
        <f ca="1">C31+C51</f>
        <v>63</v>
      </c>
      <c r="D52" s="310"/>
      <c r="E52" s="310"/>
      <c r="F52" s="310"/>
      <c r="G52" s="312"/>
    </row>
    <row r="55" spans="1:7" ht="15">
      <c r="B55" s="314" t="s">
        <v>2417</v>
      </c>
      <c r="C55" s="315"/>
    </row>
    <row r="56" spans="1:7">
      <c r="B56" s="317" t="s">
        <v>1509</v>
      </c>
      <c r="C56" s="319">
        <f ca="1">1-C57</f>
        <v>0.38100000000000001</v>
      </c>
    </row>
    <row r="57" spans="1:7">
      <c r="B57" s="317" t="s">
        <v>1510</v>
      </c>
      <c r="C57" s="318">
        <f ca="1">ROUND(C51/C52,3)</f>
        <v>0.61899999999999999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2516</v>
      </c>
      <c r="B1" s="2565"/>
      <c r="C1" s="2565"/>
      <c r="D1" s="2565"/>
      <c r="E1" s="2566"/>
    </row>
    <row r="2" spans="1:6" ht="15.75">
      <c r="A2" s="2567" t="s">
        <v>2317</v>
      </c>
      <c r="B2" s="2568">
        <f ca="1">SUMIF(B6:B13,"&lt;&gt;#ref!",B6:B13)</f>
        <v>6295</v>
      </c>
      <c r="C2" s="2569" t="s">
        <v>2509</v>
      </c>
      <c r="D2" s="2570" t="s">
        <v>2510</v>
      </c>
      <c r="E2" s="2571">
        <f>SUM(E6:E13)</f>
        <v>8622.760000000002</v>
      </c>
    </row>
    <row r="3" spans="1:6" ht="15.75">
      <c r="A3" s="2567" t="s">
        <v>1391</v>
      </c>
      <c r="B3" s="2568">
        <f ca="1">ROUND(B2*10000/E2,0)</f>
        <v>7300</v>
      </c>
      <c r="C3" s="2569" t="s">
        <v>2517</v>
      </c>
      <c r="D3" s="2572"/>
      <c r="E3" s="2573"/>
    </row>
    <row r="4" spans="1:6" ht="15.75">
      <c r="A4" s="2574"/>
      <c r="B4" s="2572"/>
      <c r="C4" s="2572"/>
      <c r="D4" s="2572"/>
      <c r="E4" s="2573"/>
    </row>
    <row r="5" spans="1:6" ht="15">
      <c r="A5" s="2575" t="s">
        <v>2511</v>
      </c>
      <c r="B5" s="3267" t="s">
        <v>2512</v>
      </c>
      <c r="C5" s="3267"/>
      <c r="D5" s="2576"/>
      <c r="E5" s="2577" t="s">
        <v>2513</v>
      </c>
      <c r="F5" s="2578" t="s">
        <v>2514</v>
      </c>
    </row>
    <row r="6" spans="1:6">
      <c r="A6" s="2579" t="str">
        <f>'数据-取费表'!AN6</f>
        <v>收益法</v>
      </c>
      <c r="B6" s="2578">
        <f ca="1">IF(F6="是",'数据-取费表'!AO6,0)</f>
        <v>5035</v>
      </c>
      <c r="C6" s="2569" t="s">
        <v>2509</v>
      </c>
      <c r="D6" s="2572"/>
      <c r="E6" s="2580">
        <f>IF(OR(A6=0,F6="否"),0,'数据-取费表'!K6+'数据-取费表'!S6)</f>
        <v>4900.1399999999994</v>
      </c>
      <c r="F6" s="2581" t="s">
        <v>2515</v>
      </c>
    </row>
    <row r="7" spans="1:6">
      <c r="A7" s="2579" t="str">
        <f>'数据-取费表'!AN7</f>
        <v>收益法（仓储）</v>
      </c>
      <c r="B7" s="2578">
        <f ca="1">IF(F7="是",'数据-取费表'!AO7,0)</f>
        <v>1239</v>
      </c>
      <c r="C7" s="2569" t="s">
        <v>2509</v>
      </c>
      <c r="D7" s="2572"/>
      <c r="E7" s="2580">
        <f>IF(OR(A7=0,F7="否"),0,'数据-取费表'!K7+'数据-取费表'!S7)</f>
        <v>3589.2600000000011</v>
      </c>
      <c r="F7" s="2581" t="s">
        <v>2515</v>
      </c>
    </row>
    <row r="8" spans="1:6">
      <c r="A8" s="2579" t="str">
        <f>'数据-取费表'!AN8</f>
        <v>收益法（车库）</v>
      </c>
      <c r="B8" s="2578">
        <f ca="1">IF(F8="是",'数据-取费表'!AO8,0)</f>
        <v>21</v>
      </c>
      <c r="C8" s="2569" t="s">
        <v>2509</v>
      </c>
      <c r="D8" s="2572"/>
      <c r="E8" s="2580">
        <f>IF(OR(A8=0,F8="否"),0,'数据-取费表'!K8+'数据-取费表'!S8)</f>
        <v>133.35999999999999</v>
      </c>
      <c r="F8" s="2581" t="s">
        <v>2515</v>
      </c>
    </row>
    <row r="9" spans="1:6">
      <c r="A9" s="2579">
        <f>'数据-取费表'!AN9</f>
        <v>0</v>
      </c>
      <c r="B9" s="2578" t="e">
        <f ca="1">IF(F9="是",'数据-取费表'!AO9,0)</f>
        <v>#REF!</v>
      </c>
      <c r="C9" s="2569" t="s">
        <v>2509</v>
      </c>
      <c r="D9" s="2572"/>
      <c r="E9" s="2580">
        <f>IF(OR(A9=0,F9="否"),0,'数据-取费表'!K9+'数据-取费表'!S9)</f>
        <v>0</v>
      </c>
      <c r="F9" s="2581" t="s">
        <v>2515</v>
      </c>
    </row>
    <row r="10" spans="1:6">
      <c r="A10" s="2579">
        <f>'数据-取费表'!AN10</f>
        <v>0</v>
      </c>
      <c r="B10" s="2578" t="e">
        <f ca="1">IF(F10="是",'数据-取费表'!AO10,0)</f>
        <v>#REF!</v>
      </c>
      <c r="C10" s="2569" t="s">
        <v>2509</v>
      </c>
      <c r="D10" s="2572"/>
      <c r="E10" s="2580">
        <f>IF(OR(A10=0,F10="否"),0,'数据-取费表'!K10+'数据-取费表'!S10)</f>
        <v>0</v>
      </c>
      <c r="F10" s="2581" t="s">
        <v>2515</v>
      </c>
    </row>
    <row r="11" spans="1:6">
      <c r="A11" s="2579">
        <f>'数据-取费表'!AN11</f>
        <v>0</v>
      </c>
      <c r="B11" s="2578" t="e">
        <f ca="1">IF(F11="是",'数据-取费表'!AO11,0)</f>
        <v>#REF!</v>
      </c>
      <c r="C11" s="2569" t="s">
        <v>2509</v>
      </c>
      <c r="D11" s="2572"/>
      <c r="E11" s="2580">
        <f>IF(OR(A11=0,F11="否"),0,'数据-取费表'!K11+'数据-取费表'!S11)</f>
        <v>0</v>
      </c>
      <c r="F11" s="2581" t="s">
        <v>2515</v>
      </c>
    </row>
    <row r="12" spans="1:6">
      <c r="A12" s="2579">
        <f>'数据-取费表'!AN12</f>
        <v>0</v>
      </c>
      <c r="B12" s="2578" t="e">
        <f ca="1">IF(F12="是",'数据-取费表'!AO12,0)</f>
        <v>#REF!</v>
      </c>
      <c r="C12" s="2569" t="s">
        <v>2509</v>
      </c>
      <c r="D12" s="2572"/>
      <c r="E12" s="2580">
        <f>IF(OR(A12=0,F12="否"),0,'数据-取费表'!K12+'数据-取费表'!S12)</f>
        <v>0</v>
      </c>
      <c r="F12" s="2581" t="s">
        <v>2515</v>
      </c>
    </row>
    <row r="13" spans="1:6" ht="15" thickBot="1">
      <c r="A13" s="2582">
        <f>'数据-取费表'!AN13</f>
        <v>0</v>
      </c>
      <c r="B13" s="2578" t="e">
        <f ca="1">IF(F13="是",'数据-取费表'!AO13,0)</f>
        <v>#REF!</v>
      </c>
      <c r="C13" s="2583" t="s">
        <v>2509</v>
      </c>
      <c r="D13" s="2584"/>
      <c r="E13" s="2580">
        <f>IF(OR(A13=0,F13="否"),0,'数据-取费表'!K13+'数据-取费表'!S13)</f>
        <v>0</v>
      </c>
      <c r="F13" s="2581"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1073</v>
      </c>
      <c r="B1" s="3269"/>
      <c r="C1" s="3270"/>
      <c r="D1" s="3271">
        <f>SUM(I10,I15,I20,I21,I23)</f>
        <v>0</v>
      </c>
      <c r="E1" s="3271"/>
      <c r="F1" s="3271"/>
      <c r="G1" s="3271"/>
      <c r="H1" s="3271"/>
      <c r="I1" s="3272"/>
    </row>
    <row r="2" spans="1:9">
      <c r="A2" s="3273" t="s">
        <v>1074</v>
      </c>
      <c r="B2" s="3274" t="s">
        <v>1075</v>
      </c>
      <c r="C2" s="3274"/>
      <c r="D2" s="1303" t="s">
        <v>1076</v>
      </c>
      <c r="E2" s="1303" t="s">
        <v>1077</v>
      </c>
      <c r="F2" s="1303" t="s">
        <v>1078</v>
      </c>
      <c r="G2" s="1303" t="s">
        <v>1079</v>
      </c>
      <c r="H2" s="1303" t="s">
        <v>1080</v>
      </c>
      <c r="I2" s="1304" t="s">
        <v>1081</v>
      </c>
    </row>
    <row r="3" spans="1:9">
      <c r="A3" s="3273"/>
      <c r="B3" s="3274" t="s">
        <v>1082</v>
      </c>
      <c r="C3" s="3274"/>
      <c r="D3" s="1305"/>
      <c r="E3" s="1303"/>
      <c r="F3" s="1306"/>
      <c r="G3" s="1306"/>
      <c r="H3" s="1307"/>
      <c r="I3" s="1308">
        <f>ROUND(D3*E3*F3*G3*H3/10000,0)</f>
        <v>0</v>
      </c>
    </row>
    <row r="4" spans="1:9">
      <c r="A4" s="3273"/>
      <c r="B4" s="3274" t="s">
        <v>1083</v>
      </c>
      <c r="C4" s="3274"/>
      <c r="D4" s="1305"/>
      <c r="E4" s="1303"/>
      <c r="F4" s="1306"/>
      <c r="G4" s="1306"/>
      <c r="H4" s="1307"/>
      <c r="I4" s="1308">
        <f t="shared" ref="I4:I9" si="0">ROUND(D4*E4*F4*G4*H4/10000,0)</f>
        <v>0</v>
      </c>
    </row>
    <row r="5" spans="1:9">
      <c r="A5" s="3273"/>
      <c r="B5" s="3274" t="s">
        <v>1084</v>
      </c>
      <c r="C5" s="3274"/>
      <c r="D5" s="1305"/>
      <c r="E5" s="1303"/>
      <c r="F5" s="1306"/>
      <c r="G5" s="1306"/>
      <c r="H5" s="1307"/>
      <c r="I5" s="1308">
        <f t="shared" si="0"/>
        <v>0</v>
      </c>
    </row>
    <row r="6" spans="1:9">
      <c r="A6" s="3273"/>
      <c r="B6" s="3274" t="s">
        <v>1085</v>
      </c>
      <c r="C6" s="3274"/>
      <c r="D6" s="1305"/>
      <c r="E6" s="1303"/>
      <c r="F6" s="1306"/>
      <c r="G6" s="1306"/>
      <c r="H6" s="1307"/>
      <c r="I6" s="1308">
        <f t="shared" si="0"/>
        <v>0</v>
      </c>
    </row>
    <row r="7" spans="1:9">
      <c r="A7" s="3273"/>
      <c r="B7" s="3274" t="s">
        <v>1086</v>
      </c>
      <c r="C7" s="3274"/>
      <c r="D7" s="1305"/>
      <c r="E7" s="1303"/>
      <c r="F7" s="1306"/>
      <c r="G7" s="1306"/>
      <c r="H7" s="1307"/>
      <c r="I7" s="1308">
        <f t="shared" si="0"/>
        <v>0</v>
      </c>
    </row>
    <row r="8" spans="1:9">
      <c r="A8" s="3273"/>
      <c r="B8" s="3274" t="s">
        <v>1087</v>
      </c>
      <c r="C8" s="3274"/>
      <c r="D8" s="1305"/>
      <c r="E8" s="1303"/>
      <c r="F8" s="1306"/>
      <c r="G8" s="1306"/>
      <c r="H8" s="1307"/>
      <c r="I8" s="1308">
        <f t="shared" si="0"/>
        <v>0</v>
      </c>
    </row>
    <row r="9" spans="1:9">
      <c r="A9" s="3273"/>
      <c r="B9" s="3274" t="s">
        <v>1088</v>
      </c>
      <c r="C9" s="3274"/>
      <c r="D9" s="1305"/>
      <c r="E9" s="1303"/>
      <c r="F9" s="1306"/>
      <c r="G9" s="1306"/>
      <c r="H9" s="1307"/>
      <c r="I9" s="1308">
        <f t="shared" si="0"/>
        <v>0</v>
      </c>
    </row>
    <row r="10" spans="1:9">
      <c r="A10" s="3273"/>
      <c r="B10" s="3275" t="s">
        <v>1089</v>
      </c>
      <c r="C10" s="3275"/>
      <c r="D10" s="1309"/>
      <c r="E10" s="1309" t="e">
        <f>ROUND(D1*10000/D10/H9,0)</f>
        <v>#DIV/0!</v>
      </c>
      <c r="F10" s="1310"/>
      <c r="G10" s="1310"/>
      <c r="H10" s="1311"/>
      <c r="I10" s="1312">
        <f>SUM(I3:I9)</f>
        <v>0</v>
      </c>
    </row>
    <row r="11" spans="1:9" ht="14.25">
      <c r="A11" s="3273" t="s">
        <v>1090</v>
      </c>
      <c r="B11" s="3274" t="s">
        <v>1091</v>
      </c>
      <c r="C11" s="3274"/>
      <c r="D11" s="1305" t="s">
        <v>1092</v>
      </c>
      <c r="E11" s="1305" t="s">
        <v>1093</v>
      </c>
      <c r="F11" s="1306" t="s">
        <v>1094</v>
      </c>
      <c r="G11" s="1306" t="s">
        <v>1080</v>
      </c>
      <c r="H11" s="1313" t="s">
        <v>1095</v>
      </c>
      <c r="I11" s="1304" t="s">
        <v>1081</v>
      </c>
    </row>
    <row r="12" spans="1:9">
      <c r="A12" s="3273"/>
      <c r="B12" s="3274" t="s">
        <v>1096</v>
      </c>
      <c r="C12" s="3274"/>
      <c r="D12" s="1305"/>
      <c r="E12" s="1305"/>
      <c r="F12" s="1306"/>
      <c r="G12" s="1307"/>
      <c r="H12" s="1314"/>
      <c r="I12" s="1304">
        <f>ROUND(D12*E12*F12*G12/10000,0)</f>
        <v>0</v>
      </c>
    </row>
    <row r="13" spans="1:9">
      <c r="A13" s="3273"/>
      <c r="B13" s="3274" t="s">
        <v>1097</v>
      </c>
      <c r="C13" s="3274"/>
      <c r="D13" s="1305"/>
      <c r="E13" s="1305"/>
      <c r="F13" s="1306"/>
      <c r="G13" s="1307"/>
      <c r="H13" s="1314"/>
      <c r="I13" s="1304">
        <f>ROUND(D13*E13*F13*G13/10000,0)</f>
        <v>0</v>
      </c>
    </row>
    <row r="14" spans="1:9">
      <c r="A14" s="3273"/>
      <c r="B14" s="3274" t="s">
        <v>1098</v>
      </c>
      <c r="C14" s="3274"/>
      <c r="D14" s="1305"/>
      <c r="E14" s="1305"/>
      <c r="F14" s="1306"/>
      <c r="G14" s="1307"/>
      <c r="H14" s="1314"/>
      <c r="I14" s="1304">
        <f>ROUND(D14*E14*F14*G14/10000,0)</f>
        <v>0</v>
      </c>
    </row>
    <row r="15" spans="1:9">
      <c r="A15" s="3273"/>
      <c r="B15" s="3275" t="s">
        <v>1089</v>
      </c>
      <c r="C15" s="3275"/>
      <c r="D15" s="1309"/>
      <c r="E15" s="1309">
        <f>SUM(E12:E14)</f>
        <v>0</v>
      </c>
      <c r="F15" s="1310"/>
      <c r="G15" s="1307"/>
      <c r="H15" s="1314"/>
      <c r="I15" s="1315">
        <f>SUM(I12:I14)</f>
        <v>0</v>
      </c>
    </row>
    <row r="16" spans="1:9" ht="24">
      <c r="A16" s="3273" t="s">
        <v>1099</v>
      </c>
      <c r="B16" s="3274" t="s">
        <v>1100</v>
      </c>
      <c r="C16" s="3274"/>
      <c r="D16" s="1305" t="s">
        <v>1076</v>
      </c>
      <c r="E16" s="1316" t="s">
        <v>1101</v>
      </c>
      <c r="F16" s="1306" t="s">
        <v>1102</v>
      </c>
      <c r="G16" s="1307" t="s">
        <v>1080</v>
      </c>
      <c r="H16" s="1313" t="s">
        <v>1095</v>
      </c>
      <c r="I16" s="1304" t="s">
        <v>1081</v>
      </c>
    </row>
    <row r="17" spans="1:9" ht="14.25">
      <c r="A17" s="3273"/>
      <c r="B17" s="3274" t="s">
        <v>1103</v>
      </c>
      <c r="C17" s="3274"/>
      <c r="D17" s="1305"/>
      <c r="E17" s="1305"/>
      <c r="F17" s="1306"/>
      <c r="G17" s="1307"/>
      <c r="H17" s="1317"/>
      <c r="I17" s="1318">
        <f>ROUND(D17*E17*F17*G17/10000,0)</f>
        <v>0</v>
      </c>
    </row>
    <row r="18" spans="1:9" ht="14.25">
      <c r="A18" s="3273"/>
      <c r="B18" s="3274" t="s">
        <v>1104</v>
      </c>
      <c r="C18" s="3274"/>
      <c r="D18" s="1305"/>
      <c r="E18" s="1305"/>
      <c r="F18" s="1306"/>
      <c r="G18" s="1307"/>
      <c r="H18" s="1317"/>
      <c r="I18" s="1318">
        <f>ROUND(D18*E18*F18*G18/10000,0)</f>
        <v>0</v>
      </c>
    </row>
    <row r="19" spans="1:9" ht="14.25">
      <c r="A19" s="3273"/>
      <c r="B19" s="3274" t="s">
        <v>1105</v>
      </c>
      <c r="C19" s="3274"/>
      <c r="D19" s="1305"/>
      <c r="E19" s="1305"/>
      <c r="F19" s="1306"/>
      <c r="G19" s="1307"/>
      <c r="H19" s="1317"/>
      <c r="I19" s="1318">
        <f>ROUND(D19*E19*F19*G19/10000,0)</f>
        <v>0</v>
      </c>
    </row>
    <row r="20" spans="1:9">
      <c r="A20" s="3273"/>
      <c r="B20" s="3275" t="s">
        <v>1089</v>
      </c>
      <c r="C20" s="3275"/>
      <c r="D20" s="1309">
        <f>SUM(D17:D19)</f>
        <v>0</v>
      </c>
      <c r="E20" s="1309"/>
      <c r="F20" s="1310"/>
      <c r="G20" s="1307"/>
      <c r="H20" s="1314"/>
      <c r="I20" s="1315">
        <f>SUM(I17:I19)</f>
        <v>0</v>
      </c>
    </row>
    <row r="21" spans="1:9">
      <c r="A21" s="3273" t="s">
        <v>1106</v>
      </c>
      <c r="B21" s="3277"/>
      <c r="C21" s="3277"/>
      <c r="D21" s="3277"/>
      <c r="E21" s="3277"/>
      <c r="F21" s="3277"/>
      <c r="G21" s="3277"/>
      <c r="H21" s="1767">
        <v>0.1</v>
      </c>
      <c r="I21" s="1312">
        <f>ROUND(I10*H21,0)</f>
        <v>0</v>
      </c>
    </row>
    <row r="22" spans="1:9" ht="14.25">
      <c r="A22" s="3278" t="s">
        <v>1107</v>
      </c>
      <c r="B22" s="3279"/>
      <c r="C22" s="3280"/>
      <c r="D22" s="1319" t="s">
        <v>1108</v>
      </c>
      <c r="E22" s="1319" t="s">
        <v>1109</v>
      </c>
      <c r="F22" s="1320" t="s">
        <v>1110</v>
      </c>
      <c r="G22" s="1320" t="s">
        <v>1111</v>
      </c>
      <c r="H22" s="1313" t="s">
        <v>1112</v>
      </c>
      <c r="I22" s="1304" t="s">
        <v>1113</v>
      </c>
    </row>
    <row r="23" spans="1:9" ht="14.25" thickBot="1">
      <c r="A23" s="3281"/>
      <c r="B23" s="3282"/>
      <c r="C23" s="3283"/>
      <c r="D23" s="1321"/>
      <c r="E23" s="1321"/>
      <c r="F23" s="1321"/>
      <c r="G23" s="1322"/>
      <c r="H23" s="1323"/>
      <c r="I23" s="1324">
        <f>ROUND(E23*D23*F23*(1-G23)/10000,0)</f>
        <v>0</v>
      </c>
    </row>
    <row r="26" spans="1:9">
      <c r="A26" s="1325" t="s">
        <v>1114</v>
      </c>
      <c r="B26" s="1325"/>
      <c r="C26" s="1325"/>
      <c r="D26" s="1325"/>
      <c r="E26" s="3284">
        <f>C27-C30-C31-C32</f>
        <v>0</v>
      </c>
      <c r="F26" s="3284"/>
      <c r="G26" s="3284"/>
      <c r="H26" s="1739" t="s">
        <v>1336</v>
      </c>
    </row>
    <row r="27" spans="1:9">
      <c r="A27" s="1326">
        <v>1</v>
      </c>
      <c r="B27" s="1327" t="s">
        <v>1115</v>
      </c>
      <c r="C27" s="1327">
        <f>C28+C29</f>
        <v>0</v>
      </c>
      <c r="D27" s="1327"/>
      <c r="E27" s="3285"/>
      <c r="F27" s="3285"/>
      <c r="G27" s="3285"/>
    </row>
    <row r="28" spans="1:9">
      <c r="A28" s="1328" t="s">
        <v>1116</v>
      </c>
      <c r="B28" s="1327" t="s">
        <v>1117</v>
      </c>
      <c r="C28" s="1327"/>
      <c r="D28" s="1327"/>
      <c r="E28" s="3285"/>
      <c r="F28" s="3285"/>
      <c r="G28" s="3285"/>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76"/>
      <c r="F32" s="3276"/>
      <c r="G32" s="3276"/>
    </row>
    <row r="33" spans="1:7" hidden="1">
      <c r="A33" s="3286" t="s">
        <v>1126</v>
      </c>
      <c r="B33" s="3287"/>
      <c r="C33" s="3287"/>
      <c r="D33" s="3288"/>
      <c r="E33" s="3284"/>
      <c r="F33" s="3284"/>
      <c r="G33" s="3284"/>
    </row>
    <row r="34" spans="1:7" hidden="1">
      <c r="A34" s="1330">
        <v>1</v>
      </c>
      <c r="B34" s="1327" t="s">
        <v>1127</v>
      </c>
      <c r="C34" s="1327"/>
      <c r="D34" s="1327"/>
      <c r="E34" s="3285"/>
      <c r="F34" s="3285"/>
      <c r="G34" s="3285"/>
    </row>
    <row r="35" spans="1:7" hidden="1">
      <c r="A35" s="1330">
        <v>2</v>
      </c>
      <c r="B35" s="1327" t="s">
        <v>1128</v>
      </c>
      <c r="C35" s="1327"/>
      <c r="D35" s="1327"/>
      <c r="E35" s="3285"/>
      <c r="F35" s="3285"/>
      <c r="G35" s="3285"/>
    </row>
    <row r="36" spans="1:7" hidden="1">
      <c r="A36" s="1330">
        <v>3</v>
      </c>
      <c r="B36" s="1327" t="s">
        <v>1129</v>
      </c>
      <c r="C36" s="1327"/>
      <c r="D36" s="1327"/>
      <c r="E36" s="3285"/>
      <c r="F36" s="3285"/>
      <c r="G36" s="3285"/>
    </row>
    <row r="37" spans="1:7" hidden="1">
      <c r="A37" s="1330">
        <v>4</v>
      </c>
      <c r="B37" s="1327" t="s">
        <v>1130</v>
      </c>
      <c r="C37" s="1327"/>
      <c r="D37" s="1327"/>
      <c r="E37" s="3285"/>
      <c r="F37" s="3285"/>
      <c r="G37" s="3285"/>
    </row>
    <row r="38" spans="1:7" hidden="1">
      <c r="A38" s="3286" t="s">
        <v>1131</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2518</v>
      </c>
      <c r="B1" s="2585" t="s">
        <v>2519</v>
      </c>
      <c r="C1" s="1636" t="s">
        <v>2520</v>
      </c>
      <c r="D1" s="1623"/>
      <c r="E1" s="2586"/>
      <c r="F1" s="2587" t="s">
        <v>2521</v>
      </c>
      <c r="G1" s="1633" t="s">
        <v>2522</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9"/>
      <c r="D2" s="1367" t="e">
        <f ca="1">SUMIF(INDIRECT("'"&amp;F2&amp;"'"&amp;"!A:A"),"承租人权益价值",INDIRECT("'"&amp;F2&amp;"'"&amp;"!c:c"))</f>
        <v>#REF!</v>
      </c>
      <c r="E2" s="2590" t="s">
        <v>2523</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2524</v>
      </c>
      <c r="D3" s="399">
        <f>IF(D1="",'数据-汇总表'!E3,SUMIF('数据-汇总表'!$C19:$C33,D1,'数据-汇总表'!$E19:$E33))</f>
        <v>8622.76</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2525</v>
      </c>
      <c r="B4" s="402"/>
      <c r="C4" s="3207" t="s">
        <v>2526</v>
      </c>
      <c r="D4" s="3208"/>
      <c r="E4" s="3209" t="s">
        <v>2527</v>
      </c>
      <c r="F4" s="3210"/>
      <c r="G4" s="3207" t="s">
        <v>2528</v>
      </c>
      <c r="H4" s="3208"/>
      <c r="I4" s="3207" t="s">
        <v>2529</v>
      </c>
      <c r="J4" s="3208"/>
      <c r="K4" s="2599" t="s">
        <v>2530</v>
      </c>
      <c r="L4" s="1132"/>
      <c r="M4" s="1133"/>
      <c r="N4" s="1133"/>
      <c r="O4" s="1133"/>
      <c r="P4" s="3211" t="s">
        <v>2531</v>
      </c>
      <c r="Q4" s="3212"/>
      <c r="R4" s="3194" t="s">
        <v>2527</v>
      </c>
      <c r="S4" s="3195"/>
      <c r="T4" s="3194" t="s">
        <v>2528</v>
      </c>
      <c r="U4" s="3195"/>
      <c r="V4" s="3191" t="s">
        <v>2529</v>
      </c>
      <c r="W4" s="3191"/>
      <c r="X4" s="1815"/>
      <c r="Y4" s="3194" t="s">
        <v>2531</v>
      </c>
      <c r="Z4" s="3195"/>
      <c r="AA4" s="3188" t="s">
        <v>2527</v>
      </c>
      <c r="AB4" s="3188" t="s">
        <v>2528</v>
      </c>
      <c r="AC4" s="3188" t="s">
        <v>2529</v>
      </c>
    </row>
    <row r="5" spans="1:29" ht="15">
      <c r="A5" s="404"/>
      <c r="B5" s="405"/>
      <c r="C5" s="3200" t="s">
        <v>2532</v>
      </c>
      <c r="D5" s="3201"/>
      <c r="E5" s="3198" t="s">
        <v>2533</v>
      </c>
      <c r="F5" s="3199"/>
      <c r="G5" s="3200" t="s">
        <v>2534</v>
      </c>
      <c r="H5" s="3201"/>
      <c r="I5" s="3200" t="s">
        <v>2535</v>
      </c>
      <c r="J5" s="3201"/>
      <c r="K5" s="2600"/>
      <c r="L5" s="1132"/>
      <c r="M5" s="1133"/>
      <c r="N5" s="1133"/>
      <c r="O5" s="1133"/>
      <c r="P5" s="3213"/>
      <c r="Q5" s="3214"/>
      <c r="R5" s="3196"/>
      <c r="S5" s="3197"/>
      <c r="T5" s="3196"/>
      <c r="U5" s="3197"/>
      <c r="V5" s="3191"/>
      <c r="W5" s="3191"/>
      <c r="X5" s="1815"/>
      <c r="Y5" s="3196"/>
      <c r="Z5" s="3197"/>
      <c r="AA5" s="3189"/>
      <c r="AB5" s="3189"/>
      <c r="AC5" s="3189"/>
    </row>
    <row r="6" spans="1:29" ht="15.75" thickBot="1">
      <c r="A6" s="406"/>
      <c r="B6" s="407"/>
      <c r="C6" s="3202" t="s">
        <v>2536</v>
      </c>
      <c r="D6" s="3203"/>
      <c r="E6" s="3204" t="s">
        <v>2536</v>
      </c>
      <c r="F6" s="3205"/>
      <c r="G6" s="3202" t="s">
        <v>2536</v>
      </c>
      <c r="H6" s="3203"/>
      <c r="I6" s="3202" t="s">
        <v>2536</v>
      </c>
      <c r="J6" s="3203"/>
      <c r="K6" s="2600" t="s">
        <v>2537</v>
      </c>
      <c r="L6" s="1132"/>
      <c r="M6" s="1133"/>
      <c r="N6" s="1133"/>
      <c r="O6" s="1133"/>
      <c r="P6" s="3215"/>
      <c r="Q6" s="3216"/>
      <c r="R6" s="3196"/>
      <c r="S6" s="3197"/>
      <c r="T6" s="3217"/>
      <c r="U6" s="3218"/>
      <c r="V6" s="3191"/>
      <c r="W6" s="3191"/>
      <c r="X6" s="1815"/>
      <c r="Y6" s="3217"/>
      <c r="Z6" s="3218"/>
      <c r="AA6" s="3190"/>
      <c r="AB6" s="3190"/>
      <c r="AC6" s="3190"/>
    </row>
    <row r="7" spans="1:29" s="117" customFormat="1" ht="15.75" thickBot="1">
      <c r="A7" s="408" t="s">
        <v>2538</v>
      </c>
      <c r="B7" s="409"/>
      <c r="C7" s="410">
        <f>'数据-取费表'!B2</f>
        <v>43437</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92" t="s">
        <v>2539</v>
      </c>
      <c r="Q7" s="3219"/>
      <c r="R7" s="770" t="s">
        <v>23</v>
      </c>
      <c r="S7" s="771">
        <f t="shared" ref="S7:S15" si="0">F7</f>
        <v>0</v>
      </c>
      <c r="T7" s="770" t="s">
        <v>23</v>
      </c>
      <c r="U7" s="771">
        <f t="shared" ref="U7:U15" si="1">H7</f>
        <v>0</v>
      </c>
      <c r="V7" s="770" t="s">
        <v>23</v>
      </c>
      <c r="W7" s="771">
        <f t="shared" ref="W7:W15" si="2">J7</f>
        <v>0</v>
      </c>
      <c r="X7" s="772"/>
      <c r="Y7" s="3192" t="s">
        <v>2539</v>
      </c>
      <c r="Z7" s="3193"/>
      <c r="AA7" s="773" t="e">
        <f>D7/F7</f>
        <v>#DIV/0!</v>
      </c>
      <c r="AB7" s="773" t="e">
        <f>D7/H7</f>
        <v>#DIV/0!</v>
      </c>
      <c r="AC7" s="773" t="e">
        <f>D7/J7</f>
        <v>#DIV/0!</v>
      </c>
    </row>
    <row r="8" spans="1:29" s="117" customFormat="1" ht="15.75" thickBot="1">
      <c r="A8" s="408" t="s">
        <v>2540</v>
      </c>
      <c r="B8" s="409"/>
      <c r="C8" s="414" t="s">
        <v>2541</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192" t="s">
        <v>2542</v>
      </c>
      <c r="Q8" s="3193"/>
      <c r="R8" s="770" t="s">
        <v>23</v>
      </c>
      <c r="S8" s="771">
        <f t="shared" si="0"/>
        <v>0</v>
      </c>
      <c r="T8" s="770" t="s">
        <v>23</v>
      </c>
      <c r="U8" s="771">
        <f t="shared" si="1"/>
        <v>0</v>
      </c>
      <c r="V8" s="770" t="s">
        <v>23</v>
      </c>
      <c r="W8" s="771">
        <f t="shared" si="2"/>
        <v>0</v>
      </c>
      <c r="X8" s="772"/>
      <c r="Y8" s="3192" t="s">
        <v>2542</v>
      </c>
      <c r="Z8" s="3193"/>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6"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6"/>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6"/>
      <c r="Q11" s="1797" t="str">
        <f t="shared" si="6"/>
        <v>容积率</v>
      </c>
      <c r="R11" s="770" t="s">
        <v>21</v>
      </c>
      <c r="S11" s="771" t="e">
        <f t="shared" si="0"/>
        <v>#N/A</v>
      </c>
      <c r="T11" s="770" t="s">
        <v>21</v>
      </c>
      <c r="U11" s="771" t="e">
        <f t="shared" si="1"/>
        <v>#N/A</v>
      </c>
      <c r="V11" s="770" t="s">
        <v>21</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6"/>
      <c r="Q12" s="1797">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6"/>
      <c r="Q13" s="1797">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6"/>
      <c r="Q14" s="1797">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15">
      <c r="A15" s="440" t="s">
        <v>2549</v>
      </c>
      <c r="B15" s="69" t="s">
        <v>2083</v>
      </c>
      <c r="C15" s="2606"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0" t="s">
        <v>2550</v>
      </c>
      <c r="Q15" s="1812" t="str">
        <f t="shared" si="6"/>
        <v>居住社区成熟度</v>
      </c>
      <c r="R15" s="774" t="s">
        <v>21</v>
      </c>
      <c r="S15" s="775">
        <f t="shared" si="0"/>
        <v>100</v>
      </c>
      <c r="T15" s="774" t="s">
        <v>21</v>
      </c>
      <c r="U15" s="775">
        <f t="shared" si="1"/>
        <v>100</v>
      </c>
      <c r="V15" s="774" t="s">
        <v>21</v>
      </c>
      <c r="W15" s="775">
        <f t="shared" si="2"/>
        <v>100</v>
      </c>
      <c r="X15" s="1815"/>
      <c r="Y15" s="3222" t="s">
        <v>2550</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2"/>
      <c r="M16" s="1133"/>
      <c r="N16" s="1133"/>
      <c r="O16" s="1133"/>
      <c r="P16" s="3221"/>
      <c r="Q16" s="1812"/>
      <c r="R16" s="774"/>
      <c r="S16" s="775"/>
      <c r="T16" s="774"/>
      <c r="U16" s="775"/>
      <c r="V16" s="774"/>
      <c r="W16" s="775"/>
      <c r="X16" s="1815"/>
      <c r="Y16" s="3223"/>
      <c r="Z16" s="1816"/>
      <c r="AA16" s="1813">
        <v>1</v>
      </c>
      <c r="AB16" s="1813">
        <v>1</v>
      </c>
      <c r="AC16" s="1813">
        <v>1</v>
      </c>
    </row>
    <row r="17" spans="1:29" ht="15">
      <c r="A17" s="428"/>
      <c r="B17" s="451" t="s">
        <v>2089</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1"/>
      <c r="Q17" s="1812" t="str">
        <f>B17</f>
        <v>交通便捷度</v>
      </c>
      <c r="R17" s="774" t="s">
        <v>21</v>
      </c>
      <c r="S17" s="775">
        <f>F17</f>
        <v>100</v>
      </c>
      <c r="T17" s="774" t="s">
        <v>21</v>
      </c>
      <c r="U17" s="775">
        <f>H17</f>
        <v>100</v>
      </c>
      <c r="V17" s="774" t="s">
        <v>21</v>
      </c>
      <c r="W17" s="775">
        <f>J17</f>
        <v>100</v>
      </c>
      <c r="X17" s="1815"/>
      <c r="Y17" s="3223"/>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2"/>
      <c r="M18" s="1133"/>
      <c r="N18" s="1133"/>
      <c r="O18" s="1133"/>
      <c r="P18" s="3221"/>
      <c r="Q18" s="1812"/>
      <c r="R18" s="774"/>
      <c r="S18" s="775"/>
      <c r="T18" s="774"/>
      <c r="U18" s="775"/>
      <c r="V18" s="774"/>
      <c r="W18" s="775"/>
      <c r="X18" s="1815"/>
      <c r="Y18" s="3223"/>
      <c r="Z18" s="1816"/>
      <c r="AA18" s="1813">
        <v>1</v>
      </c>
      <c r="AB18" s="1813">
        <v>1</v>
      </c>
      <c r="AC18" s="1813">
        <v>1</v>
      </c>
    </row>
    <row r="19" spans="1:29" ht="15">
      <c r="A19" s="428"/>
      <c r="B19" s="451" t="s">
        <v>2088</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1"/>
      <c r="Q19" s="1812" t="str">
        <f>B19</f>
        <v>公共配套设施</v>
      </c>
      <c r="R19" s="774" t="s">
        <v>21</v>
      </c>
      <c r="S19" s="775">
        <f>F19</f>
        <v>100</v>
      </c>
      <c r="T19" s="774" t="s">
        <v>21</v>
      </c>
      <c r="U19" s="775">
        <f>H19</f>
        <v>100</v>
      </c>
      <c r="V19" s="774" t="s">
        <v>21</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2"/>
      <c r="M20" s="1133"/>
      <c r="N20" s="1133"/>
      <c r="O20" s="1133"/>
      <c r="P20" s="3221"/>
      <c r="Q20" s="1812"/>
      <c r="R20" s="774"/>
      <c r="S20" s="775"/>
      <c r="T20" s="774"/>
      <c r="U20" s="775"/>
      <c r="V20" s="774"/>
      <c r="W20" s="775"/>
      <c r="X20" s="1815"/>
      <c r="Y20" s="3223"/>
      <c r="Z20" s="1816"/>
      <c r="AA20" s="1813">
        <v>1</v>
      </c>
      <c r="AB20" s="1813">
        <v>1</v>
      </c>
      <c r="AC20" s="1813">
        <v>1</v>
      </c>
    </row>
    <row r="21" spans="1:29" ht="15">
      <c r="A21" s="428"/>
      <c r="B21" s="1386" t="s">
        <v>2090</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8"/>
      <c r="G22" s="2614"/>
      <c r="H22" s="448"/>
      <c r="I22" s="447"/>
      <c r="J22" s="448"/>
      <c r="K22" s="2615"/>
      <c r="L22" s="1142"/>
      <c r="M22" s="1133"/>
      <c r="N22" s="1133"/>
      <c r="O22" s="1133"/>
      <c r="P22" s="3221"/>
      <c r="Q22" s="1812"/>
      <c r="R22" s="774"/>
      <c r="S22" s="775"/>
      <c r="T22" s="774"/>
      <c r="U22" s="775"/>
      <c r="V22" s="774"/>
      <c r="W22" s="775"/>
      <c r="X22" s="1815"/>
      <c r="Y22" s="3223"/>
      <c r="Z22" s="1816"/>
      <c r="AA22" s="1813">
        <v>1</v>
      </c>
      <c r="AB22" s="1813">
        <v>1</v>
      </c>
      <c r="AC22" s="1813">
        <v>1</v>
      </c>
    </row>
    <row r="23" spans="1:29" ht="15">
      <c r="A23" s="428"/>
      <c r="B23" s="451" t="s">
        <v>2092</v>
      </c>
      <c r="C23" s="2610"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1"/>
      <c r="Q23" s="1812" t="str">
        <f>B23</f>
        <v>自然及人文环境</v>
      </c>
      <c r="R23" s="774" t="s">
        <v>21</v>
      </c>
      <c r="S23" s="775">
        <f>F23</f>
        <v>100</v>
      </c>
      <c r="T23" s="774" t="s">
        <v>21</v>
      </c>
      <c r="U23" s="775">
        <f>H23</f>
        <v>100</v>
      </c>
      <c r="V23" s="774" t="s">
        <v>21</v>
      </c>
      <c r="W23" s="775">
        <f>J23</f>
        <v>100</v>
      </c>
      <c r="X23" s="1815"/>
      <c r="Y23" s="3223"/>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2"/>
      <c r="M24" s="1133"/>
      <c r="N24" s="1133"/>
      <c r="O24" s="1133"/>
      <c r="P24" s="3221"/>
      <c r="Q24" s="1812"/>
      <c r="R24" s="774"/>
      <c r="S24" s="775"/>
      <c r="T24" s="774"/>
      <c r="U24" s="775"/>
      <c r="V24" s="774"/>
      <c r="W24" s="775"/>
      <c r="X24" s="1815"/>
      <c r="Y24" s="3223"/>
      <c r="Z24" s="1816"/>
      <c r="AA24" s="1813">
        <v>1</v>
      </c>
      <c r="AB24" s="1813">
        <v>1</v>
      </c>
      <c r="AC24" s="1813">
        <v>1</v>
      </c>
    </row>
    <row r="25" spans="1:29" ht="15">
      <c r="A25" s="428"/>
      <c r="B25" s="422" t="s">
        <v>2551</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2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3"/>
      <c r="Z25" s="1816" t="str">
        <f>Q25</f>
        <v>楼层-1</v>
      </c>
      <c r="AA25" s="1813">
        <f t="shared" ref="AA25:AA46" si="15">D25/F25</f>
        <v>1</v>
      </c>
      <c r="AB25" s="1813">
        <f t="shared" ref="AB25:AB46" si="16">D25/H25</f>
        <v>1</v>
      </c>
      <c r="AC25" s="1813">
        <f t="shared" ref="AC25:AC46" si="17">D25/J25</f>
        <v>1</v>
      </c>
    </row>
    <row r="26" spans="1:29" ht="15">
      <c r="A26" s="428"/>
      <c r="B26" s="422" t="s">
        <v>2552</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21"/>
      <c r="Q26" s="1812" t="str">
        <f t="shared" si="11"/>
        <v>朝向</v>
      </c>
      <c r="R26" s="774" t="s">
        <v>21</v>
      </c>
      <c r="S26" s="775">
        <f t="shared" si="12"/>
        <v>100</v>
      </c>
      <c r="T26" s="774" t="s">
        <v>21</v>
      </c>
      <c r="U26" s="775">
        <f t="shared" si="13"/>
        <v>100</v>
      </c>
      <c r="V26" s="774" t="s">
        <v>21</v>
      </c>
      <c r="W26" s="775">
        <f t="shared" si="14"/>
        <v>100</v>
      </c>
      <c r="X26" s="1815"/>
      <c r="Y26" s="322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21"/>
      <c r="Q27" s="1797">
        <f t="shared" si="11"/>
        <v>111</v>
      </c>
      <c r="R27" s="770" t="s">
        <v>21</v>
      </c>
      <c r="S27" s="771">
        <f t="shared" si="12"/>
        <v>100</v>
      </c>
      <c r="T27" s="770" t="s">
        <v>21</v>
      </c>
      <c r="U27" s="771">
        <f t="shared" si="13"/>
        <v>100</v>
      </c>
      <c r="V27" s="770" t="s">
        <v>21</v>
      </c>
      <c r="W27" s="771">
        <f t="shared" si="14"/>
        <v>100</v>
      </c>
      <c r="X27" s="772"/>
      <c r="Y27" s="322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21"/>
      <c r="Q28" s="1812">
        <f t="shared" si="11"/>
        <v>111</v>
      </c>
      <c r="R28" s="774" t="s">
        <v>21</v>
      </c>
      <c r="S28" s="775">
        <f t="shared" si="12"/>
        <v>100</v>
      </c>
      <c r="T28" s="774" t="s">
        <v>21</v>
      </c>
      <c r="U28" s="775">
        <f t="shared" si="13"/>
        <v>100</v>
      </c>
      <c r="V28" s="774" t="s">
        <v>21</v>
      </c>
      <c r="W28" s="775">
        <f t="shared" si="14"/>
        <v>100</v>
      </c>
      <c r="X28" s="1815"/>
      <c r="Y28" s="322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21"/>
      <c r="Q29" s="1812">
        <f t="shared" si="11"/>
        <v>111</v>
      </c>
      <c r="R29" s="774" t="s">
        <v>21</v>
      </c>
      <c r="S29" s="775">
        <f t="shared" si="12"/>
        <v>100</v>
      </c>
      <c r="T29" s="774" t="s">
        <v>21</v>
      </c>
      <c r="U29" s="775">
        <f t="shared" si="13"/>
        <v>100</v>
      </c>
      <c r="V29" s="774" t="s">
        <v>21</v>
      </c>
      <c r="W29" s="775">
        <f t="shared" si="14"/>
        <v>100</v>
      </c>
      <c r="X29" s="1815"/>
      <c r="Y29" s="322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21"/>
      <c r="Q30" s="1812">
        <f t="shared" si="11"/>
        <v>111</v>
      </c>
      <c r="R30" s="774" t="s">
        <v>21</v>
      </c>
      <c r="S30" s="775">
        <f t="shared" si="12"/>
        <v>100</v>
      </c>
      <c r="T30" s="774" t="s">
        <v>21</v>
      </c>
      <c r="U30" s="775">
        <f t="shared" si="13"/>
        <v>100</v>
      </c>
      <c r="V30" s="774" t="s">
        <v>21</v>
      </c>
      <c r="W30" s="775">
        <f t="shared" si="14"/>
        <v>100</v>
      </c>
      <c r="X30" s="1815"/>
      <c r="Y30" s="322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21"/>
      <c r="Q31" s="1812">
        <f t="shared" si="11"/>
        <v>111</v>
      </c>
      <c r="R31" s="774" t="s">
        <v>21</v>
      </c>
      <c r="S31" s="775">
        <f t="shared" si="12"/>
        <v>100</v>
      </c>
      <c r="T31" s="774" t="s">
        <v>21</v>
      </c>
      <c r="U31" s="775">
        <f t="shared" si="13"/>
        <v>100</v>
      </c>
      <c r="V31" s="774" t="s">
        <v>21</v>
      </c>
      <c r="W31" s="775">
        <f t="shared" si="14"/>
        <v>100</v>
      </c>
      <c r="X31" s="1815"/>
      <c r="Y31" s="3223"/>
      <c r="Z31" s="1816">
        <f t="shared" si="18"/>
        <v>111</v>
      </c>
      <c r="AA31" s="1813">
        <f t="shared" si="15"/>
        <v>1</v>
      </c>
      <c r="AB31" s="1813">
        <f t="shared" si="16"/>
        <v>1</v>
      </c>
      <c r="AC31" s="1813">
        <f t="shared" si="17"/>
        <v>1</v>
      </c>
    </row>
    <row r="32" spans="1:29" ht="15">
      <c r="A32" s="440" t="s">
        <v>2553</v>
      </c>
      <c r="B32" s="71" t="s">
        <v>2554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4" t="s">
        <v>2555</v>
      </c>
      <c r="Q32" s="1812" t="str">
        <f t="shared" si="11"/>
        <v>建筑类型</v>
      </c>
      <c r="R32" s="774" t="s">
        <v>21</v>
      </c>
      <c r="S32" s="775">
        <f t="shared" si="12"/>
        <v>100</v>
      </c>
      <c r="T32" s="774" t="s">
        <v>21</v>
      </c>
      <c r="U32" s="775">
        <f t="shared" si="13"/>
        <v>100</v>
      </c>
      <c r="V32" s="774" t="s">
        <v>21</v>
      </c>
      <c r="W32" s="775">
        <f t="shared" si="14"/>
        <v>100</v>
      </c>
      <c r="X32" s="1815"/>
      <c r="Y32" s="3227" t="s">
        <v>2555</v>
      </c>
      <c r="Z32" s="1816" t="str">
        <f t="shared" si="18"/>
        <v>建筑类型</v>
      </c>
      <c r="AA32" s="1813">
        <f t="shared" si="15"/>
        <v>1</v>
      </c>
      <c r="AB32" s="1813">
        <f t="shared" si="16"/>
        <v>1</v>
      </c>
      <c r="AC32" s="1813">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3" t="e">
        <f t="shared" si="15"/>
        <v>#N/A</v>
      </c>
      <c r="AB33" s="1813" t="e">
        <f t="shared" si="16"/>
        <v>#N/A</v>
      </c>
      <c r="AC33" s="1813" t="e">
        <f t="shared" si="17"/>
        <v>#N/A</v>
      </c>
    </row>
    <row r="34" spans="1:29" ht="15">
      <c r="A34" s="472"/>
      <c r="B34" s="422" t="s">
        <v>2557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5"/>
      <c r="Q34" s="1812" t="str">
        <f t="shared" si="11"/>
        <v>建筑结构</v>
      </c>
      <c r="R34" s="774" t="s">
        <v>21</v>
      </c>
      <c r="S34" s="775">
        <f t="shared" si="12"/>
        <v>100</v>
      </c>
      <c r="T34" s="774" t="s">
        <v>21</v>
      </c>
      <c r="U34" s="775">
        <f t="shared" si="13"/>
        <v>100</v>
      </c>
      <c r="V34" s="774" t="s">
        <v>21</v>
      </c>
      <c r="W34" s="775">
        <f t="shared" si="14"/>
        <v>100</v>
      </c>
      <c r="X34" s="1815"/>
      <c r="Y34" s="3227"/>
      <c r="Z34" s="1816" t="str">
        <f t="shared" si="18"/>
        <v>建筑结构</v>
      </c>
      <c r="AA34" s="1813">
        <f t="shared" si="15"/>
        <v>1</v>
      </c>
      <c r="AB34" s="1813">
        <f t="shared" si="16"/>
        <v>1</v>
      </c>
      <c r="AC34" s="1813">
        <f t="shared" si="17"/>
        <v>1</v>
      </c>
    </row>
    <row r="35" spans="1:29" ht="15">
      <c r="A35" s="472"/>
      <c r="B35" s="422" t="s">
        <v>2558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5"/>
      <c r="Q35" s="1812" t="str">
        <f t="shared" si="11"/>
        <v>建筑品质</v>
      </c>
      <c r="R35" s="774" t="s">
        <v>21</v>
      </c>
      <c r="S35" s="775">
        <f t="shared" si="12"/>
        <v>100</v>
      </c>
      <c r="T35" s="774" t="s">
        <v>21</v>
      </c>
      <c r="U35" s="775">
        <f t="shared" si="13"/>
        <v>100</v>
      </c>
      <c r="V35" s="774" t="s">
        <v>21</v>
      </c>
      <c r="W35" s="775">
        <f t="shared" si="14"/>
        <v>100</v>
      </c>
      <c r="X35" s="1815"/>
      <c r="Y35" s="3227"/>
      <c r="Z35" s="1816" t="str">
        <f t="shared" si="18"/>
        <v>建筑品质</v>
      </c>
      <c r="AA35" s="1813">
        <f t="shared" si="15"/>
        <v>1</v>
      </c>
      <c r="AB35" s="1813">
        <f t="shared" si="16"/>
        <v>1</v>
      </c>
      <c r="AC35" s="1813">
        <f t="shared" si="17"/>
        <v>1</v>
      </c>
    </row>
    <row r="36" spans="1:29" ht="15">
      <c r="A36" s="472"/>
      <c r="B36" s="422" t="s">
        <v>2559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5"/>
      <c r="Q36" s="1812" t="str">
        <f t="shared" si="11"/>
        <v>公共部分装修</v>
      </c>
      <c r="R36" s="774" t="s">
        <v>21</v>
      </c>
      <c r="S36" s="775">
        <f t="shared" si="12"/>
        <v>100</v>
      </c>
      <c r="T36" s="774" t="s">
        <v>21</v>
      </c>
      <c r="U36" s="775">
        <f t="shared" si="13"/>
        <v>100</v>
      </c>
      <c r="V36" s="774" t="s">
        <v>21</v>
      </c>
      <c r="W36" s="775">
        <f t="shared" si="14"/>
        <v>100</v>
      </c>
      <c r="X36" s="1815"/>
      <c r="Y36" s="3227"/>
      <c r="Z36" s="1816" t="str">
        <f t="shared" si="18"/>
        <v>公共部分装修</v>
      </c>
      <c r="AA36" s="1813">
        <f t="shared" si="15"/>
        <v>1</v>
      </c>
      <c r="AB36" s="1813">
        <f t="shared" si="16"/>
        <v>1</v>
      </c>
      <c r="AC36" s="1813">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5"/>
      <c r="Q37" s="1797"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2561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5" t="s">
        <v>2555</v>
      </c>
      <c r="Q38" s="1812" t="str">
        <f t="shared" si="11"/>
        <v>物业管理</v>
      </c>
      <c r="R38" s="774" t="s">
        <v>21</v>
      </c>
      <c r="S38" s="775">
        <f t="shared" si="12"/>
        <v>100</v>
      </c>
      <c r="T38" s="774" t="s">
        <v>21</v>
      </c>
      <c r="U38" s="775">
        <f t="shared" si="13"/>
        <v>100</v>
      </c>
      <c r="V38" s="774" t="s">
        <v>21</v>
      </c>
      <c r="W38" s="775">
        <f t="shared" si="14"/>
        <v>100</v>
      </c>
      <c r="X38" s="1815"/>
      <c r="Y38" s="3227" t="s">
        <v>2555</v>
      </c>
      <c r="Z38" s="1816" t="str">
        <f t="shared" si="18"/>
        <v>物业管理</v>
      </c>
      <c r="AA38" s="1813">
        <f t="shared" si="15"/>
        <v>1</v>
      </c>
      <c r="AB38" s="1813">
        <f t="shared" si="16"/>
        <v>1</v>
      </c>
      <c r="AC38" s="1813">
        <f t="shared" si="17"/>
        <v>1</v>
      </c>
    </row>
    <row r="39" spans="1:29" ht="15">
      <c r="A39" s="472"/>
      <c r="B39" s="422" t="s">
        <v>2562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5"/>
      <c r="Q39" s="1812" t="str">
        <f t="shared" si="11"/>
        <v>市政基础设施</v>
      </c>
      <c r="R39" s="774" t="s">
        <v>21</v>
      </c>
      <c r="S39" s="775">
        <f t="shared" si="12"/>
        <v>100</v>
      </c>
      <c r="T39" s="774" t="s">
        <v>21</v>
      </c>
      <c r="U39" s="775">
        <f t="shared" si="13"/>
        <v>100</v>
      </c>
      <c r="V39" s="774" t="s">
        <v>21</v>
      </c>
      <c r="W39" s="775">
        <f t="shared" si="14"/>
        <v>100</v>
      </c>
      <c r="X39" s="1815"/>
      <c r="Y39" s="3227"/>
      <c r="Z39" s="1816" t="str">
        <f t="shared" si="18"/>
        <v>市政基础设施</v>
      </c>
      <c r="AA39" s="1813">
        <f t="shared" si="15"/>
        <v>1</v>
      </c>
      <c r="AB39" s="1813">
        <f t="shared" si="16"/>
        <v>1</v>
      </c>
      <c r="AC39" s="1813">
        <f t="shared" si="17"/>
        <v>1</v>
      </c>
    </row>
    <row r="40" spans="1:29" ht="15">
      <c r="A40" s="472"/>
      <c r="B40" s="422" t="s">
        <v>2563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5"/>
      <c r="Q40" s="1812" t="str">
        <f t="shared" si="11"/>
        <v>房型</v>
      </c>
      <c r="R40" s="774" t="s">
        <v>21</v>
      </c>
      <c r="S40" s="775">
        <f t="shared" si="12"/>
        <v>100</v>
      </c>
      <c r="T40" s="774" t="s">
        <v>21</v>
      </c>
      <c r="U40" s="775">
        <f t="shared" si="13"/>
        <v>100</v>
      </c>
      <c r="V40" s="774" t="s">
        <v>21</v>
      </c>
      <c r="W40" s="775">
        <f t="shared" si="14"/>
        <v>100</v>
      </c>
      <c r="X40" s="1815"/>
      <c r="Y40" s="3227"/>
      <c r="Z40" s="1816" t="str">
        <f t="shared" si="18"/>
        <v>房型</v>
      </c>
      <c r="AA40" s="1813">
        <f t="shared" si="15"/>
        <v>1</v>
      </c>
      <c r="AB40" s="1813">
        <f t="shared" si="16"/>
        <v>1</v>
      </c>
      <c r="AC40" s="1813">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3">
        <f t="shared" si="15"/>
        <v>1</v>
      </c>
      <c r="AB41" s="1813">
        <f t="shared" si="16"/>
        <v>1</v>
      </c>
      <c r="AC41" s="1813">
        <f t="shared" si="17"/>
        <v>1</v>
      </c>
    </row>
    <row r="42" spans="1:29" ht="15">
      <c r="A42" s="472"/>
      <c r="B42" s="422" t="s">
        <v>2565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5"/>
      <c r="Q42" s="1812" t="str">
        <f t="shared" si="11"/>
        <v>内部装修</v>
      </c>
      <c r="R42" s="774" t="s">
        <v>21</v>
      </c>
      <c r="S42" s="775">
        <f t="shared" si="12"/>
        <v>100</v>
      </c>
      <c r="T42" s="774" t="s">
        <v>21</v>
      </c>
      <c r="U42" s="775">
        <f t="shared" si="13"/>
        <v>100</v>
      </c>
      <c r="V42" s="774" t="s">
        <v>21</v>
      </c>
      <c r="W42" s="775">
        <f t="shared" si="14"/>
        <v>100</v>
      </c>
      <c r="X42" s="1815"/>
      <c r="Y42" s="3227"/>
      <c r="Z42" s="1816" t="str">
        <f t="shared" si="18"/>
        <v>内部装修</v>
      </c>
      <c r="AA42" s="1813">
        <f t="shared" si="15"/>
        <v>1</v>
      </c>
      <c r="AB42" s="1813">
        <f t="shared" si="16"/>
        <v>1</v>
      </c>
      <c r="AC42" s="1813">
        <f t="shared" si="17"/>
        <v>1</v>
      </c>
    </row>
    <row r="43" spans="1:29" ht="15">
      <c r="A43" s="472"/>
      <c r="B43" s="422" t="s">
        <v>2566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5"/>
      <c r="Q43" s="1812" t="str">
        <f t="shared" si="11"/>
        <v>内部装修维护情况</v>
      </c>
      <c r="R43" s="774" t="s">
        <v>21</v>
      </c>
      <c r="S43" s="775">
        <f t="shared" si="12"/>
        <v>100</v>
      </c>
      <c r="T43" s="774" t="s">
        <v>21</v>
      </c>
      <c r="U43" s="775">
        <f t="shared" si="13"/>
        <v>100</v>
      </c>
      <c r="V43" s="774" t="s">
        <v>21</v>
      </c>
      <c r="W43" s="775">
        <f t="shared" si="14"/>
        <v>100</v>
      </c>
      <c r="X43" s="1815"/>
      <c r="Y43" s="322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5"/>
      <c r="Q44" s="1797">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5"/>
      <c r="Q45" s="1812">
        <f t="shared" si="11"/>
        <v>111</v>
      </c>
      <c r="R45" s="774" t="s">
        <v>21</v>
      </c>
      <c r="S45" s="775">
        <f t="shared" si="12"/>
        <v>100</v>
      </c>
      <c r="T45" s="774" t="s">
        <v>21</v>
      </c>
      <c r="U45" s="775">
        <f t="shared" si="13"/>
        <v>100</v>
      </c>
      <c r="V45" s="774" t="s">
        <v>21</v>
      </c>
      <c r="W45" s="775">
        <f t="shared" si="14"/>
        <v>100</v>
      </c>
      <c r="X45" s="1815"/>
      <c r="Y45" s="3227"/>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26"/>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2567</v>
      </c>
      <c r="B47" s="480"/>
      <c r="C47" s="1409" t="s">
        <v>19</v>
      </c>
      <c r="D47" s="1410"/>
      <c r="E47" s="1411"/>
      <c r="F47" s="1412"/>
      <c r="G47" s="1413"/>
      <c r="H47" s="1414"/>
      <c r="I47" s="1411"/>
      <c r="J47" s="1414"/>
      <c r="K47" s="2624"/>
      <c r="L47" s="1145"/>
      <c r="M47" s="1146"/>
      <c r="N47" s="1133"/>
      <c r="O47" s="1146"/>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2568</v>
      </c>
      <c r="B48" s="487"/>
      <c r="C48" s="1415" t="e">
        <f>R49</f>
        <v>#DIV/0!</v>
      </c>
      <c r="D48" s="1416"/>
      <c r="E48" s="1417" t="e">
        <f>R48</f>
        <v>#DIV/0!</v>
      </c>
      <c r="F48" s="1417"/>
      <c r="G48" s="1415" t="e">
        <f>T48</f>
        <v>#DIV/0!</v>
      </c>
      <c r="H48" s="1416"/>
      <c r="I48" s="1417" t="e">
        <f>V48</f>
        <v>#DIV/0!</v>
      </c>
      <c r="J48" s="1416"/>
      <c r="K48" s="2625"/>
      <c r="L48" s="1145"/>
      <c r="M48" s="1146"/>
      <c r="N48" s="1146"/>
      <c r="O48" s="1146"/>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2569</v>
      </c>
      <c r="B49" s="493"/>
      <c r="C49" s="1418" t="e">
        <f>R49</f>
        <v>#DIV/0!</v>
      </c>
      <c r="D49" s="1419"/>
      <c r="E49" s="1419"/>
      <c r="F49" s="1419"/>
      <c r="G49" s="1419"/>
      <c r="H49" s="1419"/>
      <c r="I49" s="1419"/>
      <c r="J49" s="1419"/>
      <c r="K49" s="2626"/>
      <c r="L49" s="1145"/>
      <c r="M49" s="1146"/>
      <c r="N49" s="1146"/>
      <c r="O49" s="1146"/>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2573</v>
      </c>
      <c r="B57" s="759"/>
      <c r="C57" s="764"/>
      <c r="D57" s="764"/>
      <c r="E57" s="764"/>
      <c r="F57" s="765"/>
      <c r="G57" s="765"/>
      <c r="H57" s="764"/>
      <c r="I57" s="764"/>
      <c r="J57" s="764"/>
      <c r="K57" s="1162"/>
      <c r="L57" s="1163"/>
      <c r="M57" s="1161"/>
      <c r="N57" s="1161"/>
      <c r="O57" s="1161"/>
      <c r="P57" s="2629"/>
      <c r="Q57" s="504"/>
    </row>
    <row r="58" spans="1:29" s="508" customFormat="1" ht="15">
      <c r="A58" s="505" t="s">
        <v>2574</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2576</v>
      </c>
      <c r="B61" s="510"/>
      <c r="C61" s="522" t="s">
        <v>2577</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2578</v>
      </c>
      <c r="B63" s="528" t="s">
        <v>2544</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2090</v>
      </c>
      <c r="C82" s="539" t="s">
        <v>2594</v>
      </c>
      <c r="D82" s="539" t="s">
        <v>2595</v>
      </c>
      <c r="E82" s="539" t="s">
        <v>2596</v>
      </c>
      <c r="F82" s="539" t="s">
        <v>2597</v>
      </c>
      <c r="G82" s="539" t="s">
        <v>2598</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2600</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2601</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2553</v>
      </c>
      <c r="B100" s="528" t="s">
        <v>2602</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2604</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2605</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2606</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2607</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2608</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2609</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2564</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2610</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2612</v>
      </c>
    </row>
    <row r="137" spans="1:17" ht="15">
      <c r="B137" s="2641" t="s">
        <v>2613</v>
      </c>
      <c r="C137" s="2642"/>
      <c r="D137" s="2642"/>
      <c r="E137" s="2642"/>
      <c r="F137" s="2642"/>
      <c r="G137" s="2643"/>
      <c r="H137" s="2644"/>
      <c r="I137" s="2645" t="s">
        <v>2614</v>
      </c>
      <c r="J137" s="2642"/>
      <c r="K137" s="2646"/>
    </row>
    <row r="138" spans="1:17" ht="15">
      <c r="B138" s="2647"/>
      <c r="C138" s="146" t="s">
        <v>2615</v>
      </c>
      <c r="D138" s="146" t="s">
        <v>2616</v>
      </c>
      <c r="E138" s="2648" t="s">
        <v>2617</v>
      </c>
      <c r="F138" s="2649" t="s">
        <v>2618</v>
      </c>
      <c r="G138" s="146" t="s">
        <v>2616</v>
      </c>
      <c r="H138" s="147" t="s">
        <v>2617</v>
      </c>
      <c r="I138" s="2650"/>
      <c r="J138" s="146" t="s">
        <v>2619</v>
      </c>
      <c r="K138" s="147" t="s">
        <v>2620</v>
      </c>
    </row>
    <row r="139" spans="1:17" ht="15">
      <c r="B139" s="1086">
        <v>6</v>
      </c>
      <c r="C139" s="1087">
        <v>96</v>
      </c>
      <c r="D139" s="2651" t="s">
        <v>2621</v>
      </c>
      <c r="E139" s="1088">
        <v>100</v>
      </c>
      <c r="F139" s="1089">
        <v>102.5</v>
      </c>
      <c r="G139" s="2651" t="s">
        <v>2621</v>
      </c>
      <c r="H139" s="1090">
        <v>105</v>
      </c>
      <c r="I139" s="2652" t="s">
        <v>2622</v>
      </c>
      <c r="J139" s="1087">
        <v>20</v>
      </c>
      <c r="K139" s="1091">
        <f>C145/(J139-2)</f>
        <v>4.0555555555555553E-3</v>
      </c>
    </row>
    <row r="140" spans="1:17" ht="15">
      <c r="B140" s="1092">
        <v>5</v>
      </c>
      <c r="C140" s="1093">
        <v>100</v>
      </c>
      <c r="D140" s="1093"/>
      <c r="E140" s="1094"/>
      <c r="F140" s="1095">
        <v>102</v>
      </c>
      <c r="G140" s="1093"/>
      <c r="H140" s="1096"/>
      <c r="I140" s="2653" t="s">
        <v>2623</v>
      </c>
      <c r="J140" s="315">
        <f>ROUNDUP((J139-1)/2,0)</f>
        <v>10</v>
      </c>
      <c r="K140" s="1097">
        <v>100</v>
      </c>
    </row>
    <row r="141" spans="1:17" ht="15">
      <c r="B141" s="1092">
        <v>4</v>
      </c>
      <c r="C141" s="1093">
        <v>102</v>
      </c>
      <c r="D141" s="1093"/>
      <c r="E141" s="1094"/>
      <c r="F141" s="1095">
        <v>101.5</v>
      </c>
      <c r="G141" s="1093"/>
      <c r="H141" s="1096"/>
      <c r="I141" s="2653" t="s">
        <v>2624</v>
      </c>
      <c r="J141" s="315">
        <v>1</v>
      </c>
      <c r="K141" s="1098">
        <f>ROUND(100+(J141-J140)*K139*100,1)</f>
        <v>96.4</v>
      </c>
    </row>
    <row r="142" spans="1:17" ht="15">
      <c r="B142" s="1092">
        <v>3</v>
      </c>
      <c r="C142" s="1093">
        <v>103</v>
      </c>
      <c r="D142" s="1093"/>
      <c r="E142" s="1094"/>
      <c r="F142" s="1095">
        <v>101</v>
      </c>
      <c r="G142" s="1093"/>
      <c r="H142" s="1096"/>
      <c r="I142" s="2653" t="s">
        <v>2625</v>
      </c>
      <c r="J142" s="315">
        <f>J139</f>
        <v>20</v>
      </c>
      <c r="K142" s="1099">
        <v>95</v>
      </c>
    </row>
    <row r="143" spans="1:17" ht="15">
      <c r="B143" s="1092">
        <v>2</v>
      </c>
      <c r="C143" s="1093">
        <v>100</v>
      </c>
      <c r="D143" s="1093"/>
      <c r="E143" s="1094"/>
      <c r="F143" s="1095">
        <v>100.5</v>
      </c>
      <c r="G143" s="1093"/>
      <c r="H143" s="1096"/>
      <c r="I143" s="2653" t="s">
        <v>2626</v>
      </c>
      <c r="J143" s="1093">
        <v>15</v>
      </c>
      <c r="K143" s="1098">
        <f>ROUND(100+(J143-J140)*K139*100,1)</f>
        <v>102</v>
      </c>
    </row>
    <row r="144" spans="1:17" ht="15">
      <c r="B144" s="1092">
        <v>1</v>
      </c>
      <c r="C144" s="1093">
        <v>98</v>
      </c>
      <c r="D144" s="2654" t="s">
        <v>2627</v>
      </c>
      <c r="E144" s="1094">
        <v>102</v>
      </c>
      <c r="F144" s="1100">
        <v>100</v>
      </c>
      <c r="G144" s="2654" t="s">
        <v>2627</v>
      </c>
      <c r="H144" s="1096">
        <v>105</v>
      </c>
      <c r="I144" s="2653" t="s">
        <v>2626</v>
      </c>
      <c r="J144" s="1093">
        <v>18</v>
      </c>
      <c r="K144" s="1098">
        <f>ROUND(100+(J144-J140)*K139*100,1)</f>
        <v>103.2</v>
      </c>
    </row>
    <row r="145" spans="2:11" ht="15.75" thickBot="1">
      <c r="B145" s="2655" t="s">
        <v>2628</v>
      </c>
      <c r="C145" s="1101">
        <f>ROUND(MAX(C139:C144)/MIN(C139:C144)-1,3)</f>
        <v>7.2999999999999995E-2</v>
      </c>
      <c r="D145" s="1102"/>
      <c r="E145" s="1102"/>
      <c r="F145" s="2656" t="s">
        <v>2629</v>
      </c>
      <c r="G145" s="2657"/>
      <c r="H145" s="2658"/>
      <c r="I145" s="2659" t="s">
        <v>2626</v>
      </c>
      <c r="J145" s="1103">
        <v>8</v>
      </c>
      <c r="K145" s="1104">
        <f>ROUND(100+(J145-J140)*K139*100,1)</f>
        <v>99.2</v>
      </c>
    </row>
    <row r="147" spans="2:11">
      <c r="B147" s="2640" t="s">
        <v>2630</v>
      </c>
    </row>
    <row r="148" spans="2:11">
      <c r="B148" s="2640"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2518</v>
      </c>
      <c r="B1" s="2672" t="s">
        <v>2676</v>
      </c>
      <c r="C1" s="1622" t="s">
        <v>2520</v>
      </c>
      <c r="D1" s="1623"/>
      <c r="E1" s="1632"/>
      <c r="F1" s="2587"/>
      <c r="G1" s="1633" t="s">
        <v>2633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2317</v>
      </c>
      <c r="B2" s="1420" t="e">
        <f ca="1">IF(C2="——",ROUND(C50*D3/10000,0),ROUND(C50*D3/10000,0)-D2)</f>
        <v>#DIV/0!</v>
      </c>
      <c r="C2" s="2589"/>
      <c r="D2" s="1367" t="e">
        <f ca="1">SUMIF(INDIRECT("'"&amp;F2&amp;"'"&amp;"!A:A"),"承租人权益价值",INDIRECT("'"&amp;F2&amp;"'"&amp;"!c:c"))</f>
        <v>#REF!</v>
      </c>
      <c r="E2" s="2590" t="s">
        <v>2318</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2634</v>
      </c>
      <c r="D3" s="399">
        <f>IF(D1="",'数据-汇总表'!E3,SUMIF('数据-汇总表'!$C19:$C33,D1,'数据-汇总表'!$E19:$E33))</f>
        <v>8622.76</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95" t="s">
        <v>2641</v>
      </c>
      <c r="Q4" s="3296"/>
      <c r="R4" s="3290" t="s">
        <v>2637</v>
      </c>
      <c r="S4" s="3291"/>
      <c r="T4" s="3290" t="s">
        <v>2638</v>
      </c>
      <c r="U4" s="3291"/>
      <c r="V4" s="3299" t="s">
        <v>2639</v>
      </c>
      <c r="W4" s="3299"/>
      <c r="X4" s="2673"/>
      <c r="Y4" s="3290" t="s">
        <v>2641</v>
      </c>
      <c r="Z4" s="3291"/>
      <c r="AA4" s="3289" t="s">
        <v>2637</v>
      </c>
      <c r="AB4" s="3289" t="s">
        <v>2638</v>
      </c>
      <c r="AC4" s="3292" t="s">
        <v>2639</v>
      </c>
    </row>
    <row r="5" spans="1:29" ht="15">
      <c r="A5" s="404"/>
      <c r="B5" s="405"/>
      <c r="C5" s="3200" t="s">
        <v>2532</v>
      </c>
      <c r="D5" s="3201"/>
      <c r="E5" s="3198" t="s">
        <v>2533</v>
      </c>
      <c r="F5" s="3199"/>
      <c r="G5" s="3200" t="s">
        <v>2534</v>
      </c>
      <c r="H5" s="3201"/>
      <c r="I5" s="3200" t="s">
        <v>2535</v>
      </c>
      <c r="J5" s="3201"/>
      <c r="K5" s="610"/>
      <c r="L5" s="1132"/>
      <c r="M5" s="1133"/>
      <c r="N5" s="1133"/>
      <c r="O5" s="1133"/>
      <c r="P5" s="3297"/>
      <c r="Q5" s="3214"/>
      <c r="R5" s="3196"/>
      <c r="S5" s="3197"/>
      <c r="T5" s="3196"/>
      <c r="U5" s="3197"/>
      <c r="V5" s="3191"/>
      <c r="W5" s="3191"/>
      <c r="X5" s="1815"/>
      <c r="Y5" s="3196"/>
      <c r="Z5" s="3197"/>
      <c r="AA5" s="3189"/>
      <c r="AB5" s="3189"/>
      <c r="AC5" s="3293"/>
    </row>
    <row r="6" spans="1:29" ht="15.75" thickBot="1">
      <c r="A6" s="406"/>
      <c r="B6" s="407"/>
      <c r="C6" s="3202" t="s">
        <v>2536</v>
      </c>
      <c r="D6" s="3203"/>
      <c r="E6" s="3204" t="s">
        <v>2536</v>
      </c>
      <c r="F6" s="3205"/>
      <c r="G6" s="3202" t="s">
        <v>2536</v>
      </c>
      <c r="H6" s="3203"/>
      <c r="I6" s="3202" t="s">
        <v>2536</v>
      </c>
      <c r="J6" s="3203"/>
      <c r="K6" s="610" t="s">
        <v>2537</v>
      </c>
      <c r="L6" s="1132"/>
      <c r="M6" s="1133"/>
      <c r="N6" s="1133"/>
      <c r="O6" s="1133"/>
      <c r="P6" s="3298"/>
      <c r="Q6" s="3216"/>
      <c r="R6" s="3196"/>
      <c r="S6" s="3197"/>
      <c r="T6" s="3217"/>
      <c r="U6" s="3218"/>
      <c r="V6" s="3191"/>
      <c r="W6" s="3191"/>
      <c r="X6" s="1815"/>
      <c r="Y6" s="3217"/>
      <c r="Z6" s="3218"/>
      <c r="AA6" s="3190"/>
      <c r="AB6" s="3190"/>
      <c r="AC6" s="3294"/>
    </row>
    <row r="7" spans="1:29" s="117" customFormat="1" ht="15.75" thickBot="1">
      <c r="A7" s="408" t="s">
        <v>2538</v>
      </c>
      <c r="B7" s="409"/>
      <c r="C7" s="410">
        <f>'数据-取费表'!B2</f>
        <v>43437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0" t="s">
        <v>2539</v>
      </c>
      <c r="Q7" s="3219"/>
      <c r="R7" s="770" t="s">
        <v>17</v>
      </c>
      <c r="S7" s="771">
        <f t="shared" ref="S7:S15" si="0">F7</f>
        <v>0</v>
      </c>
      <c r="T7" s="770" t="s">
        <v>17</v>
      </c>
      <c r="U7" s="771">
        <f t="shared" ref="U7:U15" si="1">H7</f>
        <v>0</v>
      </c>
      <c r="V7" s="770" t="s">
        <v>17</v>
      </c>
      <c r="W7" s="771">
        <f t="shared" ref="W7:W15" si="2">J7</f>
        <v>0</v>
      </c>
      <c r="X7" s="772"/>
      <c r="Y7" s="3192" t="s">
        <v>2539</v>
      </c>
      <c r="Z7" s="3193"/>
      <c r="AA7" s="773" t="e">
        <f>D7/F7</f>
        <v>#DIV/0!</v>
      </c>
      <c r="AB7" s="773" t="e">
        <f>D7/H7</f>
        <v>#DIV/0!</v>
      </c>
      <c r="AC7" s="2674"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0" t="s">
        <v>2542</v>
      </c>
      <c r="Q8" s="3193"/>
      <c r="R8" s="770" t="s">
        <v>17</v>
      </c>
      <c r="S8" s="771">
        <f t="shared" si="0"/>
        <v>0</v>
      </c>
      <c r="T8" s="770" t="s">
        <v>17</v>
      </c>
      <c r="U8" s="771">
        <f t="shared" si="1"/>
        <v>0</v>
      </c>
      <c r="V8" s="770" t="s">
        <v>17</v>
      </c>
      <c r="W8" s="771">
        <f t="shared" si="2"/>
        <v>0</v>
      </c>
      <c r="X8" s="772"/>
      <c r="Y8" s="3192" t="s">
        <v>2542</v>
      </c>
      <c r="Z8" s="3193"/>
      <c r="AA8" s="773" t="e">
        <f t="shared" ref="AA8:AA47" si="3">D8/F8</f>
        <v>#DIV/0!</v>
      </c>
      <c r="AB8" s="773" t="e">
        <f t="shared" ref="AB8:AB47" si="4">D8/H8</f>
        <v>#DIV/0!</v>
      </c>
      <c r="AC8" s="2674"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6"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2674">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6"/>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4">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6"/>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06"/>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06"/>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06"/>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4">
        <f t="shared" si="5"/>
        <v>1</v>
      </c>
    </row>
    <row r="15" spans="1:29" ht="15">
      <c r="A15" s="440" t="s">
        <v>2549</v>
      </c>
      <c r="B15" s="629" t="s">
        <v>2677</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0" t="s">
        <v>2550</v>
      </c>
      <c r="Q15" s="1812" t="str">
        <f t="shared" si="6"/>
        <v>办公集聚程度</v>
      </c>
      <c r="R15" s="774" t="s">
        <v>17</v>
      </c>
      <c r="S15" s="775">
        <f t="shared" si="0"/>
        <v>100</v>
      </c>
      <c r="T15" s="774" t="s">
        <v>17</v>
      </c>
      <c r="U15" s="775">
        <f t="shared" si="1"/>
        <v>100</v>
      </c>
      <c r="V15" s="774" t="s">
        <v>17</v>
      </c>
      <c r="W15" s="775">
        <f t="shared" si="2"/>
        <v>100</v>
      </c>
      <c r="X15" s="1815"/>
      <c r="Y15" s="3222" t="s">
        <v>2550</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2"/>
      <c r="M16" s="1133"/>
      <c r="N16" s="1133"/>
      <c r="O16" s="1133"/>
      <c r="P16" s="3221"/>
      <c r="Q16" s="1812"/>
      <c r="R16" s="774"/>
      <c r="S16" s="775"/>
      <c r="T16" s="774"/>
      <c r="U16" s="775"/>
      <c r="V16" s="774"/>
      <c r="W16" s="775"/>
      <c r="X16" s="1815"/>
      <c r="Y16" s="3223"/>
      <c r="Z16" s="1816"/>
      <c r="AA16" s="1813">
        <v>1</v>
      </c>
      <c r="AB16" s="1813">
        <v>1</v>
      </c>
      <c r="AC16" s="2677">
        <v>1</v>
      </c>
    </row>
    <row r="17" spans="1:29" ht="15">
      <c r="A17" s="428"/>
      <c r="B17" s="631" t="s">
        <v>2089</v>
      </c>
      <c r="C17" s="267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1"/>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2"/>
      <c r="M18" s="1133"/>
      <c r="N18" s="1133"/>
      <c r="O18" s="1133"/>
      <c r="P18" s="3221"/>
      <c r="Q18" s="1812"/>
      <c r="R18" s="774"/>
      <c r="S18" s="775"/>
      <c r="T18" s="774"/>
      <c r="U18" s="775"/>
      <c r="V18" s="774"/>
      <c r="W18" s="775"/>
      <c r="X18" s="1815"/>
      <c r="Y18" s="3223"/>
      <c r="Z18" s="1816"/>
      <c r="AA18" s="1813">
        <v>1</v>
      </c>
      <c r="AB18" s="1813">
        <v>1</v>
      </c>
      <c r="AC18" s="2677">
        <v>1</v>
      </c>
    </row>
    <row r="19" spans="1:29" ht="15">
      <c r="A19" s="428"/>
      <c r="B19" s="631" t="s">
        <v>2678</v>
      </c>
      <c r="C19" s="267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1"/>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2"/>
      <c r="M20" s="1133"/>
      <c r="N20" s="1133"/>
      <c r="O20" s="1133"/>
      <c r="P20" s="3221"/>
      <c r="Q20" s="1812"/>
      <c r="R20" s="774"/>
      <c r="S20" s="775"/>
      <c r="T20" s="774"/>
      <c r="U20" s="775"/>
      <c r="V20" s="774"/>
      <c r="W20" s="775"/>
      <c r="X20" s="1815"/>
      <c r="Y20" s="3223"/>
      <c r="Z20" s="1816"/>
      <c r="AA20" s="1813">
        <v>1</v>
      </c>
      <c r="AB20" s="1813">
        <v>1</v>
      </c>
      <c r="AC20" s="2677">
        <v>1</v>
      </c>
    </row>
    <row r="21" spans="1:29" ht="15">
      <c r="A21" s="428"/>
      <c r="B21" s="633" t="s">
        <v>2679</v>
      </c>
      <c r="C21" s="267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1"/>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21"/>
      <c r="Q22" s="1812"/>
      <c r="R22" s="774"/>
      <c r="S22" s="775"/>
      <c r="T22" s="774"/>
      <c r="U22" s="775"/>
      <c r="V22" s="774"/>
      <c r="W22" s="775"/>
      <c r="X22" s="1815"/>
      <c r="Y22" s="3223"/>
      <c r="Z22" s="1816"/>
      <c r="AA22" s="1813">
        <v>1</v>
      </c>
      <c r="AB22" s="1813">
        <v>1</v>
      </c>
      <c r="AC22" s="2677">
        <v>1</v>
      </c>
    </row>
    <row r="23" spans="1:29" ht="15">
      <c r="A23" s="428"/>
      <c r="B23" s="631" t="s">
        <v>2680</v>
      </c>
      <c r="C23" s="2678"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1"/>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2"/>
      <c r="M24" s="1133"/>
      <c r="N24" s="1133"/>
      <c r="O24" s="1133"/>
      <c r="P24" s="3221"/>
      <c r="Q24" s="1812"/>
      <c r="R24" s="774"/>
      <c r="S24" s="775"/>
      <c r="T24" s="774"/>
      <c r="U24" s="775"/>
      <c r="V24" s="774"/>
      <c r="W24" s="775"/>
      <c r="X24" s="1815"/>
      <c r="Y24" s="3223"/>
      <c r="Z24" s="1816"/>
      <c r="AA24" s="1813">
        <v>1</v>
      </c>
      <c r="AB24" s="1813">
        <v>1</v>
      </c>
      <c r="AC24" s="2677">
        <v>1</v>
      </c>
    </row>
    <row r="25" spans="1:29" ht="27">
      <c r="A25" s="404"/>
      <c r="B25" s="631" t="s">
        <v>2681</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21"/>
      <c r="Q25" s="1812" t="str">
        <f>B25</f>
        <v>毗邻道路的类型与等级</v>
      </c>
      <c r="R25" s="774" t="s">
        <v>17</v>
      </c>
      <c r="S25" s="775">
        <f>F25</f>
        <v>100</v>
      </c>
      <c r="T25" s="774" t="s">
        <v>17</v>
      </c>
      <c r="U25" s="775">
        <f>H25</f>
        <v>100</v>
      </c>
      <c r="V25" s="774" t="s">
        <v>17</v>
      </c>
      <c r="W25" s="775">
        <f>J25</f>
        <v>100</v>
      </c>
      <c r="X25" s="1815"/>
      <c r="Y25" s="3223"/>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2"/>
      <c r="M26" s="1133"/>
      <c r="N26" s="1133"/>
      <c r="O26" s="1133"/>
      <c r="P26" s="3221"/>
      <c r="Q26" s="1812"/>
      <c r="R26" s="774"/>
      <c r="S26" s="775"/>
      <c r="T26" s="774"/>
      <c r="U26" s="775"/>
      <c r="V26" s="774"/>
      <c r="W26" s="775"/>
      <c r="X26" s="1815"/>
      <c r="Y26" s="3223"/>
      <c r="Z26" s="1816"/>
      <c r="AA26" s="1813">
        <v>1</v>
      </c>
      <c r="AB26" s="1813">
        <v>1</v>
      </c>
      <c r="AC26" s="2677">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1"/>
      <c r="Q27" s="1812" t="str">
        <f t="shared" ref="Q27:Q47" si="11">B27</f>
        <v>楼层</v>
      </c>
      <c r="R27" s="774" t="s">
        <v>17</v>
      </c>
      <c r="S27" s="775">
        <f>F27</f>
        <v>100</v>
      </c>
      <c r="T27" s="774" t="s">
        <v>17</v>
      </c>
      <c r="U27" s="775">
        <f>H27</f>
        <v>100</v>
      </c>
      <c r="V27" s="774" t="s">
        <v>17</v>
      </c>
      <c r="W27" s="775">
        <f>J27</f>
        <v>100</v>
      </c>
      <c r="X27" s="1815"/>
      <c r="Y27" s="3223"/>
      <c r="Z27" s="1816" t="str">
        <f>Q27</f>
        <v>楼层</v>
      </c>
      <c r="AA27" s="1813">
        <f t="shared" si="3"/>
        <v>1</v>
      </c>
      <c r="AB27" s="1813">
        <f t="shared" si="4"/>
        <v>1</v>
      </c>
      <c r="AC27" s="2677">
        <f t="shared" si="5"/>
        <v>1</v>
      </c>
    </row>
    <row r="28" spans="1:29" s="117" customFormat="1" ht="15">
      <c r="A28" s="431"/>
      <c r="B28" s="631" t="s">
        <v>2682</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21"/>
      <c r="Q28" s="1797" t="str">
        <f t="shared" si="11"/>
        <v>朝向</v>
      </c>
      <c r="R28" s="770" t="s">
        <v>17</v>
      </c>
      <c r="S28" s="771">
        <f>F28</f>
        <v>100</v>
      </c>
      <c r="T28" s="770" t="s">
        <v>17</v>
      </c>
      <c r="U28" s="771">
        <f>H28</f>
        <v>100</v>
      </c>
      <c r="V28" s="770" t="s">
        <v>17</v>
      </c>
      <c r="W28" s="771">
        <f>J28</f>
        <v>100</v>
      </c>
      <c r="X28" s="772"/>
      <c r="Y28" s="3223"/>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21"/>
      <c r="Q29" s="1812">
        <f t="shared" si="11"/>
        <v>111</v>
      </c>
      <c r="R29" s="774" t="s">
        <v>17</v>
      </c>
      <c r="S29" s="775">
        <f t="shared" ref="S29:S47" si="12">F29</f>
        <v>100</v>
      </c>
      <c r="T29" s="774" t="s">
        <v>17</v>
      </c>
      <c r="U29" s="775">
        <f t="shared" ref="U29:U47" si="13">H29</f>
        <v>100</v>
      </c>
      <c r="V29" s="774" t="s">
        <v>17</v>
      </c>
      <c r="W29" s="775">
        <f t="shared" ref="W29:W47" si="14">J29</f>
        <v>100</v>
      </c>
      <c r="X29" s="1815"/>
      <c r="Y29" s="3223"/>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21"/>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21"/>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21"/>
      <c r="Q32" s="1812">
        <f t="shared" si="11"/>
        <v>111</v>
      </c>
      <c r="R32" s="774" t="s">
        <v>17</v>
      </c>
      <c r="S32" s="775">
        <f t="shared" si="12"/>
        <v>100</v>
      </c>
      <c r="T32" s="774" t="s">
        <v>17</v>
      </c>
      <c r="U32" s="775">
        <f t="shared" si="13"/>
        <v>100</v>
      </c>
      <c r="V32" s="774" t="s">
        <v>17</v>
      </c>
      <c r="W32" s="775">
        <f t="shared" si="14"/>
        <v>100</v>
      </c>
      <c r="X32" s="1815"/>
      <c r="Y32" s="3223"/>
      <c r="Z32" s="1816">
        <f t="shared" si="15"/>
        <v>111</v>
      </c>
      <c r="AA32" s="1813">
        <f t="shared" si="3"/>
        <v>1</v>
      </c>
      <c r="AB32" s="1813">
        <f t="shared" si="4"/>
        <v>1</v>
      </c>
      <c r="AC32" s="2677">
        <f t="shared" si="5"/>
        <v>1</v>
      </c>
    </row>
    <row r="33" spans="1:29" ht="15">
      <c r="A33" s="440" t="s">
        <v>2553</v>
      </c>
      <c r="B33" s="71" t="s">
        <v>2683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24" t="s">
        <v>2555</v>
      </c>
      <c r="Q33" s="1812" t="str">
        <f t="shared" si="11"/>
        <v>建筑类型</v>
      </c>
      <c r="R33" s="774" t="s">
        <v>17</v>
      </c>
      <c r="S33" s="775">
        <f t="shared" si="12"/>
        <v>100</v>
      </c>
      <c r="T33" s="774" t="s">
        <v>17</v>
      </c>
      <c r="U33" s="775">
        <f t="shared" si="13"/>
        <v>100</v>
      </c>
      <c r="V33" s="774" t="s">
        <v>17</v>
      </c>
      <c r="W33" s="775">
        <f t="shared" si="14"/>
        <v>100</v>
      </c>
      <c r="X33" s="1815"/>
      <c r="Y33" s="3227" t="s">
        <v>2555</v>
      </c>
      <c r="Z33" s="1816" t="str">
        <f t="shared" si="15"/>
        <v>建筑类型</v>
      </c>
      <c r="AA33" s="1813">
        <f t="shared" si="3"/>
        <v>1</v>
      </c>
      <c r="AB33" s="1813">
        <f t="shared" si="4"/>
        <v>1</v>
      </c>
      <c r="AC33" s="2677">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3" t="e">
        <f t="shared" si="3"/>
        <v>#N/A</v>
      </c>
      <c r="AB34" s="1813" t="e">
        <f t="shared" si="4"/>
        <v>#N/A</v>
      </c>
      <c r="AC34" s="2677"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5"/>
      <c r="Q35" s="1812" t="str">
        <f t="shared" si="11"/>
        <v>建筑结构</v>
      </c>
      <c r="R35" s="774" t="s">
        <v>17</v>
      </c>
      <c r="S35" s="775">
        <f t="shared" si="12"/>
        <v>100</v>
      </c>
      <c r="T35" s="774" t="s">
        <v>17</v>
      </c>
      <c r="U35" s="775">
        <f t="shared" si="13"/>
        <v>100</v>
      </c>
      <c r="V35" s="774" t="s">
        <v>17</v>
      </c>
      <c r="W35" s="775">
        <f t="shared" si="14"/>
        <v>100</v>
      </c>
      <c r="X35" s="1815"/>
      <c r="Y35" s="3227"/>
      <c r="Z35" s="1816" t="str">
        <f t="shared" si="15"/>
        <v>建筑结构</v>
      </c>
      <c r="AA35" s="1813">
        <f t="shared" si="3"/>
        <v>1</v>
      </c>
      <c r="AB35" s="1813">
        <f t="shared" si="4"/>
        <v>1</v>
      </c>
      <c r="AC35" s="2677">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5"/>
      <c r="Q36" s="1812" t="str">
        <f t="shared" si="11"/>
        <v>公共部分装修</v>
      </c>
      <c r="R36" s="774" t="s">
        <v>17</v>
      </c>
      <c r="S36" s="775">
        <f t="shared" si="12"/>
        <v>100</v>
      </c>
      <c r="T36" s="774" t="s">
        <v>17</v>
      </c>
      <c r="U36" s="775">
        <f t="shared" si="13"/>
        <v>100</v>
      </c>
      <c r="V36" s="774" t="s">
        <v>17</v>
      </c>
      <c r="W36" s="775">
        <f t="shared" si="14"/>
        <v>100</v>
      </c>
      <c r="X36" s="1815"/>
      <c r="Y36" s="3227"/>
      <c r="Z36" s="1816" t="str">
        <f t="shared" si="15"/>
        <v>公共部分装修</v>
      </c>
      <c r="AA36" s="1813">
        <f t="shared" si="3"/>
        <v>1</v>
      </c>
      <c r="AB36" s="1813">
        <f t="shared" si="4"/>
        <v>1</v>
      </c>
      <c r="AC36" s="2677">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5"/>
      <c r="Q37" s="1812" t="str">
        <f t="shared" si="11"/>
        <v>成新度</v>
      </c>
      <c r="R37" s="774" t="s">
        <v>17</v>
      </c>
      <c r="S37" s="775" t="e">
        <f t="shared" si="12"/>
        <v>#N/A</v>
      </c>
      <c r="T37" s="774" t="s">
        <v>17</v>
      </c>
      <c r="U37" s="775" t="e">
        <f t="shared" si="13"/>
        <v>#N/A</v>
      </c>
      <c r="V37" s="774" t="s">
        <v>17</v>
      </c>
      <c r="W37" s="775" t="e">
        <f t="shared" si="14"/>
        <v>#N/A</v>
      </c>
      <c r="X37" s="1815"/>
      <c r="Y37" s="3227"/>
      <c r="Z37" s="1816" t="str">
        <f t="shared" si="15"/>
        <v>成新度</v>
      </c>
      <c r="AA37" s="1813" t="e">
        <f t="shared" si="3"/>
        <v>#N/A</v>
      </c>
      <c r="AB37" s="1813" t="e">
        <f t="shared" si="4"/>
        <v>#N/A</v>
      </c>
      <c r="AC37" s="2677"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5"/>
      <c r="Q38" s="1797"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4">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5" t="s">
        <v>2555</v>
      </c>
      <c r="Q39" s="1812" t="str">
        <f t="shared" si="11"/>
        <v>物业管理</v>
      </c>
      <c r="R39" s="774" t="s">
        <v>17</v>
      </c>
      <c r="S39" s="775">
        <f t="shared" si="12"/>
        <v>100</v>
      </c>
      <c r="T39" s="774" t="s">
        <v>17</v>
      </c>
      <c r="U39" s="775">
        <f t="shared" si="13"/>
        <v>100</v>
      </c>
      <c r="V39" s="774" t="s">
        <v>17</v>
      </c>
      <c r="W39" s="775">
        <f t="shared" si="14"/>
        <v>100</v>
      </c>
      <c r="X39" s="1815"/>
      <c r="Y39" s="3227" t="s">
        <v>2555</v>
      </c>
      <c r="Z39" s="1816" t="str">
        <f t="shared" si="15"/>
        <v>物业管理</v>
      </c>
      <c r="AA39" s="1813">
        <f t="shared" si="3"/>
        <v>1</v>
      </c>
      <c r="AB39" s="1813">
        <f t="shared" si="4"/>
        <v>1</v>
      </c>
      <c r="AC39" s="2677">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5"/>
      <c r="Q40" s="1812" t="str">
        <f t="shared" si="11"/>
        <v>市政基础设施</v>
      </c>
      <c r="R40" s="774" t="s">
        <v>17</v>
      </c>
      <c r="S40" s="775">
        <f t="shared" si="12"/>
        <v>100</v>
      </c>
      <c r="T40" s="774" t="s">
        <v>17</v>
      </c>
      <c r="U40" s="775">
        <f t="shared" si="13"/>
        <v>100</v>
      </c>
      <c r="V40" s="774" t="s">
        <v>17</v>
      </c>
      <c r="W40" s="775">
        <f t="shared" si="14"/>
        <v>100</v>
      </c>
      <c r="X40" s="1815"/>
      <c r="Y40" s="3227"/>
      <c r="Z40" s="1816" t="str">
        <f t="shared" si="15"/>
        <v>市政基础设施</v>
      </c>
      <c r="AA40" s="1813">
        <f t="shared" si="3"/>
        <v>1</v>
      </c>
      <c r="AB40" s="1813">
        <f t="shared" si="4"/>
        <v>1</v>
      </c>
      <c r="AC40" s="2677">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5"/>
      <c r="Q41" s="1812" t="str">
        <f t="shared" si="11"/>
        <v>层高</v>
      </c>
      <c r="R41" s="774" t="s">
        <v>17</v>
      </c>
      <c r="S41" s="775">
        <f t="shared" si="12"/>
        <v>100</v>
      </c>
      <c r="T41" s="774" t="s">
        <v>17</v>
      </c>
      <c r="U41" s="775">
        <f t="shared" si="13"/>
        <v>100</v>
      </c>
      <c r="V41" s="774" t="s">
        <v>17</v>
      </c>
      <c r="W41" s="775">
        <f t="shared" si="14"/>
        <v>100</v>
      </c>
      <c r="X41" s="1815"/>
      <c r="Y41" s="3227"/>
      <c r="Z41" s="1816" t="str">
        <f t="shared" si="15"/>
        <v>层高</v>
      </c>
      <c r="AA41" s="1813">
        <f t="shared" si="3"/>
        <v>1</v>
      </c>
      <c r="AB41" s="1813">
        <f t="shared" si="4"/>
        <v>1</v>
      </c>
      <c r="AC41" s="2677">
        <f t="shared" si="5"/>
        <v>1</v>
      </c>
    </row>
    <row r="42" spans="1:29" s="471" customFormat="1" ht="15">
      <c r="A42" s="468"/>
      <c r="B42" s="1814"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3">
        <f t="shared" si="3"/>
        <v>1</v>
      </c>
      <c r="AB42" s="1813">
        <f t="shared" si="4"/>
        <v>1</v>
      </c>
      <c r="AC42" s="2677">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5"/>
      <c r="Q43" s="1812" t="str">
        <f t="shared" si="11"/>
        <v>内部装修</v>
      </c>
      <c r="R43" s="774" t="s">
        <v>17</v>
      </c>
      <c r="S43" s="775">
        <f t="shared" si="12"/>
        <v>100</v>
      </c>
      <c r="T43" s="774" t="s">
        <v>17</v>
      </c>
      <c r="U43" s="775">
        <f t="shared" si="13"/>
        <v>100</v>
      </c>
      <c r="V43" s="774" t="s">
        <v>17</v>
      </c>
      <c r="W43" s="775">
        <f t="shared" si="14"/>
        <v>100</v>
      </c>
      <c r="X43" s="1815"/>
      <c r="Y43" s="3227"/>
      <c r="Z43" s="1816" t="str">
        <f t="shared" si="15"/>
        <v>内部装修</v>
      </c>
      <c r="AA43" s="1813">
        <f t="shared" si="3"/>
        <v>1</v>
      </c>
      <c r="AB43" s="1813">
        <f t="shared" si="4"/>
        <v>1</v>
      </c>
      <c r="AC43" s="2677">
        <f t="shared" si="5"/>
        <v>1</v>
      </c>
    </row>
    <row r="44" spans="1:29" ht="15">
      <c r="A44" s="472"/>
      <c r="B44" s="422" t="s">
        <v>2566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25"/>
      <c r="Q44" s="1812" t="str">
        <f t="shared" si="11"/>
        <v>内部装修维护情况</v>
      </c>
      <c r="R44" s="774" t="s">
        <v>17</v>
      </c>
      <c r="S44" s="775">
        <f t="shared" si="12"/>
        <v>100</v>
      </c>
      <c r="T44" s="774" t="s">
        <v>17</v>
      </c>
      <c r="U44" s="775">
        <f t="shared" si="13"/>
        <v>100</v>
      </c>
      <c r="V44" s="774" t="s">
        <v>17</v>
      </c>
      <c r="W44" s="775">
        <f t="shared" si="14"/>
        <v>100</v>
      </c>
      <c r="X44" s="1815"/>
      <c r="Y44" s="3227"/>
      <c r="Z44" s="1816" t="str">
        <f t="shared" si="15"/>
        <v>内部装修维护情况</v>
      </c>
      <c r="AA44" s="1813">
        <f t="shared" si="3"/>
        <v>1</v>
      </c>
      <c r="AB44" s="1813">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5"/>
      <c r="Q45" s="1797">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5"/>
      <c r="Q46" s="1812">
        <f t="shared" si="11"/>
        <v>111</v>
      </c>
      <c r="R46" s="774" t="s">
        <v>17</v>
      </c>
      <c r="S46" s="775">
        <f t="shared" si="12"/>
        <v>100</v>
      </c>
      <c r="T46" s="774" t="s">
        <v>17</v>
      </c>
      <c r="U46" s="775">
        <f t="shared" si="13"/>
        <v>100</v>
      </c>
      <c r="V46" s="774" t="s">
        <v>17</v>
      </c>
      <c r="W46" s="775">
        <f t="shared" si="14"/>
        <v>100</v>
      </c>
      <c r="X46" s="1815"/>
      <c r="Y46" s="3227"/>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6"/>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77">
        <f t="shared" si="5"/>
        <v>1</v>
      </c>
    </row>
    <row r="48" spans="1:29" ht="15">
      <c r="A48" s="479" t="s">
        <v>2567</v>
      </c>
      <c r="B48" s="480"/>
      <c r="C48" s="1409" t="s">
        <v>1</v>
      </c>
      <c r="D48" s="1410"/>
      <c r="E48" s="1411"/>
      <c r="F48" s="1412"/>
      <c r="G48" s="1413"/>
      <c r="H48" s="1414"/>
      <c r="I48" s="1411"/>
      <c r="J48" s="485"/>
      <c r="K48" s="783"/>
      <c r="L48" s="1145"/>
      <c r="M48" s="1133"/>
      <c r="N48" s="1133"/>
      <c r="O48" s="1133"/>
      <c r="P48" s="3206" t="str">
        <f>A48</f>
        <v>成交单价（元/平方米）</v>
      </c>
      <c r="Q48" s="3229"/>
      <c r="R48" s="3230">
        <f>E48</f>
        <v>0</v>
      </c>
      <c r="S48" s="3230"/>
      <c r="T48" s="3230">
        <f>G48</f>
        <v>0</v>
      </c>
      <c r="U48" s="3230"/>
      <c r="V48" s="3230">
        <f>I48</f>
        <v>0</v>
      </c>
      <c r="W48" s="3230"/>
      <c r="X48" s="446"/>
      <c r="Y48" s="781"/>
      <c r="Z48" s="446"/>
      <c r="AA48" s="446"/>
      <c r="AB48" s="446"/>
      <c r="AC48" s="630"/>
    </row>
    <row r="49" spans="1:29" ht="15.75" thickBot="1">
      <c r="A49" s="486" t="s">
        <v>2659</v>
      </c>
      <c r="B49" s="487"/>
      <c r="C49" s="1415" t="e">
        <f>R50</f>
        <v>#DIV/0!</v>
      </c>
      <c r="D49" s="1416"/>
      <c r="E49" s="1417" t="e">
        <f>R49</f>
        <v>#DIV/0!</v>
      </c>
      <c r="F49" s="1417"/>
      <c r="G49" s="1415" t="e">
        <f>T49</f>
        <v>#DIV/0!</v>
      </c>
      <c r="H49" s="1416"/>
      <c r="I49" s="1417" t="e">
        <f>V49</f>
        <v>#DIV/0!</v>
      </c>
      <c r="J49" s="489"/>
      <c r="K49" s="784"/>
      <c r="L49" s="1145"/>
      <c r="M49" s="1133"/>
      <c r="N49" s="1133"/>
      <c r="O49" s="1133"/>
      <c r="P49" s="3206"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2660</v>
      </c>
      <c r="B50" s="493"/>
      <c r="C50" s="1419" t="e">
        <f>R50</f>
        <v>#DIV/0!</v>
      </c>
      <c r="D50" s="1419"/>
      <c r="E50" s="1419"/>
      <c r="F50" s="1419"/>
      <c r="G50" s="1419"/>
      <c r="H50" s="1419"/>
      <c r="I50" s="1419"/>
      <c r="J50" s="494"/>
      <c r="K50" s="785"/>
      <c r="L50" s="1145"/>
      <c r="M50" s="1133"/>
      <c r="N50" s="1133"/>
      <c r="O50" s="1133"/>
      <c r="P50" s="3301" t="str">
        <f>A50</f>
        <v>估价对象XX用房的比较价值（楼面单价，元/平方米）</v>
      </c>
      <c r="Q50" s="3302"/>
      <c r="R50" s="3303" t="e">
        <f>IF(F1="售价",ROUND(AVERAGE(R49:V49),0),ROUND(AVERAGE(R49:V49),1))</f>
        <v>#DIV/0!</v>
      </c>
      <c r="S50" s="3303"/>
      <c r="T50" s="3303"/>
      <c r="U50" s="3303"/>
      <c r="V50" s="3303"/>
      <c r="W50" s="3303"/>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2664</v>
      </c>
      <c r="B58" s="759"/>
      <c r="C58" s="764"/>
      <c r="D58" s="764"/>
      <c r="E58" s="764"/>
      <c r="F58" s="765"/>
      <c r="G58" s="765"/>
      <c r="H58" s="764"/>
      <c r="I58" s="764"/>
      <c r="J58" s="764"/>
      <c r="K58" s="766"/>
      <c r="L58" s="1163"/>
      <c r="M58" s="1161"/>
      <c r="N58" s="1161"/>
      <c r="O58" s="1161"/>
      <c r="P58" s="2684"/>
      <c r="Q58" s="504"/>
    </row>
    <row r="59" spans="1:29" s="508" customFormat="1" ht="15">
      <c r="A59" s="505" t="s">
        <v>2538</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2575</v>
      </c>
      <c r="B61" s="516"/>
      <c r="C61" s="517"/>
      <c r="D61" s="518"/>
      <c r="E61" s="518"/>
      <c r="F61" s="518"/>
      <c r="G61" s="518"/>
      <c r="H61" s="518"/>
      <c r="I61" s="518"/>
      <c r="J61" s="518"/>
      <c r="K61" s="518"/>
      <c r="L61" s="518"/>
      <c r="M61" s="519"/>
      <c r="N61" s="518"/>
      <c r="O61" s="519"/>
      <c r="P61" s="2685"/>
      <c r="Q61" s="504"/>
    </row>
    <row r="62" spans="1:29" s="117" customFormat="1" ht="15">
      <c r="A62" s="521" t="s">
        <v>2540</v>
      </c>
      <c r="B62" s="510"/>
      <c r="C62" s="522" t="s">
        <v>2642</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2578</v>
      </c>
      <c r="B64" s="528" t="s">
        <v>2544</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2679</v>
      </c>
      <c r="C83" s="660" t="s">
        <v>2665</v>
      </c>
      <c r="D83" s="660" t="s">
        <v>2666</v>
      </c>
      <c r="E83" s="660" t="s">
        <v>2667</v>
      </c>
      <c r="F83" s="660" t="s">
        <v>2668</v>
      </c>
      <c r="G83" s="660" t="s">
        <v>2669</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2689</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2553</v>
      </c>
      <c r="B101" s="528" t="s">
        <v>2602</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2604</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2606</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2690</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2607</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2608</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2691</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2674</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2610</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2518</v>
      </c>
      <c r="B1" s="2672" t="s">
        <v>2692</v>
      </c>
      <c r="C1" s="1622" t="s">
        <v>2520</v>
      </c>
      <c r="D1" s="1623"/>
      <c r="E1" s="1632"/>
      <c r="F1" s="2587"/>
      <c r="G1" s="1633" t="s">
        <v>2633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2317</v>
      </c>
      <c r="B2" s="1420" t="e">
        <f ca="1">IF(C2="——",ROUND(C43*D3/10000,0),ROUND(C43*D3/10000,0)-D2)</f>
        <v>#DIV/0!</v>
      </c>
      <c r="C2" s="2589"/>
      <c r="D2" s="1126" t="e">
        <f ca="1">SUMIF(INDIRECT("'"&amp;F2&amp;"'"&amp;"!A:A"),"承租人权益价值",INDIRECT("'"&amp;F2&amp;"'"&amp;"!c:c"))</f>
        <v>#REF!</v>
      </c>
      <c r="E2" s="2590" t="s">
        <v>2318</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8622.76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89" t="s">
        <v>2638</v>
      </c>
      <c r="AC4" s="3188" t="s">
        <v>2639</v>
      </c>
    </row>
    <row r="5" spans="1:29"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89"/>
      <c r="AC5" s="3189"/>
    </row>
    <row r="6" spans="1:29" ht="15.75" thickBot="1">
      <c r="A6" s="406"/>
      <c r="B6" s="407"/>
      <c r="C6" s="3202" t="s">
        <v>2536</v>
      </c>
      <c r="D6" s="3203"/>
      <c r="E6" s="3204" t="s">
        <v>2536</v>
      </c>
      <c r="F6" s="3205"/>
      <c r="G6" s="3202" t="s">
        <v>2536</v>
      </c>
      <c r="H6" s="3203"/>
      <c r="I6" s="3202" t="s">
        <v>2536</v>
      </c>
      <c r="J6" s="3203"/>
      <c r="K6" s="610" t="s">
        <v>2537</v>
      </c>
      <c r="L6" s="1132"/>
      <c r="M6" s="1133"/>
      <c r="N6" s="1133"/>
      <c r="O6" s="1133"/>
      <c r="P6" s="3215"/>
      <c r="Q6" s="3216"/>
      <c r="R6" s="3196"/>
      <c r="S6" s="3197"/>
      <c r="T6" s="3217"/>
      <c r="U6" s="3218"/>
      <c r="V6" s="3191"/>
      <c r="W6" s="3191"/>
      <c r="X6" s="1815"/>
      <c r="Y6" s="3217"/>
      <c r="Z6" s="3218"/>
      <c r="AA6" s="3190"/>
      <c r="AB6" s="3190"/>
      <c r="AC6" s="3190"/>
    </row>
    <row r="7" spans="1:29" s="117" customFormat="1" ht="15.75" thickBot="1">
      <c r="A7" s="408" t="s">
        <v>2538</v>
      </c>
      <c r="B7" s="409"/>
      <c r="C7" s="410">
        <f>'数据-取费表'!B2</f>
        <v>43437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2" t="s">
        <v>2539</v>
      </c>
      <c r="Q7" s="3219"/>
      <c r="R7" s="770" t="s">
        <v>17</v>
      </c>
      <c r="S7" s="771">
        <f t="shared" ref="S7:S15" si="0">F7</f>
        <v>0</v>
      </c>
      <c r="T7" s="770" t="s">
        <v>17</v>
      </c>
      <c r="U7" s="771">
        <f t="shared" ref="U7:U15" si="1">H7</f>
        <v>0</v>
      </c>
      <c r="V7" s="770" t="s">
        <v>17</v>
      </c>
      <c r="W7" s="771">
        <f t="shared" ref="W7:W15" si="2">J7</f>
        <v>0</v>
      </c>
      <c r="X7" s="772"/>
      <c r="Y7" s="3192" t="s">
        <v>2539</v>
      </c>
      <c r="Z7" s="3193"/>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9"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9"/>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9"/>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229"/>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229"/>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229"/>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2549</v>
      </c>
      <c r="B15" s="69" t="s">
        <v>2693</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2" t="s">
        <v>2550</v>
      </c>
      <c r="Q15" s="1812" t="str">
        <f t="shared" si="6"/>
        <v>产业集聚程度</v>
      </c>
      <c r="R15" s="774" t="s">
        <v>17</v>
      </c>
      <c r="S15" s="775">
        <f t="shared" si="0"/>
        <v>100</v>
      </c>
      <c r="T15" s="774" t="s">
        <v>17</v>
      </c>
      <c r="U15" s="775">
        <f t="shared" si="1"/>
        <v>100</v>
      </c>
      <c r="V15" s="774" t="s">
        <v>17</v>
      </c>
      <c r="W15" s="775">
        <f t="shared" si="2"/>
        <v>100</v>
      </c>
      <c r="X15" s="1815"/>
      <c r="Y15" s="3222" t="s">
        <v>2550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23"/>
      <c r="Q16" s="1812"/>
      <c r="R16" s="774"/>
      <c r="S16" s="775"/>
      <c r="T16" s="774"/>
      <c r="U16" s="775"/>
      <c r="V16" s="774"/>
      <c r="W16" s="775"/>
      <c r="X16" s="1815"/>
      <c r="Y16" s="3223"/>
      <c r="Z16" s="1816"/>
      <c r="AA16" s="1813">
        <v>1</v>
      </c>
      <c r="AB16" s="1813">
        <v>1</v>
      </c>
      <c r="AC16" s="1813">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2"/>
      <c r="M18" s="1133"/>
      <c r="N18" s="1133"/>
      <c r="O18" s="1141"/>
      <c r="P18" s="3223"/>
      <c r="Q18" s="1812"/>
      <c r="R18" s="774"/>
      <c r="S18" s="775"/>
      <c r="T18" s="774"/>
      <c r="U18" s="775"/>
      <c r="V18" s="774"/>
      <c r="W18" s="775"/>
      <c r="X18" s="1815"/>
      <c r="Y18" s="3223"/>
      <c r="Z18" s="1816"/>
      <c r="AA18" s="1813">
        <v>1</v>
      </c>
      <c r="AB18" s="1813">
        <v>1</v>
      </c>
      <c r="AC18" s="1813">
        <v>1</v>
      </c>
    </row>
    <row r="19" spans="1:29" ht="15">
      <c r="A19" s="428"/>
      <c r="B19" s="451" t="s">
        <v>2678</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3"/>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2"/>
      <c r="M20" s="1133"/>
      <c r="N20" s="1133"/>
      <c r="O20" s="1141"/>
      <c r="P20" s="3223"/>
      <c r="Q20" s="1812"/>
      <c r="R20" s="774"/>
      <c r="S20" s="775"/>
      <c r="T20" s="774"/>
      <c r="U20" s="775"/>
      <c r="V20" s="774"/>
      <c r="W20" s="775"/>
      <c r="X20" s="1815"/>
      <c r="Y20" s="3223"/>
      <c r="Z20" s="1816"/>
      <c r="AA20" s="1813">
        <v>1</v>
      </c>
      <c r="AB20" s="1813">
        <v>1</v>
      </c>
      <c r="AC20" s="1813">
        <v>1</v>
      </c>
    </row>
    <row r="21" spans="1:29" ht="15">
      <c r="A21" s="428"/>
      <c r="B21" s="1386" t="s">
        <v>2679</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3"/>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9"/>
      <c r="G22" s="447"/>
      <c r="H22" s="448"/>
      <c r="I22" s="447"/>
      <c r="J22" s="448"/>
      <c r="K22" s="1385"/>
      <c r="L22" s="1142"/>
      <c r="M22" s="1133"/>
      <c r="N22" s="1133"/>
      <c r="O22" s="1141"/>
      <c r="P22" s="3223"/>
      <c r="Q22" s="1812"/>
      <c r="R22" s="774"/>
      <c r="S22" s="775"/>
      <c r="T22" s="774"/>
      <c r="U22" s="775"/>
      <c r="V22" s="774"/>
      <c r="W22" s="775"/>
      <c r="X22" s="1815"/>
      <c r="Y22" s="3223"/>
      <c r="Z22" s="1816"/>
      <c r="AA22" s="1813">
        <v>1</v>
      </c>
      <c r="AB22" s="1813">
        <v>1</v>
      </c>
      <c r="AC22" s="1813">
        <v>1</v>
      </c>
    </row>
    <row r="23" spans="1:29" ht="15">
      <c r="A23" s="428"/>
      <c r="B23" s="451" t="s">
        <v>2680</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3"/>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1813">
        <f t="shared" si="5"/>
        <v>1</v>
      </c>
    </row>
    <row r="24" spans="1:29" ht="15">
      <c r="A24" s="428"/>
      <c r="B24" s="1386"/>
      <c r="C24" s="447"/>
      <c r="D24" s="448"/>
      <c r="E24" s="2608"/>
      <c r="F24" s="449"/>
      <c r="G24" s="2607"/>
      <c r="H24" s="448"/>
      <c r="I24" s="2608"/>
      <c r="J24" s="448"/>
      <c r="K24" s="615"/>
      <c r="L24" s="1142"/>
      <c r="M24" s="1133"/>
      <c r="N24" s="1133"/>
      <c r="O24" s="1141"/>
      <c r="P24" s="3223"/>
      <c r="Q24" s="1812"/>
      <c r="R24" s="774"/>
      <c r="S24" s="775"/>
      <c r="T24" s="774"/>
      <c r="U24" s="775"/>
      <c r="V24" s="774"/>
      <c r="W24" s="775"/>
      <c r="X24" s="1815"/>
      <c r="Y24" s="322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3"/>
      <c r="Q25" s="1812">
        <f>B25</f>
        <v>111</v>
      </c>
      <c r="R25" s="774" t="s">
        <v>17</v>
      </c>
      <c r="S25" s="775">
        <f>F25</f>
        <v>100</v>
      </c>
      <c r="T25" s="774" t="s">
        <v>17</v>
      </c>
      <c r="U25" s="775">
        <f>H25</f>
        <v>100</v>
      </c>
      <c r="V25" s="774" t="s">
        <v>17</v>
      </c>
      <c r="W25" s="775">
        <f>J25</f>
        <v>100</v>
      </c>
      <c r="X25" s="1815"/>
      <c r="Y25" s="322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3"/>
      <c r="Q26" s="1812">
        <f t="shared" ref="Q26:Q40" si="11">B26</f>
        <v>111</v>
      </c>
      <c r="R26" s="774" t="s">
        <v>17</v>
      </c>
      <c r="S26" s="775">
        <f>F26</f>
        <v>100</v>
      </c>
      <c r="T26" s="774" t="s">
        <v>17</v>
      </c>
      <c r="U26" s="775">
        <f>H26</f>
        <v>100</v>
      </c>
      <c r="V26" s="774" t="s">
        <v>17</v>
      </c>
      <c r="W26" s="775">
        <f>J26</f>
        <v>100</v>
      </c>
      <c r="X26" s="1815"/>
      <c r="Y26" s="322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3"/>
      <c r="Q27" s="1797">
        <f t="shared" si="11"/>
        <v>111</v>
      </c>
      <c r="R27" s="770" t="s">
        <v>17</v>
      </c>
      <c r="S27" s="771">
        <f>F27</f>
        <v>100</v>
      </c>
      <c r="T27" s="770" t="s">
        <v>17</v>
      </c>
      <c r="U27" s="771">
        <f>H27</f>
        <v>100</v>
      </c>
      <c r="V27" s="770" t="s">
        <v>17</v>
      </c>
      <c r="W27" s="771">
        <f>J27</f>
        <v>100</v>
      </c>
      <c r="X27" s="772"/>
      <c r="Y27" s="322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3"/>
      <c r="Q28" s="1812">
        <f t="shared" si="11"/>
        <v>111</v>
      </c>
      <c r="R28" s="774" t="s">
        <v>17</v>
      </c>
      <c r="S28" s="775">
        <f t="shared" ref="S28:S40" si="12">F28</f>
        <v>100</v>
      </c>
      <c r="T28" s="774" t="s">
        <v>17</v>
      </c>
      <c r="U28" s="775">
        <f t="shared" ref="U28:U40" si="13">H28</f>
        <v>100</v>
      </c>
      <c r="V28" s="774" t="s">
        <v>17</v>
      </c>
      <c r="W28" s="775">
        <f t="shared" ref="W28:W40" si="14">J28</f>
        <v>100</v>
      </c>
      <c r="X28" s="1815"/>
      <c r="Y28" s="3223"/>
      <c r="Z28" s="1816">
        <f t="shared" ref="Z28:Z40" si="15">Q28</f>
        <v>111</v>
      </c>
      <c r="AA28" s="1813">
        <f t="shared" si="3"/>
        <v>1</v>
      </c>
      <c r="AB28" s="1813">
        <f t="shared" si="4"/>
        <v>1</v>
      </c>
      <c r="AC28" s="1813">
        <f t="shared" si="5"/>
        <v>1</v>
      </c>
    </row>
    <row r="29" spans="1:29" ht="15">
      <c r="A29" s="466" t="s">
        <v>2553</v>
      </c>
      <c r="B29" s="71" t="s">
        <v>2683</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304" t="s">
        <v>2555</v>
      </c>
      <c r="Q29" s="1812" t="str">
        <f t="shared" si="11"/>
        <v>建筑类型</v>
      </c>
      <c r="R29" s="774" t="s">
        <v>17</v>
      </c>
      <c r="S29" s="775">
        <f t="shared" si="12"/>
        <v>100</v>
      </c>
      <c r="T29" s="774" t="s">
        <v>17</v>
      </c>
      <c r="U29" s="775">
        <f t="shared" si="13"/>
        <v>100</v>
      </c>
      <c r="V29" s="774" t="s">
        <v>17</v>
      </c>
      <c r="W29" s="775">
        <f t="shared" si="14"/>
        <v>100</v>
      </c>
      <c r="X29" s="1815"/>
      <c r="Y29" s="3227" t="s">
        <v>2555</v>
      </c>
      <c r="Z29" s="1816" t="str">
        <f t="shared" si="15"/>
        <v>建筑类型</v>
      </c>
      <c r="AA29" s="1813">
        <f t="shared" si="3"/>
        <v>1</v>
      </c>
      <c r="AB29" s="1813">
        <f t="shared" si="4"/>
        <v>1</v>
      </c>
      <c r="AC29" s="1813">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3" t="e">
        <f t="shared" si="3"/>
        <v>#N/A</v>
      </c>
      <c r="AB30" s="1813" t="e">
        <f t="shared" si="4"/>
        <v>#N/A</v>
      </c>
      <c r="AC30" s="1813"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7"/>
      <c r="Q31" s="1812" t="str">
        <f t="shared" si="11"/>
        <v>建筑结构</v>
      </c>
      <c r="R31" s="774" t="s">
        <v>17</v>
      </c>
      <c r="S31" s="775">
        <f t="shared" si="12"/>
        <v>100</v>
      </c>
      <c r="T31" s="774" t="s">
        <v>17</v>
      </c>
      <c r="U31" s="775">
        <f t="shared" si="13"/>
        <v>100</v>
      </c>
      <c r="V31" s="774" t="s">
        <v>17</v>
      </c>
      <c r="W31" s="775">
        <f t="shared" si="14"/>
        <v>100</v>
      </c>
      <c r="X31" s="1815"/>
      <c r="Y31" s="3227"/>
      <c r="Z31" s="1816" t="str">
        <f t="shared" si="15"/>
        <v>建筑结构</v>
      </c>
      <c r="AA31" s="1813">
        <f t="shared" si="3"/>
        <v>1</v>
      </c>
      <c r="AB31" s="1813">
        <f t="shared" si="4"/>
        <v>1</v>
      </c>
      <c r="AC31" s="1813">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7"/>
      <c r="Q32" s="1812" t="str">
        <f t="shared" si="11"/>
        <v>公共部分装修</v>
      </c>
      <c r="R32" s="774" t="s">
        <v>17</v>
      </c>
      <c r="S32" s="775">
        <f t="shared" si="12"/>
        <v>100</v>
      </c>
      <c r="T32" s="774" t="s">
        <v>17</v>
      </c>
      <c r="U32" s="775">
        <f t="shared" si="13"/>
        <v>100</v>
      </c>
      <c r="V32" s="774" t="s">
        <v>17</v>
      </c>
      <c r="W32" s="775">
        <f t="shared" si="14"/>
        <v>100</v>
      </c>
      <c r="X32" s="1815"/>
      <c r="Y32" s="3227"/>
      <c r="Z32" s="1816" t="str">
        <f t="shared" si="15"/>
        <v>公共部分装修</v>
      </c>
      <c r="AA32" s="1813">
        <f t="shared" si="3"/>
        <v>1</v>
      </c>
      <c r="AB32" s="1813">
        <f t="shared" si="4"/>
        <v>1</v>
      </c>
      <c r="AC32" s="1813">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7"/>
      <c r="Q33" s="1812" t="str">
        <f t="shared" si="11"/>
        <v>成新度</v>
      </c>
      <c r="R33" s="774" t="s">
        <v>17</v>
      </c>
      <c r="S33" s="775" t="e">
        <f t="shared" si="12"/>
        <v>#N/A</v>
      </c>
      <c r="T33" s="774" t="s">
        <v>17</v>
      </c>
      <c r="U33" s="775" t="e">
        <f t="shared" si="13"/>
        <v>#N/A</v>
      </c>
      <c r="V33" s="774" t="s">
        <v>17</v>
      </c>
      <c r="W33" s="775" t="e">
        <f t="shared" si="14"/>
        <v>#N/A</v>
      </c>
      <c r="X33" s="1815"/>
      <c r="Y33" s="3227"/>
      <c r="Z33" s="1816" t="str">
        <f t="shared" si="15"/>
        <v>成新度</v>
      </c>
      <c r="AA33" s="1813" t="e">
        <f t="shared" si="3"/>
        <v>#N/A</v>
      </c>
      <c r="AB33" s="1813" t="e">
        <f t="shared" si="4"/>
        <v>#N/A</v>
      </c>
      <c r="AC33" s="1813"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7"/>
      <c r="Q34" s="1797"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7" t="s">
        <v>2555</v>
      </c>
      <c r="Q35" s="1812" t="str">
        <f t="shared" si="11"/>
        <v>市政基础设施</v>
      </c>
      <c r="R35" s="774" t="s">
        <v>17</v>
      </c>
      <c r="S35" s="775">
        <f t="shared" si="12"/>
        <v>100</v>
      </c>
      <c r="T35" s="774" t="s">
        <v>17</v>
      </c>
      <c r="U35" s="775">
        <f t="shared" si="13"/>
        <v>100</v>
      </c>
      <c r="V35" s="774" t="s">
        <v>17</v>
      </c>
      <c r="W35" s="775">
        <f t="shared" si="14"/>
        <v>100</v>
      </c>
      <c r="X35" s="1815"/>
      <c r="Y35" s="3227" t="s">
        <v>2555</v>
      </c>
      <c r="Z35" s="1816" t="str">
        <f t="shared" si="15"/>
        <v>市政基础设施</v>
      </c>
      <c r="AA35" s="1813">
        <f t="shared" si="3"/>
        <v>1</v>
      </c>
      <c r="AB35" s="1813">
        <f t="shared" si="4"/>
        <v>1</v>
      </c>
      <c r="AC35" s="1813">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7"/>
      <c r="Q36" s="1812" t="str">
        <f t="shared" si="11"/>
        <v>内部装修</v>
      </c>
      <c r="R36" s="774" t="s">
        <v>17</v>
      </c>
      <c r="S36" s="775">
        <f t="shared" si="12"/>
        <v>100</v>
      </c>
      <c r="T36" s="774" t="s">
        <v>17</v>
      </c>
      <c r="U36" s="775">
        <f t="shared" si="13"/>
        <v>100</v>
      </c>
      <c r="V36" s="774" t="s">
        <v>17</v>
      </c>
      <c r="W36" s="775">
        <f t="shared" si="14"/>
        <v>100</v>
      </c>
      <c r="X36" s="1815"/>
      <c r="Y36" s="3227"/>
      <c r="Z36" s="1816" t="str">
        <f t="shared" si="15"/>
        <v>内部装修</v>
      </c>
      <c r="AA36" s="1813">
        <f t="shared" si="3"/>
        <v>1</v>
      </c>
      <c r="AB36" s="1813">
        <f t="shared" si="4"/>
        <v>1</v>
      </c>
      <c r="AC36" s="1813">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7"/>
      <c r="Q37" s="1812" t="str">
        <f t="shared" si="11"/>
        <v>内部装修状况</v>
      </c>
      <c r="R37" s="774" t="s">
        <v>17</v>
      </c>
      <c r="S37" s="775">
        <f t="shared" si="12"/>
        <v>100</v>
      </c>
      <c r="T37" s="774" t="s">
        <v>17</v>
      </c>
      <c r="U37" s="775">
        <f t="shared" si="13"/>
        <v>100</v>
      </c>
      <c r="V37" s="774" t="s">
        <v>17</v>
      </c>
      <c r="W37" s="775">
        <f t="shared" si="14"/>
        <v>100</v>
      </c>
      <c r="X37" s="1815"/>
      <c r="Y37" s="322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7"/>
      <c r="Q39" s="1812">
        <f t="shared" si="11"/>
        <v>111</v>
      </c>
      <c r="R39" s="774" t="s">
        <v>17</v>
      </c>
      <c r="S39" s="775">
        <f t="shared" si="12"/>
        <v>100</v>
      </c>
      <c r="T39" s="774" t="s">
        <v>17</v>
      </c>
      <c r="U39" s="775">
        <f t="shared" si="13"/>
        <v>100</v>
      </c>
      <c r="V39" s="774" t="s">
        <v>17</v>
      </c>
      <c r="W39" s="775">
        <f t="shared" si="14"/>
        <v>100</v>
      </c>
      <c r="X39" s="1815"/>
      <c r="Y39" s="3227"/>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2567</v>
      </c>
      <c r="B41" s="480"/>
      <c r="C41" s="1409" t="s">
        <v>1</v>
      </c>
      <c r="D41" s="1410"/>
      <c r="E41" s="1411"/>
      <c r="F41" s="1412"/>
      <c r="G41" s="1413"/>
      <c r="H41" s="1414"/>
      <c r="I41" s="1411"/>
      <c r="J41" s="1414"/>
      <c r="K41" s="783"/>
      <c r="L41" s="1145"/>
      <c r="M41" s="1146"/>
      <c r="N41" s="1133"/>
      <c r="O41" s="1146"/>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2659</v>
      </c>
      <c r="B42" s="487"/>
      <c r="C42" s="1415" t="e">
        <f>R43</f>
        <v>#DIV/0!</v>
      </c>
      <c r="D42" s="1416"/>
      <c r="E42" s="1417" t="e">
        <f>R42</f>
        <v>#DIV/0!</v>
      </c>
      <c r="F42" s="1417"/>
      <c r="G42" s="1415" t="e">
        <f>T42</f>
        <v>#DIV/0!</v>
      </c>
      <c r="H42" s="1416"/>
      <c r="I42" s="1417" t="e">
        <f>V42</f>
        <v>#DIV/0!</v>
      </c>
      <c r="J42" s="1416"/>
      <c r="K42" s="784"/>
      <c r="L42" s="1145"/>
      <c r="M42" s="1146"/>
      <c r="N42" s="1133"/>
      <c r="O42" s="1146"/>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2660</v>
      </c>
      <c r="B43" s="493"/>
      <c r="C43" s="1419" t="e">
        <f>R43</f>
        <v>#DIV/0!</v>
      </c>
      <c r="D43" s="1419"/>
      <c r="E43" s="1419"/>
      <c r="F43" s="1419"/>
      <c r="G43" s="1419"/>
      <c r="H43" s="1419"/>
      <c r="I43" s="1419"/>
      <c r="J43" s="1419"/>
      <c r="K43" s="785"/>
      <c r="L43" s="1145"/>
      <c r="M43" s="1146"/>
      <c r="N43" s="1146"/>
      <c r="O43" s="1146"/>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2664</v>
      </c>
      <c r="B51" s="759"/>
      <c r="C51" s="764"/>
      <c r="D51" s="764"/>
      <c r="E51" s="764"/>
      <c r="F51" s="765"/>
      <c r="G51" s="765"/>
      <c r="H51" s="764"/>
      <c r="I51" s="764"/>
      <c r="J51" s="764"/>
      <c r="K51" s="1162"/>
      <c r="L51" s="1163"/>
      <c r="M51" s="1161"/>
      <c r="N51" s="1161"/>
      <c r="O51" s="1161"/>
      <c r="P51" s="503"/>
      <c r="Q51" s="504"/>
    </row>
    <row r="52" spans="1:17" s="508" customFormat="1" ht="15">
      <c r="A52" s="505" t="s">
        <v>2538</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2578</v>
      </c>
      <c r="B57" s="528" t="s">
        <v>2544</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2553</v>
      </c>
      <c r="B88" s="528" t="s">
        <v>2602</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2604</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2606</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2607</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2608</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2610</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2697</v>
      </c>
      <c r="B1" s="1621"/>
      <c r="C1" s="1622" t="s">
        <v>2520</v>
      </c>
      <c r="D1" s="1623"/>
      <c r="E1" s="1624"/>
      <c r="F1" s="2587"/>
      <c r="G1" s="1625" t="s">
        <v>2633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2317</v>
      </c>
      <c r="B2" s="1420" t="e">
        <f ca="1">IF(C2="——",IF(B37="元/平方米",ROUND(C39*D3/10000,0),ROUND(F3*C39/10000,0)),IF(B37="元/平方米",ROUND(C39*D3/10000,0),ROUND(F3*C39/10000,0))-D2)</f>
        <v>#DIV/0!</v>
      </c>
      <c r="C2" s="2589"/>
      <c r="D2" s="1126" t="e">
        <f ca="1">SUMIF(INDIRECT("'"&amp;F2&amp;"'"&amp;"!A:A"),"承租人权益价值",INDIRECT("'"&amp;F2&amp;"'"&amp;"!c:c"))</f>
        <v>#REF!</v>
      </c>
      <c r="E2" s="2590" t="s">
        <v>2318</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89" t="s">
        <v>2638</v>
      </c>
      <c r="AC4" s="3188" t="s">
        <v>2639</v>
      </c>
    </row>
    <row r="5" spans="1:29"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89"/>
      <c r="AC5" s="3189"/>
    </row>
    <row r="6" spans="1:29" ht="15.75" thickBot="1">
      <c r="A6" s="406"/>
      <c r="B6" s="407"/>
      <c r="C6" s="3202" t="s">
        <v>2536</v>
      </c>
      <c r="D6" s="3203"/>
      <c r="E6" s="3204" t="s">
        <v>2536</v>
      </c>
      <c r="F6" s="3205"/>
      <c r="G6" s="3202" t="s">
        <v>2536</v>
      </c>
      <c r="H6" s="3203"/>
      <c r="I6" s="3202" t="s">
        <v>2536</v>
      </c>
      <c r="J6" s="3203"/>
      <c r="K6" s="610" t="s">
        <v>2537</v>
      </c>
      <c r="L6" s="1132"/>
      <c r="M6" s="1133"/>
      <c r="N6" s="1133"/>
      <c r="O6" s="1133"/>
      <c r="P6" s="3215"/>
      <c r="Q6" s="3216"/>
      <c r="R6" s="3196"/>
      <c r="S6" s="3197"/>
      <c r="T6" s="3217"/>
      <c r="U6" s="3218"/>
      <c r="V6" s="3191"/>
      <c r="W6" s="3191"/>
      <c r="X6" s="1815"/>
      <c r="Y6" s="3217"/>
      <c r="Z6" s="3218"/>
      <c r="AA6" s="3190"/>
      <c r="AB6" s="3190"/>
      <c r="AC6" s="3190"/>
    </row>
    <row r="7" spans="1:29" s="117" customFormat="1" ht="15.75" thickBot="1">
      <c r="A7" s="408" t="s">
        <v>2538</v>
      </c>
      <c r="B7" s="409"/>
      <c r="C7" s="410">
        <f>'数据-取费表'!B2</f>
        <v>43437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2" t="s">
        <v>2539</v>
      </c>
      <c r="Q7" s="3219"/>
      <c r="R7" s="770" t="s">
        <v>17</v>
      </c>
      <c r="S7" s="771">
        <f t="shared" ref="S7:S14" si="0">F7</f>
        <v>0</v>
      </c>
      <c r="T7" s="770" t="s">
        <v>17</v>
      </c>
      <c r="U7" s="771">
        <f t="shared" ref="U7:U14" si="1">H7</f>
        <v>0</v>
      </c>
      <c r="V7" s="770" t="s">
        <v>17</v>
      </c>
      <c r="W7" s="771">
        <f t="shared" ref="W7:W14" si="2">J7</f>
        <v>0</v>
      </c>
      <c r="X7" s="772"/>
      <c r="Y7" s="3192" t="s">
        <v>2539</v>
      </c>
      <c r="Z7" s="3193"/>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9" t="s">
        <v>2545</v>
      </c>
      <c r="Q9" s="1797" t="str">
        <f t="shared" ref="Q9:Q14" si="6">B9</f>
        <v>用途</v>
      </c>
      <c r="R9" s="770" t="s">
        <v>17</v>
      </c>
      <c r="S9" s="771">
        <f t="shared" si="0"/>
        <v>100</v>
      </c>
      <c r="T9" s="770" t="s">
        <v>17</v>
      </c>
      <c r="U9" s="771">
        <f t="shared" si="1"/>
        <v>100</v>
      </c>
      <c r="V9" s="770" t="s">
        <v>17</v>
      </c>
      <c r="W9" s="771">
        <f t="shared" si="2"/>
        <v>100</v>
      </c>
      <c r="X9" s="772"/>
      <c r="Y9" s="306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9"/>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9"/>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9"/>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9"/>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
      <c r="A14" s="401" t="s">
        <v>2549</v>
      </c>
      <c r="B14" s="629" t="s">
        <v>2699</v>
      </c>
      <c r="C14" s="269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2" t="s">
        <v>2550</v>
      </c>
      <c r="Q14" s="1812" t="str">
        <f t="shared" si="6"/>
        <v>交通便捷度</v>
      </c>
      <c r="R14" s="774" t="s">
        <v>17</v>
      </c>
      <c r="S14" s="775">
        <f t="shared" si="0"/>
        <v>100</v>
      </c>
      <c r="T14" s="774" t="s">
        <v>17</v>
      </c>
      <c r="U14" s="775">
        <f t="shared" si="1"/>
        <v>100</v>
      </c>
      <c r="V14" s="774" t="s">
        <v>17</v>
      </c>
      <c r="W14" s="775">
        <f t="shared" si="2"/>
        <v>100</v>
      </c>
      <c r="X14" s="1815"/>
      <c r="Y14" s="3222" t="s">
        <v>2550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23"/>
      <c r="Q15" s="1812"/>
      <c r="R15" s="774"/>
      <c r="S15" s="775"/>
      <c r="T15" s="774"/>
      <c r="U15" s="775"/>
      <c r="V15" s="774"/>
      <c r="W15" s="775"/>
      <c r="X15" s="1815"/>
      <c r="Y15" s="3223"/>
      <c r="Z15" s="1816"/>
      <c r="AA15" s="1813">
        <v>1</v>
      </c>
      <c r="AB15" s="1813">
        <v>1</v>
      </c>
      <c r="AC15" s="1813">
        <v>1</v>
      </c>
    </row>
    <row r="16" spans="1:29" ht="15">
      <c r="A16" s="404"/>
      <c r="B16" s="631" t="s">
        <v>2678</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2"/>
      <c r="M17" s="1133"/>
      <c r="N17" s="1133"/>
      <c r="O17" s="1133"/>
      <c r="P17" s="3223"/>
      <c r="Q17" s="1812"/>
      <c r="R17" s="774"/>
      <c r="S17" s="775"/>
      <c r="T17" s="774"/>
      <c r="U17" s="775"/>
      <c r="V17" s="774"/>
      <c r="W17" s="775"/>
      <c r="X17" s="1815"/>
      <c r="Y17" s="3223"/>
      <c r="Z17" s="1816"/>
      <c r="AA17" s="1813">
        <v>1</v>
      </c>
      <c r="AB17" s="1813">
        <v>1</v>
      </c>
      <c r="AC17" s="1813">
        <v>1</v>
      </c>
    </row>
    <row r="18" spans="1:29" ht="15">
      <c r="A18" s="404"/>
      <c r="B18" s="633" t="s">
        <v>2679</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5"/>
      <c r="L19" s="1142"/>
      <c r="M19" s="1133"/>
      <c r="N19" s="1133"/>
      <c r="O19" s="1133"/>
      <c r="P19" s="3223"/>
      <c r="Q19" s="1812"/>
      <c r="R19" s="774"/>
      <c r="S19" s="775"/>
      <c r="T19" s="774"/>
      <c r="U19" s="775"/>
      <c r="V19" s="774"/>
      <c r="W19" s="775"/>
      <c r="X19" s="1815"/>
      <c r="Y19" s="3223"/>
      <c r="Z19" s="1816"/>
      <c r="AA19" s="1813">
        <v>1</v>
      </c>
      <c r="AB19" s="1813">
        <v>1</v>
      </c>
      <c r="AC19" s="1813">
        <v>1</v>
      </c>
    </row>
    <row r="20" spans="1:29" ht="15">
      <c r="A20" s="404"/>
      <c r="B20" s="631" t="s">
        <v>2700</v>
      </c>
      <c r="C20" s="2610"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23"/>
      <c r="Q21" s="1812"/>
      <c r="R21" s="774"/>
      <c r="S21" s="775"/>
      <c r="T21" s="774"/>
      <c r="U21" s="775"/>
      <c r="V21" s="774"/>
      <c r="W21" s="775"/>
      <c r="X21" s="1815"/>
      <c r="Y21" s="3223"/>
      <c r="Z21" s="1816"/>
      <c r="AA21" s="1813">
        <v>1</v>
      </c>
      <c r="AB21" s="1813">
        <v>1</v>
      </c>
      <c r="AC21" s="1813">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3"/>
      <c r="Q24" s="1812">
        <f t="shared" ref="Q24:Q36"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15">
      <c r="A26" s="652" t="s">
        <v>2553</v>
      </c>
      <c r="B26" s="70" t="s">
        <v>2702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04" t="s">
        <v>2555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7" t="s">
        <v>2555</v>
      </c>
      <c r="Z26" s="1816" t="str">
        <f t="shared" ref="Z26:Z36" si="15">Q26</f>
        <v>配套类型</v>
      </c>
      <c r="AA26" s="1813">
        <f t="shared" si="3"/>
        <v>1</v>
      </c>
      <c r="AB26" s="1813">
        <f t="shared" si="4"/>
        <v>1</v>
      </c>
      <c r="AC26" s="1813">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3">
        <f t="shared" si="3"/>
        <v>1</v>
      </c>
      <c r="AB27" s="1813">
        <f t="shared" si="4"/>
        <v>1</v>
      </c>
      <c r="AC27" s="1813">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7"/>
      <c r="Q28" s="1812" t="str">
        <f t="shared" si="11"/>
        <v>公共部分装修</v>
      </c>
      <c r="R28" s="774" t="s">
        <v>17</v>
      </c>
      <c r="S28" s="775">
        <f t="shared" si="12"/>
        <v>100</v>
      </c>
      <c r="T28" s="774" t="s">
        <v>17</v>
      </c>
      <c r="U28" s="775">
        <f t="shared" si="13"/>
        <v>100</v>
      </c>
      <c r="V28" s="774" t="s">
        <v>17</v>
      </c>
      <c r="W28" s="775">
        <f t="shared" si="14"/>
        <v>100</v>
      </c>
      <c r="X28" s="1815"/>
      <c r="Y28" s="3227"/>
      <c r="Z28" s="1816" t="str">
        <f t="shared" si="15"/>
        <v>公共部分装修</v>
      </c>
      <c r="AA28" s="1813">
        <f t="shared" si="3"/>
        <v>1</v>
      </c>
      <c r="AB28" s="1813">
        <f t="shared" si="4"/>
        <v>1</v>
      </c>
      <c r="AC28" s="1813">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7"/>
      <c r="Q29" s="1812" t="str">
        <f t="shared" si="11"/>
        <v>成新率</v>
      </c>
      <c r="R29" s="774" t="s">
        <v>17</v>
      </c>
      <c r="S29" s="775" t="e">
        <f t="shared" si="12"/>
        <v>#N/A</v>
      </c>
      <c r="T29" s="774" t="s">
        <v>17</v>
      </c>
      <c r="U29" s="775" t="e">
        <f t="shared" si="13"/>
        <v>#N/A</v>
      </c>
      <c r="V29" s="774" t="s">
        <v>17</v>
      </c>
      <c r="W29" s="775" t="e">
        <f t="shared" si="14"/>
        <v>#N/A</v>
      </c>
      <c r="X29" s="1815"/>
      <c r="Y29" s="3227"/>
      <c r="Z29" s="1816" t="str">
        <f t="shared" si="15"/>
        <v>成新率</v>
      </c>
      <c r="AA29" s="1813" t="e">
        <f t="shared" si="3"/>
        <v>#N/A</v>
      </c>
      <c r="AB29" s="1813" t="e">
        <f t="shared" si="4"/>
        <v>#N/A</v>
      </c>
      <c r="AC29" s="1813"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7"/>
      <c r="Q30" s="1812" t="str">
        <f t="shared" si="11"/>
        <v>物业等级</v>
      </c>
      <c r="R30" s="774" t="s">
        <v>17</v>
      </c>
      <c r="S30" s="775">
        <f t="shared" si="12"/>
        <v>100</v>
      </c>
      <c r="T30" s="774" t="s">
        <v>17</v>
      </c>
      <c r="U30" s="775">
        <f t="shared" si="13"/>
        <v>100</v>
      </c>
      <c r="V30" s="774" t="s">
        <v>17</v>
      </c>
      <c r="W30" s="775">
        <f t="shared" si="14"/>
        <v>100</v>
      </c>
      <c r="X30" s="1815"/>
      <c r="Y30" s="3227"/>
      <c r="Z30" s="1816" t="str">
        <f t="shared" si="15"/>
        <v>物业等级</v>
      </c>
      <c r="AA30" s="1813">
        <f t="shared" si="3"/>
        <v>1</v>
      </c>
      <c r="AB30" s="1813">
        <f t="shared" si="4"/>
        <v>1</v>
      </c>
      <c r="AC30" s="1813">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7"/>
      <c r="Q31" s="1797"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7" t="s">
        <v>2555</v>
      </c>
      <c r="Q32" s="1812" t="str">
        <f t="shared" si="11"/>
        <v>车位类型</v>
      </c>
      <c r="R32" s="774" t="s">
        <v>17</v>
      </c>
      <c r="S32" s="775">
        <f t="shared" si="12"/>
        <v>100</v>
      </c>
      <c r="T32" s="774" t="s">
        <v>17</v>
      </c>
      <c r="U32" s="775">
        <f t="shared" si="13"/>
        <v>100</v>
      </c>
      <c r="V32" s="774" t="s">
        <v>17</v>
      </c>
      <c r="W32" s="775">
        <f t="shared" si="14"/>
        <v>100</v>
      </c>
      <c r="X32" s="1815"/>
      <c r="Y32" s="3227" t="s">
        <v>2555</v>
      </c>
      <c r="Z32" s="1816" t="str">
        <f t="shared" si="15"/>
        <v>车位类型</v>
      </c>
      <c r="AA32" s="1813">
        <f t="shared" si="3"/>
        <v>1</v>
      </c>
      <c r="AB32" s="1813">
        <f t="shared" si="4"/>
        <v>1</v>
      </c>
      <c r="AC32" s="1813">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7"/>
      <c r="Q33" s="1812" t="str">
        <f t="shared" si="11"/>
        <v>是否直接入户</v>
      </c>
      <c r="R33" s="774" t="s">
        <v>17</v>
      </c>
      <c r="S33" s="775">
        <f t="shared" si="12"/>
        <v>100</v>
      </c>
      <c r="T33" s="774" t="s">
        <v>17</v>
      </c>
      <c r="U33" s="775">
        <f t="shared" si="13"/>
        <v>100</v>
      </c>
      <c r="V33" s="774" t="s">
        <v>17</v>
      </c>
      <c r="W33" s="775">
        <f t="shared" si="14"/>
        <v>100</v>
      </c>
      <c r="X33" s="1815"/>
      <c r="Y33" s="322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7"/>
      <c r="Q36" s="1812">
        <f t="shared" si="11"/>
        <v>111</v>
      </c>
      <c r="R36" s="774" t="s">
        <v>17</v>
      </c>
      <c r="S36" s="775">
        <f t="shared" si="12"/>
        <v>100</v>
      </c>
      <c r="T36" s="774" t="s">
        <v>17</v>
      </c>
      <c r="U36" s="775">
        <f t="shared" si="13"/>
        <v>100</v>
      </c>
      <c r="V36" s="774" t="s">
        <v>17</v>
      </c>
      <c r="W36" s="775">
        <f t="shared" si="14"/>
        <v>100</v>
      </c>
      <c r="X36" s="1815"/>
      <c r="Y36" s="3227"/>
      <c r="Z36" s="1816">
        <f t="shared" si="15"/>
        <v>111</v>
      </c>
      <c r="AA36" s="1813">
        <f t="shared" si="3"/>
        <v>1</v>
      </c>
      <c r="AB36" s="1813">
        <f t="shared" si="4"/>
        <v>1</v>
      </c>
      <c r="AC36" s="1813">
        <f t="shared" si="5"/>
        <v>1</v>
      </c>
    </row>
    <row r="37" spans="1:29" ht="15">
      <c r="A37" s="479" t="s">
        <v>2710</v>
      </c>
      <c r="B37" s="2698" t="s">
        <v>2711</v>
      </c>
      <c r="C37" s="1409" t="s">
        <v>1</v>
      </c>
      <c r="D37" s="1410"/>
      <c r="E37" s="1411"/>
      <c r="F37" s="1412"/>
      <c r="G37" s="1413"/>
      <c r="H37" s="1414"/>
      <c r="I37" s="1411"/>
      <c r="J37" s="1414"/>
      <c r="K37" s="619"/>
      <c r="L37" s="1145"/>
      <c r="M37" s="1146"/>
      <c r="N37" s="1133"/>
      <c r="O37" s="1146"/>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2712</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2713</v>
      </c>
      <c r="B39" s="493"/>
      <c r="C39" s="1419" t="e">
        <f>R39</f>
        <v>#DIV/0!</v>
      </c>
      <c r="D39" s="1419"/>
      <c r="E39" s="1419"/>
      <c r="F39" s="1419"/>
      <c r="G39" s="1419"/>
      <c r="H39" s="1419"/>
      <c r="I39" s="1419"/>
      <c r="J39" s="1419"/>
      <c r="K39" s="621"/>
      <c r="L39" s="1145"/>
      <c r="M39" s="1146"/>
      <c r="N39" s="1146"/>
      <c r="O39" s="1146"/>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2718</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2540</v>
      </c>
      <c r="B51" s="510"/>
      <c r="C51" s="522" t="s">
        <v>2642</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2578</v>
      </c>
      <c r="B53" s="528" t="s">
        <v>2544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2593</v>
      </c>
      <c r="C65" s="578" t="s">
        <v>2587</v>
      </c>
      <c r="D65" s="578" t="s">
        <v>2588</v>
      </c>
      <c r="E65" s="578" t="s">
        <v>2589</v>
      </c>
      <c r="F65" s="578" t="s">
        <v>2590</v>
      </c>
      <c r="G65" s="578" t="s">
        <v>2591</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2679</v>
      </c>
      <c r="C67" s="660" t="s">
        <v>2665</v>
      </c>
      <c r="D67" s="660" t="s">
        <v>2666</v>
      </c>
      <c r="E67" s="660" t="s">
        <v>2667</v>
      </c>
      <c r="F67" s="660" t="s">
        <v>2668</v>
      </c>
      <c r="G67" s="660" t="s">
        <v>2669</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2599</v>
      </c>
      <c r="C69" s="578" t="s">
        <v>2587</v>
      </c>
      <c r="D69" s="578" t="s">
        <v>2588</v>
      </c>
      <c r="E69" s="578" t="s">
        <v>2589</v>
      </c>
      <c r="F69" s="578" t="s">
        <v>2590</v>
      </c>
      <c r="G69" s="578" t="s">
        <v>2591</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2719</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2553</v>
      </c>
      <c r="B79" s="528" t="s">
        <v>2720</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2721</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2606</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2723</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2725</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2726</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3"/>
      <c r="B4" s="3003" t="s">
        <v>1626</v>
      </c>
      <c r="C4" s="3003"/>
      <c r="D4" s="3003"/>
      <c r="E4" s="1963"/>
    </row>
    <row r="5" spans="1:5" ht="16.5" thickTop="1">
      <c r="A5" s="1961"/>
      <c r="B5" s="3001" t="s">
        <v>1618</v>
      </c>
      <c r="C5" s="1964" t="s">
        <v>1619</v>
      </c>
      <c r="D5" s="1042">
        <f ca="1">'结果表(商业)'!H101</f>
        <v>5039</v>
      </c>
      <c r="E5" s="1961"/>
    </row>
    <row r="6" spans="1:5" ht="15.75">
      <c r="A6" s="1961"/>
      <c r="B6" s="3001"/>
      <c r="C6" s="1964" t="s">
        <v>1620</v>
      </c>
      <c r="D6" s="1042" t="str">
        <f ca="1">NUMBERSTRING(INT(D5*10000),2)&amp;"元整"</f>
        <v>伍仟零叁拾玖万元整</v>
      </c>
      <c r="E6" s="1961"/>
    </row>
    <row r="7" spans="1:5" ht="15.75">
      <c r="A7" s="1961"/>
      <c r="B7" s="3006"/>
      <c r="C7" s="1965" t="s">
        <v>1621</v>
      </c>
      <c r="D7" s="1043">
        <f ca="1">'结果表(商业)'!H102</f>
        <v>10283</v>
      </c>
      <c r="E7" s="1961"/>
    </row>
    <row r="8" spans="1:5" ht="15.75">
      <c r="A8" s="1961"/>
      <c r="B8" s="3007" t="str">
        <f>'结果表(商业)'!E103</f>
        <v>2.估价师知悉的法定优先受偿款</v>
      </c>
      <c r="C8" s="1966" t="s">
        <v>1622</v>
      </c>
      <c r="D8" s="1043">
        <f>'结果表(商业)'!H103</f>
        <v>0</v>
      </c>
      <c r="E8" s="1961"/>
    </row>
    <row r="9" spans="1:5" ht="15.75">
      <c r="A9" s="1961"/>
      <c r="B9" s="3009"/>
      <c r="C9" s="1964" t="s">
        <v>1620</v>
      </c>
      <c r="D9" s="1042" t="str">
        <f>NUMBERSTRING(INT(D8*10000),2)&amp;"元整"</f>
        <v>零元整</v>
      </c>
      <c r="E9" s="1961"/>
    </row>
    <row r="10" spans="1:5" ht="15">
      <c r="A10" s="1961"/>
      <c r="B10" s="1967" t="s">
        <v>1625</v>
      </c>
      <c r="C10" s="1968" t="s">
        <v>1623</v>
      </c>
      <c r="D10" s="1044">
        <f>'结果表(商业)'!H104</f>
        <v>0</v>
      </c>
      <c r="E10" s="1961"/>
    </row>
    <row r="11" spans="1:5" ht="15">
      <c r="A11" s="1961"/>
      <c r="B11" s="1967" t="s">
        <v>1627</v>
      </c>
      <c r="C11" s="1968" t="s">
        <v>1628</v>
      </c>
      <c r="D11" s="1044">
        <f>'结果表(商业)'!H105</f>
        <v>0</v>
      </c>
      <c r="E11" s="1961"/>
    </row>
    <row r="12" spans="1:5" ht="15">
      <c r="A12" s="1961"/>
      <c r="B12" s="1967" t="s">
        <v>1629</v>
      </c>
      <c r="C12" s="1968" t="s">
        <v>1628</v>
      </c>
      <c r="D12" s="1044">
        <f>'结果表(商业)'!H106</f>
        <v>0</v>
      </c>
      <c r="E12" s="1961"/>
    </row>
    <row r="13" spans="1:5" ht="15.75">
      <c r="A13" s="1961"/>
      <c r="B13" s="3000" t="str">
        <f>'结果表(商业)'!E107</f>
        <v>3.房地产抵押价值</v>
      </c>
      <c r="C13" s="1969" t="s">
        <v>1619</v>
      </c>
      <c r="D13" s="1045">
        <f ca="1">'结果表(商业)'!H107</f>
        <v>5039</v>
      </c>
      <c r="E13" s="1961"/>
    </row>
    <row r="14" spans="1:5" ht="15.75">
      <c r="A14" s="1961"/>
      <c r="B14" s="3001"/>
      <c r="C14" s="1964" t="s">
        <v>1620</v>
      </c>
      <c r="D14" s="1042" t="str">
        <f ca="1">NUMBERSTRING(INT(D13*10000),2)&amp;"元整"</f>
        <v>伍仟零叁拾玖万元整</v>
      </c>
      <c r="E14" s="1961"/>
    </row>
    <row r="15" spans="1:5" ht="15">
      <c r="A15" s="1961"/>
      <c r="B15" s="3006"/>
      <c r="C15" s="1965" t="s">
        <v>1630</v>
      </c>
      <c r="D15" s="1054">
        <f ca="1">'结果表(商业)'!H108</f>
        <v>5844</v>
      </c>
      <c r="E15" s="1961"/>
    </row>
    <row r="16" spans="1:5" ht="15">
      <c r="A16" s="1961"/>
      <c r="B16" s="3007" t="str">
        <f>'结果表(商业)'!E109</f>
        <v>——</v>
      </c>
      <c r="C16" s="1969" t="s">
        <v>1631</v>
      </c>
      <c r="D16" s="1970" t="str">
        <f>'结果表(商业)'!H109</f>
        <v>——</v>
      </c>
      <c r="E16" s="1961"/>
    </row>
    <row r="17" spans="1:5" ht="15.75">
      <c r="A17" s="1961"/>
      <c r="B17" s="3008"/>
      <c r="C17" s="1964" t="s">
        <v>1632</v>
      </c>
      <c r="D17" s="1042" t="e">
        <f>NUMBERSTRING(INT(D16*10000),2)&amp;"元整"</f>
        <v>#VALUE!</v>
      </c>
      <c r="E17" s="1961"/>
    </row>
    <row r="18" spans="1:5" ht="15">
      <c r="A18" s="1961"/>
      <c r="B18" s="3009"/>
      <c r="C18" s="1965" t="s">
        <v>1621</v>
      </c>
      <c r="D18" s="1054" t="str">
        <f>'结果表(商业)'!H110</f>
        <v>——</v>
      </c>
      <c r="E18" s="1961"/>
    </row>
    <row r="19" spans="1:5" ht="15.75">
      <c r="A19" s="1961"/>
      <c r="B19" s="3000" t="str">
        <f>'结果表(商业)'!E111</f>
        <v>——</v>
      </c>
      <c r="C19" s="1969" t="s">
        <v>1619</v>
      </c>
      <c r="D19" s="1043" t="str">
        <f>'结果表(商业)'!H111</f>
        <v>——</v>
      </c>
      <c r="E19" s="1961"/>
    </row>
    <row r="20" spans="1:5" ht="15.75">
      <c r="A20" s="1961"/>
      <c r="B20" s="3001"/>
      <c r="C20" s="1964" t="s">
        <v>1632</v>
      </c>
      <c r="D20" s="1042" t="e">
        <f>NUMBERSTRING(INT(D19*10000),2)&amp;"元整"</f>
        <v>#VALUE!</v>
      </c>
      <c r="E20" s="1961"/>
    </row>
    <row r="21" spans="1:5" ht="15.75" thickBot="1">
      <c r="A21" s="1961"/>
      <c r="B21" s="3002"/>
      <c r="C21" s="1971" t="s">
        <v>1630</v>
      </c>
      <c r="D21" s="1055" t="str">
        <f>'结果表(商业)'!H112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2697</v>
      </c>
      <c r="B1" s="1621"/>
      <c r="C1" s="1622" t="s">
        <v>2520</v>
      </c>
      <c r="D1" s="1623"/>
      <c r="E1" s="1632"/>
      <c r="F1" s="2587"/>
      <c r="G1" s="1633" t="s">
        <v>2633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2317</v>
      </c>
      <c r="B2" s="1420" t="e">
        <f ca="1">IF(C2="——",ROUND(C37*D3/10000,0),ROUND(C37*D3/10000,0)-D2)</f>
        <v>#DIV/0!</v>
      </c>
      <c r="C2" s="2589"/>
      <c r="D2" s="1126" t="e">
        <f ca="1">SUMIF(INDIRECT("'"&amp;F2&amp;"'"&amp;"!A:A"),"承租人权益价值",INDIRECT("'"&amp;F2&amp;"'"&amp;"!c:c"))</f>
        <v>#REF!</v>
      </c>
      <c r="E2" s="2590" t="s">
        <v>2318</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89" t="s">
        <v>2638</v>
      </c>
      <c r="AC4" s="3188" t="s">
        <v>2639</v>
      </c>
    </row>
    <row r="5" spans="1:29"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89"/>
      <c r="AC5" s="3189"/>
    </row>
    <row r="6" spans="1:29" ht="15.75" thickBot="1">
      <c r="A6" s="406"/>
      <c r="B6" s="407"/>
      <c r="C6" s="3202" t="s">
        <v>2536</v>
      </c>
      <c r="D6" s="3203"/>
      <c r="E6" s="3204" t="s">
        <v>2536</v>
      </c>
      <c r="F6" s="3205"/>
      <c r="G6" s="3202" t="s">
        <v>2536</v>
      </c>
      <c r="H6" s="3203"/>
      <c r="I6" s="3202" t="s">
        <v>2536</v>
      </c>
      <c r="J6" s="3203"/>
      <c r="K6" s="610" t="s">
        <v>2537</v>
      </c>
      <c r="L6" s="1132"/>
      <c r="M6" s="1133"/>
      <c r="N6" s="1133"/>
      <c r="O6" s="1133"/>
      <c r="P6" s="3215"/>
      <c r="Q6" s="3216"/>
      <c r="R6" s="3196"/>
      <c r="S6" s="3197"/>
      <c r="T6" s="3217"/>
      <c r="U6" s="3218"/>
      <c r="V6" s="3191"/>
      <c r="W6" s="3191"/>
      <c r="X6" s="1815"/>
      <c r="Y6" s="3217"/>
      <c r="Z6" s="3218"/>
      <c r="AA6" s="3190"/>
      <c r="AB6" s="3190"/>
      <c r="AC6" s="3190"/>
    </row>
    <row r="7" spans="1:29" s="117" customFormat="1" ht="15.75" thickBot="1">
      <c r="A7" s="408" t="s">
        <v>2538</v>
      </c>
      <c r="B7" s="409"/>
      <c r="C7" s="410">
        <f>'数据-取费表'!B2</f>
        <v>43437</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192" t="s">
        <v>2539</v>
      </c>
      <c r="Q7" s="3219"/>
      <c r="R7" s="770" t="s">
        <v>17</v>
      </c>
      <c r="S7" s="771">
        <f t="shared" ref="S7:S14" si="0">F7</f>
        <v>0</v>
      </c>
      <c r="T7" s="770" t="s">
        <v>17</v>
      </c>
      <c r="U7" s="771">
        <f t="shared" ref="U7:U14" si="1">H7</f>
        <v>0</v>
      </c>
      <c r="V7" s="770" t="s">
        <v>17</v>
      </c>
      <c r="W7" s="771">
        <f t="shared" ref="W7:W14" si="2">J7</f>
        <v>0</v>
      </c>
      <c r="X7" s="772"/>
      <c r="Y7" s="3192" t="s">
        <v>2539</v>
      </c>
      <c r="Z7" s="3193"/>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9" t="s">
        <v>2545</v>
      </c>
      <c r="Q9" s="1797" t="str">
        <f t="shared" ref="Q9:Q14" si="6">B9</f>
        <v>用途</v>
      </c>
      <c r="R9" s="770" t="s">
        <v>17</v>
      </c>
      <c r="S9" s="771">
        <f t="shared" si="0"/>
        <v>100</v>
      </c>
      <c r="T9" s="770" t="s">
        <v>17</v>
      </c>
      <c r="U9" s="771">
        <f t="shared" si="1"/>
        <v>100</v>
      </c>
      <c r="V9" s="770" t="s">
        <v>17</v>
      </c>
      <c r="W9" s="771">
        <f t="shared" si="2"/>
        <v>100</v>
      </c>
      <c r="X9" s="772"/>
      <c r="Y9" s="306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9"/>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9"/>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9"/>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229"/>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
      <c r="A14" s="440" t="s">
        <v>2549</v>
      </c>
      <c r="B14" s="69" t="s">
        <v>2699</v>
      </c>
      <c r="C14" s="269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2" t="s">
        <v>2550</v>
      </c>
      <c r="Q14" s="1812" t="str">
        <f t="shared" si="6"/>
        <v>交通便捷度</v>
      </c>
      <c r="R14" s="774" t="s">
        <v>17</v>
      </c>
      <c r="S14" s="775">
        <f t="shared" si="0"/>
        <v>100</v>
      </c>
      <c r="T14" s="774" t="s">
        <v>17</v>
      </c>
      <c r="U14" s="775">
        <f t="shared" si="1"/>
        <v>100</v>
      </c>
      <c r="V14" s="774" t="s">
        <v>17</v>
      </c>
      <c r="W14" s="775">
        <f t="shared" si="2"/>
        <v>100</v>
      </c>
      <c r="X14" s="1815"/>
      <c r="Y14" s="3222" t="s">
        <v>2550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3"/>
      <c r="Q15" s="1812"/>
      <c r="R15" s="774"/>
      <c r="S15" s="775"/>
      <c r="T15" s="774"/>
      <c r="U15" s="775"/>
      <c r="V15" s="774"/>
      <c r="W15" s="775"/>
      <c r="X15" s="1815"/>
      <c r="Y15" s="3223"/>
      <c r="Z15" s="1816"/>
      <c r="AA15" s="1813">
        <v>1</v>
      </c>
      <c r="AB15" s="1813">
        <v>1</v>
      </c>
      <c r="AC15" s="1813">
        <v>1</v>
      </c>
    </row>
    <row r="16" spans="1:29" ht="15">
      <c r="A16" s="428"/>
      <c r="B16" s="451" t="s">
        <v>2678</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2"/>
      <c r="M17" s="1133"/>
      <c r="N17" s="1133"/>
      <c r="O17" s="1141"/>
      <c r="P17" s="3223"/>
      <c r="Q17" s="1812"/>
      <c r="R17" s="774"/>
      <c r="S17" s="775"/>
      <c r="T17" s="774"/>
      <c r="U17" s="775"/>
      <c r="V17" s="774"/>
      <c r="W17" s="775"/>
      <c r="X17" s="1815"/>
      <c r="Y17" s="3223"/>
      <c r="Z17" s="1816"/>
      <c r="AA17" s="1813">
        <v>1</v>
      </c>
      <c r="AB17" s="1813">
        <v>1</v>
      </c>
      <c r="AC17" s="1813">
        <v>1</v>
      </c>
    </row>
    <row r="18" spans="1:29" ht="15">
      <c r="A18" s="428"/>
      <c r="B18" s="1386" t="s">
        <v>2679</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28"/>
      <c r="B19" s="1386"/>
      <c r="C19" s="2611"/>
      <c r="D19" s="450"/>
      <c r="E19" s="2611"/>
      <c r="F19" s="453"/>
      <c r="G19" s="2611"/>
      <c r="H19" s="448"/>
      <c r="I19" s="447"/>
      <c r="J19" s="448"/>
      <c r="K19" s="1385"/>
      <c r="L19" s="1142"/>
      <c r="M19" s="1133"/>
      <c r="N19" s="1133"/>
      <c r="O19" s="1141"/>
      <c r="P19" s="3223"/>
      <c r="Q19" s="1812"/>
      <c r="R19" s="774"/>
      <c r="S19" s="775"/>
      <c r="T19" s="774"/>
      <c r="U19" s="775"/>
      <c r="V19" s="774"/>
      <c r="W19" s="775"/>
      <c r="X19" s="1815"/>
      <c r="Y19" s="3223"/>
      <c r="Z19" s="1816"/>
      <c r="AA19" s="1813">
        <v>1</v>
      </c>
      <c r="AB19" s="1813">
        <v>1</v>
      </c>
      <c r="AC19" s="1813">
        <v>1</v>
      </c>
    </row>
    <row r="20" spans="1:29" ht="15">
      <c r="A20" s="428"/>
      <c r="B20" s="451" t="s">
        <v>2700</v>
      </c>
      <c r="C20" s="2610"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3"/>
      <c r="Q21" s="1812"/>
      <c r="R21" s="774"/>
      <c r="S21" s="775"/>
      <c r="T21" s="774"/>
      <c r="U21" s="775"/>
      <c r="V21" s="774"/>
      <c r="W21" s="775"/>
      <c r="X21" s="1815"/>
      <c r="Y21" s="3223"/>
      <c r="Z21" s="1816"/>
      <c r="AA21" s="1813">
        <v>1</v>
      </c>
      <c r="AB21" s="1813">
        <v>1</v>
      </c>
      <c r="AC21" s="1813">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3"/>
      <c r="Q24" s="1812">
        <f t="shared" ref="Q24:Q34"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15">
      <c r="A26" s="466" t="s">
        <v>2553</v>
      </c>
      <c r="B26" s="71" t="s">
        <v>2704</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304" t="s">
        <v>2555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7" t="s">
        <v>2555</v>
      </c>
      <c r="Z26" s="1816" t="str">
        <f t="shared" ref="Z26:Z34" si="15">Q26</f>
        <v>公共部分装修</v>
      </c>
      <c r="AA26" s="1813">
        <f t="shared" si="3"/>
        <v>1</v>
      </c>
      <c r="AB26" s="1813">
        <f t="shared" si="4"/>
        <v>1</v>
      </c>
      <c r="AC26" s="1813">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3" t="e">
        <f t="shared" si="3"/>
        <v>#N/A</v>
      </c>
      <c r="AB27" s="1813" t="e">
        <f t="shared" si="4"/>
        <v>#N/A</v>
      </c>
      <c r="AC27" s="1813"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7"/>
      <c r="Q28" s="1812" t="str">
        <f t="shared" si="11"/>
        <v>物业等级</v>
      </c>
      <c r="R28" s="774" t="s">
        <v>17</v>
      </c>
      <c r="S28" s="775">
        <f t="shared" si="12"/>
        <v>100</v>
      </c>
      <c r="T28" s="774" t="s">
        <v>17</v>
      </c>
      <c r="U28" s="775">
        <f t="shared" si="13"/>
        <v>100</v>
      </c>
      <c r="V28" s="774" t="s">
        <v>17</v>
      </c>
      <c r="W28" s="775">
        <f t="shared" si="14"/>
        <v>100</v>
      </c>
      <c r="X28" s="1815"/>
      <c r="Y28" s="3227"/>
      <c r="Z28" s="1816" t="str">
        <f t="shared" si="15"/>
        <v>物业等级</v>
      </c>
      <c r="AA28" s="1813">
        <f t="shared" si="3"/>
        <v>1</v>
      </c>
      <c r="AB28" s="1813">
        <f t="shared" si="4"/>
        <v>1</v>
      </c>
      <c r="AC28" s="1813">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7"/>
      <c r="Q29" s="1812" t="str">
        <f t="shared" si="11"/>
        <v>有无电梯</v>
      </c>
      <c r="R29" s="774" t="s">
        <v>17</v>
      </c>
      <c r="S29" s="775">
        <f t="shared" si="12"/>
        <v>100</v>
      </c>
      <c r="T29" s="774" t="s">
        <v>17</v>
      </c>
      <c r="U29" s="775">
        <f t="shared" si="13"/>
        <v>100</v>
      </c>
      <c r="V29" s="774" t="s">
        <v>17</v>
      </c>
      <c r="W29" s="775">
        <f t="shared" si="14"/>
        <v>100</v>
      </c>
      <c r="X29" s="1815"/>
      <c r="Y29" s="3227"/>
      <c r="Z29" s="1816" t="str">
        <f t="shared" si="15"/>
        <v>有无电梯</v>
      </c>
      <c r="AA29" s="1813">
        <f t="shared" si="3"/>
        <v>1</v>
      </c>
      <c r="AB29" s="1813">
        <f t="shared" si="4"/>
        <v>1</v>
      </c>
      <c r="AC29" s="1813">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7"/>
      <c r="Q30" s="1812" t="str">
        <f t="shared" si="11"/>
        <v>建筑面积</v>
      </c>
      <c r="R30" s="774" t="s">
        <v>17</v>
      </c>
      <c r="S30" s="775" t="e">
        <f t="shared" si="12"/>
        <v>#N/A</v>
      </c>
      <c r="T30" s="774" t="s">
        <v>17</v>
      </c>
      <c r="U30" s="775" t="e">
        <f t="shared" si="13"/>
        <v>#N/A</v>
      </c>
      <c r="V30" s="774" t="s">
        <v>17</v>
      </c>
      <c r="W30" s="775" t="e">
        <f t="shared" si="14"/>
        <v>#N/A</v>
      </c>
      <c r="X30" s="1815"/>
      <c r="Y30" s="3227"/>
      <c r="Z30" s="1816" t="str">
        <f t="shared" si="15"/>
        <v>建筑面积</v>
      </c>
      <c r="AA30" s="1813" t="e">
        <f t="shared" si="3"/>
        <v>#N/A</v>
      </c>
      <c r="AB30" s="1813" t="e">
        <f t="shared" si="4"/>
        <v>#N/A</v>
      </c>
      <c r="AC30" s="1813"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7"/>
      <c r="Q31" s="1797"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7" t="s">
        <v>2555</v>
      </c>
      <c r="Q32" s="1812">
        <f t="shared" si="11"/>
        <v>111</v>
      </c>
      <c r="R32" s="774" t="s">
        <v>17</v>
      </c>
      <c r="S32" s="775">
        <f t="shared" si="12"/>
        <v>100</v>
      </c>
      <c r="T32" s="774" t="s">
        <v>17</v>
      </c>
      <c r="U32" s="775">
        <f t="shared" si="13"/>
        <v>100</v>
      </c>
      <c r="V32" s="774" t="s">
        <v>17</v>
      </c>
      <c r="W32" s="775">
        <f t="shared" si="14"/>
        <v>100</v>
      </c>
      <c r="X32" s="1815"/>
      <c r="Y32" s="3227" t="s">
        <v>2555</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7"/>
      <c r="Q33" s="1812">
        <f t="shared" si="11"/>
        <v>111</v>
      </c>
      <c r="R33" s="774" t="s">
        <v>17</v>
      </c>
      <c r="S33" s="775">
        <f t="shared" si="12"/>
        <v>100</v>
      </c>
      <c r="T33" s="774" t="s">
        <v>17</v>
      </c>
      <c r="U33" s="775">
        <f t="shared" si="13"/>
        <v>100</v>
      </c>
      <c r="V33" s="774" t="s">
        <v>17</v>
      </c>
      <c r="W33" s="775">
        <f t="shared" si="14"/>
        <v>100</v>
      </c>
      <c r="X33" s="1815"/>
      <c r="Y33" s="3227"/>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ht="15">
      <c r="A35" s="479" t="s">
        <v>2567</v>
      </c>
      <c r="B35" s="480"/>
      <c r="C35" s="1409" t="s">
        <v>1</v>
      </c>
      <c r="D35" s="1410"/>
      <c r="E35" s="1411"/>
      <c r="F35" s="1412"/>
      <c r="G35" s="1413"/>
      <c r="H35" s="1414"/>
      <c r="I35" s="1411"/>
      <c r="J35" s="1414"/>
      <c r="K35" s="783"/>
      <c r="L35" s="1145"/>
      <c r="M35" s="1146"/>
      <c r="N35" s="1133"/>
      <c r="O35" s="1146"/>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2659</v>
      </c>
      <c r="B36" s="487"/>
      <c r="C36" s="1415" t="e">
        <f>R37</f>
        <v>#DIV/0!</v>
      </c>
      <c r="D36" s="1416"/>
      <c r="E36" s="1417" t="e">
        <f>R36</f>
        <v>#DIV/0!</v>
      </c>
      <c r="F36" s="1417"/>
      <c r="G36" s="1415" t="e">
        <f>T36</f>
        <v>#DIV/0!</v>
      </c>
      <c r="H36" s="1416"/>
      <c r="I36" s="1417" t="e">
        <f>V36</f>
        <v>#DIV/0!</v>
      </c>
      <c r="J36" s="1416"/>
      <c r="K36" s="784"/>
      <c r="L36" s="1145"/>
      <c r="M36" s="1146"/>
      <c r="N36" s="1133"/>
      <c r="O36" s="1146"/>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2660</v>
      </c>
      <c r="B37" s="493"/>
      <c r="C37" s="1419" t="e">
        <f>R37</f>
        <v>#DIV/0!</v>
      </c>
      <c r="D37" s="1419"/>
      <c r="E37" s="1419"/>
      <c r="F37" s="1419"/>
      <c r="G37" s="1419"/>
      <c r="H37" s="1419"/>
      <c r="I37" s="1419"/>
      <c r="J37" s="1419"/>
      <c r="K37" s="785"/>
      <c r="L37" s="1145"/>
      <c r="M37" s="1146"/>
      <c r="N37" s="1146"/>
      <c r="O37" s="1146"/>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2578</v>
      </c>
      <c r="B51" s="528" t="s">
        <v>2544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2719</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2553</v>
      </c>
      <c r="B77" s="528" t="s">
        <v>2606</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2723</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2731</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2733</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89" t="s">
        <v>2638</v>
      </c>
      <c r="AC4" s="3188" t="s">
        <v>2639</v>
      </c>
    </row>
    <row r="5" spans="1:30"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89"/>
      <c r="AC5" s="3189"/>
    </row>
    <row r="6" spans="1:30" ht="15.75" thickBot="1">
      <c r="A6" s="406"/>
      <c r="B6" s="407"/>
      <c r="C6" s="3202" t="s">
        <v>2536</v>
      </c>
      <c r="D6" s="3203"/>
      <c r="E6" s="3204" t="s">
        <v>2536</v>
      </c>
      <c r="F6" s="3205"/>
      <c r="G6" s="3202" t="s">
        <v>2536</v>
      </c>
      <c r="H6" s="3203"/>
      <c r="I6" s="3202" t="s">
        <v>2536</v>
      </c>
      <c r="J6" s="3203"/>
      <c r="K6" s="610" t="s">
        <v>2537</v>
      </c>
      <c r="L6" s="1132"/>
      <c r="M6" s="1133"/>
      <c r="N6" s="1133"/>
      <c r="O6" s="1133"/>
      <c r="P6" s="3215"/>
      <c r="Q6" s="3216"/>
      <c r="R6" s="3196"/>
      <c r="S6" s="3197"/>
      <c r="T6" s="3217"/>
      <c r="U6" s="3218"/>
      <c r="V6" s="3191"/>
      <c r="W6" s="3191"/>
      <c r="X6" s="1815"/>
      <c r="Y6" s="3217"/>
      <c r="Z6" s="3218"/>
      <c r="AA6" s="3190"/>
      <c r="AB6" s="3190"/>
      <c r="AC6" s="3190"/>
    </row>
    <row r="7" spans="1:30" s="117" customFormat="1" ht="15.75" thickBot="1">
      <c r="A7" s="408" t="s">
        <v>2538</v>
      </c>
      <c r="B7" s="409"/>
      <c r="C7" s="410">
        <f>'数据-取费表'!B2</f>
        <v>43437</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4"/>
      <c r="M7" s="1135"/>
      <c r="N7" s="1135"/>
      <c r="O7" s="1135"/>
      <c r="P7" s="3192" t="s">
        <v>2539</v>
      </c>
      <c r="Q7" s="3219"/>
      <c r="R7" s="770" t="s">
        <v>17</v>
      </c>
      <c r="S7" s="771">
        <f t="shared" ref="S7:S15" si="0">F7</f>
        <v>0</v>
      </c>
      <c r="T7" s="770" t="s">
        <v>17</v>
      </c>
      <c r="U7" s="771">
        <f t="shared" ref="U7:U15" si="1">H7</f>
        <v>0</v>
      </c>
      <c r="V7" s="770" t="s">
        <v>17</v>
      </c>
      <c r="W7" s="771">
        <f t="shared" ref="W7:W15" si="2">J7</f>
        <v>0</v>
      </c>
      <c r="X7" s="772"/>
      <c r="Y7" s="3192" t="s">
        <v>2539</v>
      </c>
      <c r="Z7" s="3193"/>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45" si="3">D8/F8</f>
        <v>#DIV/0!</v>
      </c>
      <c r="AB8" s="773" t="e">
        <f t="shared" ref="AB8:AB45" si="4">D8/H8</f>
        <v>#DIV/0!</v>
      </c>
      <c r="AC8" s="773" t="e">
        <f t="shared" ref="AC8:AC45" si="5">D8/J8</f>
        <v>#DIV/0!</v>
      </c>
    </row>
    <row r="9" spans="1:30" s="117" customFormat="1">
      <c r="A9" s="415" t="s">
        <v>2543</v>
      </c>
      <c r="B9" s="71" t="s">
        <v>2544</v>
      </c>
      <c r="C9" s="2702"/>
      <c r="D9" s="135">
        <v>100</v>
      </c>
      <c r="E9" s="2702"/>
      <c r="F9" s="135">
        <f>SUMIF(75:75,E9,76:76)-SUMIF(75:75,C9,76:76)+100</f>
        <v>100</v>
      </c>
      <c r="G9" s="2702"/>
      <c r="H9" s="135">
        <f>SUMIF(75:75,G9,76:76)-SUMIF(75:75,C9,76:76)+100</f>
        <v>100</v>
      </c>
      <c r="I9" s="2702"/>
      <c r="J9" s="135">
        <f>SUMIF(75:75,I9,76:76)-SUMIF(75:75,C9,76:76)+100</f>
        <v>100</v>
      </c>
      <c r="K9" s="611"/>
      <c r="L9" s="1134"/>
      <c r="M9" s="1135"/>
      <c r="N9" s="1135"/>
      <c r="O9" s="1136"/>
      <c r="P9" s="3229"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108</v>
      </c>
      <c r="G10" s="463"/>
      <c r="H10" s="136">
        <f>ROUND(100/'数据-取费表'!G16,0)</f>
        <v>108</v>
      </c>
      <c r="I10" s="463"/>
      <c r="J10" s="136">
        <f>ROUND(100/'数据-取费表'!G16,0)</f>
        <v>108</v>
      </c>
      <c r="K10" s="672"/>
      <c r="L10" s="1137"/>
      <c r="M10" s="1138"/>
      <c r="N10" s="1138"/>
      <c r="O10" s="1139"/>
      <c r="P10" s="3229"/>
      <c r="Q10" s="1797" t="str">
        <f t="shared" si="6"/>
        <v>土地使用年限（年）</v>
      </c>
      <c r="R10" s="770" t="s">
        <v>17</v>
      </c>
      <c r="S10" s="771">
        <f t="shared" si="0"/>
        <v>108</v>
      </c>
      <c r="T10" s="770" t="s">
        <v>17</v>
      </c>
      <c r="U10" s="771">
        <f t="shared" si="1"/>
        <v>108</v>
      </c>
      <c r="V10" s="770" t="s">
        <v>17</v>
      </c>
      <c r="W10" s="771">
        <f t="shared" si="2"/>
        <v>108</v>
      </c>
      <c r="X10" s="772"/>
      <c r="Y10" s="3064"/>
      <c r="Z10" s="55" t="str">
        <f t="shared" si="7"/>
        <v>土地使用年限（年）</v>
      </c>
      <c r="AA10" s="773">
        <f t="shared" si="3"/>
        <v>0.92592592592592593</v>
      </c>
      <c r="AB10" s="773">
        <f t="shared" si="4"/>
        <v>0.92592592592592593</v>
      </c>
      <c r="AC10" s="773">
        <f t="shared" si="5"/>
        <v>0.92592592592592593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9"/>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30" s="117" customFormat="1" ht="15">
      <c r="A12" s="431"/>
      <c r="B12" s="2603" t="s">
        <v>2737</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9"/>
      <c r="Q12" s="1797"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9"/>
      <c r="Q13" s="1797">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9"/>
      <c r="Q14" s="1797">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15">
      <c r="A15" s="440" t="s">
        <v>2549</v>
      </c>
      <c r="B15" s="69" t="s">
        <v>2083</v>
      </c>
      <c r="C15" s="2606"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2" t="s">
        <v>2550</v>
      </c>
      <c r="Q15" s="1812" t="str">
        <f t="shared" si="6"/>
        <v>居住社区成熟度</v>
      </c>
      <c r="R15" s="774" t="s">
        <v>17</v>
      </c>
      <c r="S15" s="775">
        <f t="shared" si="0"/>
        <v>100</v>
      </c>
      <c r="T15" s="774" t="s">
        <v>17</v>
      </c>
      <c r="U15" s="775">
        <f t="shared" si="1"/>
        <v>100</v>
      </c>
      <c r="V15" s="774" t="s">
        <v>17</v>
      </c>
      <c r="W15" s="775">
        <f t="shared" si="2"/>
        <v>100</v>
      </c>
      <c r="X15" s="1815"/>
      <c r="Y15" s="3222" t="s">
        <v>2550</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2"/>
      <c r="M16" s="1133"/>
      <c r="N16" s="1133"/>
      <c r="O16" s="1141"/>
      <c r="P16" s="3223"/>
      <c r="Q16" s="1812"/>
      <c r="R16" s="774"/>
      <c r="S16" s="775"/>
      <c r="T16" s="774"/>
      <c r="U16" s="775"/>
      <c r="V16" s="774"/>
      <c r="W16" s="775"/>
      <c r="X16" s="1815"/>
      <c r="Y16" s="3223"/>
      <c r="Z16" s="1816"/>
      <c r="AA16" s="1813">
        <v>1</v>
      </c>
      <c r="AB16" s="1813">
        <v>1</v>
      </c>
      <c r="AC16" s="1813">
        <v>1</v>
      </c>
    </row>
    <row r="17" spans="1:29" ht="15">
      <c r="A17" s="428"/>
      <c r="B17" s="451" t="s">
        <v>2643</v>
      </c>
      <c r="C17" s="266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3"/>
      <c r="Q17" s="1812" t="str">
        <f>B17</f>
        <v>商业繁华度</v>
      </c>
      <c r="R17" s="774" t="s">
        <v>17</v>
      </c>
      <c r="S17" s="775">
        <f>F17</f>
        <v>100</v>
      </c>
      <c r="T17" s="774" t="s">
        <v>17</v>
      </c>
      <c r="U17" s="775">
        <f>H17</f>
        <v>100</v>
      </c>
      <c r="V17" s="774" t="s">
        <v>17</v>
      </c>
      <c r="W17" s="775">
        <f>J17</f>
        <v>100</v>
      </c>
      <c r="X17" s="1815"/>
      <c r="Y17" s="3223"/>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2"/>
      <c r="M18" s="1133"/>
      <c r="N18" s="1133"/>
      <c r="O18" s="1141"/>
      <c r="P18" s="3223"/>
      <c r="Q18" s="1812"/>
      <c r="R18" s="774"/>
      <c r="S18" s="775"/>
      <c r="T18" s="774"/>
      <c r="U18" s="775"/>
      <c r="V18" s="774"/>
      <c r="W18" s="775"/>
      <c r="X18" s="1815"/>
      <c r="Y18" s="3223"/>
      <c r="Z18" s="1816"/>
      <c r="AA18" s="1813">
        <v>1</v>
      </c>
      <c r="AB18" s="1813">
        <v>1</v>
      </c>
      <c r="AC18" s="1813">
        <v>1</v>
      </c>
    </row>
    <row r="19" spans="1:29" ht="15">
      <c r="A19" s="428"/>
      <c r="B19" s="451" t="s">
        <v>2677</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3"/>
      <c r="Q19" s="1812" t="str">
        <f>B19</f>
        <v>办公集聚程度</v>
      </c>
      <c r="R19" s="774" t="s">
        <v>17</v>
      </c>
      <c r="S19" s="775">
        <f>F19</f>
        <v>100</v>
      </c>
      <c r="T19" s="774" t="s">
        <v>17</v>
      </c>
      <c r="U19" s="775">
        <f>H19</f>
        <v>100</v>
      </c>
      <c r="V19" s="774" t="s">
        <v>17</v>
      </c>
      <c r="W19" s="775">
        <f>J19</f>
        <v>100</v>
      </c>
      <c r="X19" s="1815"/>
      <c r="Y19" s="3223"/>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2"/>
      <c r="M20" s="1133"/>
      <c r="N20" s="1133"/>
      <c r="O20" s="1141"/>
      <c r="P20" s="3223"/>
      <c r="Q20" s="1812"/>
      <c r="R20" s="774"/>
      <c r="S20" s="775"/>
      <c r="T20" s="774"/>
      <c r="U20" s="775"/>
      <c r="V20" s="774"/>
      <c r="W20" s="775"/>
      <c r="X20" s="1815"/>
      <c r="Y20" s="3223"/>
      <c r="Z20" s="1816"/>
      <c r="AA20" s="1813">
        <v>1</v>
      </c>
      <c r="AB20" s="1813">
        <v>1</v>
      </c>
      <c r="AC20" s="1813">
        <v>1</v>
      </c>
    </row>
    <row r="21" spans="1:29" ht="15">
      <c r="A21" s="428"/>
      <c r="B21" s="451" t="s">
        <v>2699</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3"/>
      <c r="Q21" s="1812" t="str">
        <f>B21</f>
        <v>交通便捷度</v>
      </c>
      <c r="R21" s="774" t="s">
        <v>17</v>
      </c>
      <c r="S21" s="775">
        <f>F21</f>
        <v>100</v>
      </c>
      <c r="T21" s="774" t="s">
        <v>17</v>
      </c>
      <c r="U21" s="775">
        <f>H21</f>
        <v>100</v>
      </c>
      <c r="V21" s="774" t="s">
        <v>17</v>
      </c>
      <c r="W21" s="775">
        <f>J21</f>
        <v>100</v>
      </c>
      <c r="X21" s="1815"/>
      <c r="Y21" s="3223"/>
      <c r="Z21" s="1816" t="str">
        <f>Q21</f>
        <v>交通便捷度</v>
      </c>
      <c r="AA21" s="1813">
        <f t="shared" si="3"/>
        <v>1</v>
      </c>
      <c r="AB21" s="1813">
        <f t="shared" si="4"/>
        <v>1</v>
      </c>
      <c r="AC21" s="1813">
        <f t="shared" si="5"/>
        <v>1</v>
      </c>
    </row>
    <row r="22" spans="1:29" ht="15">
      <c r="A22" s="428"/>
      <c r="B22" s="1386"/>
      <c r="C22" s="447"/>
      <c r="D22" s="450"/>
      <c r="E22" s="2608"/>
      <c r="F22" s="448"/>
      <c r="G22" s="2608"/>
      <c r="H22" s="448"/>
      <c r="I22" s="2607"/>
      <c r="J22" s="448"/>
      <c r="K22" s="672"/>
      <c r="L22" s="1142"/>
      <c r="M22" s="1133"/>
      <c r="N22" s="1133"/>
      <c r="O22" s="1141"/>
      <c r="P22" s="3223"/>
      <c r="Q22" s="1812"/>
      <c r="R22" s="774"/>
      <c r="S22" s="775"/>
      <c r="T22" s="774"/>
      <c r="U22" s="775"/>
      <c r="V22" s="774"/>
      <c r="W22" s="775"/>
      <c r="X22" s="1815"/>
      <c r="Y22" s="3223"/>
      <c r="Z22" s="1816"/>
      <c r="AA22" s="1813">
        <v>1</v>
      </c>
      <c r="AB22" s="1813">
        <v>1</v>
      </c>
      <c r="AC22" s="1813">
        <v>1</v>
      </c>
    </row>
    <row r="23" spans="1:29" ht="15">
      <c r="A23" s="404"/>
      <c r="B23" s="451" t="s">
        <v>2738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3"/>
      <c r="Q23" s="1812" t="str">
        <f t="shared" ref="Q23:Q37" si="8">B23</f>
        <v>区域土地利用方向</v>
      </c>
      <c r="R23" s="774" t="s">
        <v>17</v>
      </c>
      <c r="S23" s="775">
        <f>F23</f>
        <v>100</v>
      </c>
      <c r="T23" s="774" t="s">
        <v>17</v>
      </c>
      <c r="U23" s="775">
        <f>H23</f>
        <v>100</v>
      </c>
      <c r="V23" s="774" t="s">
        <v>17</v>
      </c>
      <c r="W23" s="775">
        <f>J23</f>
        <v>100</v>
      </c>
      <c r="X23" s="1815"/>
      <c r="Y23" s="3223"/>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1"/>
      <c r="L24" s="1142"/>
      <c r="M24" s="1133"/>
      <c r="N24" s="1133"/>
      <c r="O24" s="1141"/>
      <c r="P24" s="3223"/>
      <c r="Q24" s="1812"/>
      <c r="R24" s="774"/>
      <c r="S24" s="775"/>
      <c r="T24" s="774"/>
      <c r="U24" s="775"/>
      <c r="V24" s="774"/>
      <c r="W24" s="775"/>
      <c r="X24" s="1815"/>
      <c r="Y24" s="3223"/>
      <c r="Z24" s="1816"/>
      <c r="AA24" s="1813"/>
      <c r="AB24" s="1813"/>
      <c r="AC24" s="1813"/>
    </row>
    <row r="25" spans="1:29" ht="27">
      <c r="A25" s="404"/>
      <c r="B25" s="1386" t="s">
        <v>2739</v>
      </c>
      <c r="C25" s="2667"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3"/>
      <c r="Q25" s="1812" t="str">
        <f t="shared" si="8"/>
        <v>自然及人文环境状况</v>
      </c>
      <c r="R25" s="774" t="s">
        <v>17</v>
      </c>
      <c r="S25" s="775">
        <f>F25</f>
        <v>100</v>
      </c>
      <c r="T25" s="774" t="s">
        <v>17</v>
      </c>
      <c r="U25" s="775">
        <f>H25</f>
        <v>100</v>
      </c>
      <c r="V25" s="774" t="s">
        <v>17</v>
      </c>
      <c r="W25" s="775">
        <f>J25</f>
        <v>100</v>
      </c>
      <c r="X25" s="1815"/>
      <c r="Y25" s="3223"/>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2"/>
      <c r="M26" s="1133"/>
      <c r="N26" s="1133"/>
      <c r="O26" s="1141"/>
      <c r="P26" s="3223"/>
      <c r="Q26" s="1812"/>
      <c r="R26" s="774"/>
      <c r="S26" s="775"/>
      <c r="T26" s="774"/>
      <c r="U26" s="775"/>
      <c r="V26" s="774"/>
      <c r="W26" s="775"/>
      <c r="X26" s="1815"/>
      <c r="Y26" s="3223"/>
      <c r="Z26" s="1816"/>
      <c r="AA26" s="1813">
        <v>1</v>
      </c>
      <c r="AB26" s="1813">
        <v>1</v>
      </c>
      <c r="AC26" s="1813">
        <v>1</v>
      </c>
    </row>
    <row r="27" spans="1:29" s="117" customFormat="1" ht="15">
      <c r="A27" s="649"/>
      <c r="B27" s="1386" t="s">
        <v>2644</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3"/>
      <c r="Q27" s="1797" t="str">
        <f t="shared" si="8"/>
        <v>公共配套设施</v>
      </c>
      <c r="R27" s="770" t="s">
        <v>17</v>
      </c>
      <c r="S27" s="771">
        <f>F27</f>
        <v>100</v>
      </c>
      <c r="T27" s="770" t="s">
        <v>17</v>
      </c>
      <c r="U27" s="771">
        <f>H27</f>
        <v>100</v>
      </c>
      <c r="V27" s="770" t="s">
        <v>17</v>
      </c>
      <c r="W27" s="771">
        <f>J27</f>
        <v>100</v>
      </c>
      <c r="X27" s="772"/>
      <c r="Y27" s="3223"/>
      <c r="Z27" s="55" t="str">
        <f>Q27</f>
        <v>公共配套设施</v>
      </c>
      <c r="AA27" s="1813">
        <f>D27/F27</f>
        <v>1</v>
      </c>
      <c r="AB27" s="1813">
        <f>D27/H27</f>
        <v>1</v>
      </c>
      <c r="AC27" s="1813">
        <f>D27/J27</f>
        <v>1</v>
      </c>
    </row>
    <row r="28" spans="1:29" s="117" customFormat="1" ht="15">
      <c r="A28" s="649"/>
      <c r="B28" s="456"/>
      <c r="C28" s="2703"/>
      <c r="D28" s="448"/>
      <c r="E28" s="2614"/>
      <c r="F28" s="448"/>
      <c r="G28" s="2614"/>
      <c r="H28" s="448"/>
      <c r="I28" s="447"/>
      <c r="J28" s="448"/>
      <c r="K28" s="672"/>
      <c r="L28" s="1134"/>
      <c r="M28" s="1135"/>
      <c r="N28" s="1135"/>
      <c r="O28" s="1136"/>
      <c r="P28" s="3223"/>
      <c r="Q28" s="1797"/>
      <c r="R28" s="770"/>
      <c r="S28" s="771"/>
      <c r="T28" s="770"/>
      <c r="U28" s="771"/>
      <c r="V28" s="770"/>
      <c r="W28" s="771"/>
      <c r="X28" s="772"/>
      <c r="Y28" s="3223"/>
      <c r="Z28" s="55"/>
      <c r="AA28" s="1813">
        <v>1</v>
      </c>
      <c r="AB28" s="1813">
        <v>1</v>
      </c>
      <c r="AC28" s="1813">
        <v>1</v>
      </c>
    </row>
    <row r="29" spans="1:29" s="117" customFormat="1" ht="15">
      <c r="A29" s="649"/>
      <c r="B29" s="1386" t="s">
        <v>2645</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3"/>
      <c r="Q29" s="1797"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3">
        <f>D29/F29</f>
        <v>1</v>
      </c>
      <c r="AB29" s="1813">
        <f>D29/H29</f>
        <v>1</v>
      </c>
      <c r="AC29" s="1813">
        <f>D29/J29</f>
        <v>1</v>
      </c>
    </row>
    <row r="30" spans="1:29" s="117" customFormat="1" ht="15">
      <c r="A30" s="649"/>
      <c r="B30" s="456"/>
      <c r="C30" s="2703"/>
      <c r="D30" s="448"/>
      <c r="E30" s="2704"/>
      <c r="F30" s="448"/>
      <c r="G30" s="2704"/>
      <c r="H30" s="448"/>
      <c r="I30" s="2704"/>
      <c r="J30" s="448"/>
      <c r="K30" s="672"/>
      <c r="L30" s="1134"/>
      <c r="M30" s="1135"/>
      <c r="N30" s="1135"/>
      <c r="O30" s="1136"/>
      <c r="P30" s="3223"/>
      <c r="Q30" s="1797"/>
      <c r="R30" s="770"/>
      <c r="S30" s="771"/>
      <c r="T30" s="770"/>
      <c r="U30" s="771"/>
      <c r="V30" s="770"/>
      <c r="W30" s="771"/>
      <c r="X30" s="772"/>
      <c r="Y30" s="3223"/>
      <c r="Z30" s="55"/>
      <c r="AA30" s="1813">
        <v>1</v>
      </c>
      <c r="AB30" s="1813">
        <v>1</v>
      </c>
      <c r="AC30" s="1813">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3"/>
      <c r="Z31" s="1816" t="str">
        <f t="shared" ref="Z31:Z45" si="13">Q31</f>
        <v>临街状况</v>
      </c>
      <c r="AA31" s="1813">
        <f t="shared" si="3"/>
        <v>1</v>
      </c>
      <c r="AB31" s="1813">
        <f t="shared" si="4"/>
        <v>1</v>
      </c>
      <c r="AC31" s="1813">
        <f t="shared" si="5"/>
        <v>1</v>
      </c>
    </row>
    <row r="32" spans="1:29" ht="27">
      <c r="A32" s="428"/>
      <c r="B32" s="1386"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3"/>
      <c r="Q32" s="1812" t="str">
        <f t="shared" si="8"/>
        <v>毗邻道路的类型与等级</v>
      </c>
      <c r="R32" s="774" t="s">
        <v>17</v>
      </c>
      <c r="S32" s="775">
        <f t="shared" si="10"/>
        <v>100</v>
      </c>
      <c r="T32" s="774" t="s">
        <v>17</v>
      </c>
      <c r="U32" s="775">
        <f t="shared" si="11"/>
        <v>100</v>
      </c>
      <c r="V32" s="774" t="s">
        <v>17</v>
      </c>
      <c r="W32" s="775">
        <f t="shared" si="12"/>
        <v>100</v>
      </c>
      <c r="X32" s="1815"/>
      <c r="Y32" s="3223"/>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2"/>
      <c r="M33" s="1133"/>
      <c r="N33" s="1133"/>
      <c r="O33" s="1141"/>
      <c r="P33" s="3223"/>
      <c r="Q33" s="1812"/>
      <c r="R33" s="774"/>
      <c r="S33" s="775"/>
      <c r="T33" s="774"/>
      <c r="U33" s="775"/>
      <c r="V33" s="774"/>
      <c r="W33" s="775"/>
      <c r="X33" s="1815"/>
      <c r="Y33" s="3223"/>
      <c r="Z33" s="1816"/>
      <c r="AA33" s="1813">
        <v>1</v>
      </c>
      <c r="AB33" s="1813">
        <v>1</v>
      </c>
      <c r="AC33" s="1813">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3"/>
      <c r="Q34" s="1812" t="str">
        <f t="shared" si="8"/>
        <v>土地级别</v>
      </c>
      <c r="R34" s="774" t="s">
        <v>17</v>
      </c>
      <c r="S34" s="775">
        <f t="shared" si="10"/>
        <v>100</v>
      </c>
      <c r="T34" s="774" t="s">
        <v>17</v>
      </c>
      <c r="U34" s="775">
        <f t="shared" si="11"/>
        <v>100</v>
      </c>
      <c r="V34" s="774" t="s">
        <v>17</v>
      </c>
      <c r="W34" s="775">
        <f t="shared" si="12"/>
        <v>100</v>
      </c>
      <c r="X34" s="1815"/>
      <c r="Y34" s="322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3"/>
      <c r="Q35" s="1812">
        <f t="shared" si="8"/>
        <v>111</v>
      </c>
      <c r="R35" s="774" t="s">
        <v>17</v>
      </c>
      <c r="S35" s="775">
        <f t="shared" si="10"/>
        <v>100</v>
      </c>
      <c r="T35" s="774" t="s">
        <v>17</v>
      </c>
      <c r="U35" s="775">
        <f t="shared" si="11"/>
        <v>100</v>
      </c>
      <c r="V35" s="774" t="s">
        <v>17</v>
      </c>
      <c r="W35" s="775">
        <f t="shared" si="12"/>
        <v>100</v>
      </c>
      <c r="X35" s="1815"/>
      <c r="Y35" s="322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304" t="s">
        <v>2555</v>
      </c>
      <c r="Q36" s="1812">
        <f t="shared" si="8"/>
        <v>111</v>
      </c>
      <c r="R36" s="774" t="s">
        <v>17</v>
      </c>
      <c r="S36" s="775">
        <f t="shared" si="10"/>
        <v>100</v>
      </c>
      <c r="T36" s="774" t="s">
        <v>17</v>
      </c>
      <c r="U36" s="775">
        <f t="shared" si="11"/>
        <v>100</v>
      </c>
      <c r="V36" s="774" t="s">
        <v>17</v>
      </c>
      <c r="W36" s="775">
        <f t="shared" si="12"/>
        <v>100</v>
      </c>
      <c r="X36" s="1815"/>
      <c r="Y36" s="3227" t="s">
        <v>2555</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7"/>
      <c r="Q37" s="1812">
        <f t="shared" si="8"/>
        <v>111</v>
      </c>
      <c r="R37" s="777" t="s">
        <v>17</v>
      </c>
      <c r="S37" s="778">
        <f t="shared" si="10"/>
        <v>100</v>
      </c>
      <c r="T37" s="777" t="s">
        <v>17</v>
      </c>
      <c r="U37" s="778">
        <f t="shared" si="11"/>
        <v>100</v>
      </c>
      <c r="V37" s="777" t="s">
        <v>17</v>
      </c>
      <c r="W37" s="778">
        <f t="shared" si="12"/>
        <v>100</v>
      </c>
      <c r="X37" s="779"/>
      <c r="Y37" s="3227"/>
      <c r="Z37" s="780">
        <f t="shared" si="13"/>
        <v>111</v>
      </c>
      <c r="AA37" s="1813">
        <f t="shared" si="3"/>
        <v>1</v>
      </c>
      <c r="AB37" s="1813">
        <f t="shared" si="4"/>
        <v>1</v>
      </c>
      <c r="AC37" s="1813">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7"/>
      <c r="Q38" s="1812" t="str">
        <f>B38</f>
        <v>宗地面积</v>
      </c>
      <c r="R38" s="774" t="s">
        <v>17</v>
      </c>
      <c r="S38" s="775" t="e">
        <f t="shared" si="10"/>
        <v>#N/A</v>
      </c>
      <c r="T38" s="774" t="s">
        <v>17</v>
      </c>
      <c r="U38" s="775" t="e">
        <f t="shared" si="11"/>
        <v>#N/A</v>
      </c>
      <c r="V38" s="774" t="s">
        <v>17</v>
      </c>
      <c r="W38" s="775" t="e">
        <f t="shared" si="12"/>
        <v>#N/A</v>
      </c>
      <c r="X38" s="1815"/>
      <c r="Y38" s="3227"/>
      <c r="Z38" s="1816" t="str">
        <f t="shared" si="13"/>
        <v>宗地面积</v>
      </c>
      <c r="AA38" s="1813" t="e">
        <f t="shared" si="3"/>
        <v>#N/A</v>
      </c>
      <c r="AB38" s="1813" t="e">
        <f t="shared" si="4"/>
        <v>#N/A</v>
      </c>
      <c r="AC38" s="1813" t="e">
        <f t="shared" si="5"/>
        <v>#N/A</v>
      </c>
    </row>
    <row r="39" spans="1:29" ht="15">
      <c r="A39" s="472"/>
      <c r="B39" s="422" t="s">
        <v>2742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227"/>
      <c r="Q39" s="1812" t="str">
        <f t="shared" ref="Q39:Q45" si="14">B39</f>
        <v>宗地形状</v>
      </c>
      <c r="R39" s="774" t="s">
        <v>17</v>
      </c>
      <c r="S39" s="775">
        <f t="shared" si="10"/>
        <v>100</v>
      </c>
      <c r="T39" s="774" t="s">
        <v>17</v>
      </c>
      <c r="U39" s="775">
        <f t="shared" si="11"/>
        <v>100</v>
      </c>
      <c r="V39" s="774" t="s">
        <v>17</v>
      </c>
      <c r="W39" s="775">
        <f t="shared" si="12"/>
        <v>100</v>
      </c>
      <c r="X39" s="1815"/>
      <c r="Y39" s="3227"/>
      <c r="Z39" s="1816" t="str">
        <f t="shared" si="13"/>
        <v>宗地形状</v>
      </c>
      <c r="AA39" s="1813">
        <f t="shared" si="3"/>
        <v>1</v>
      </c>
      <c r="AB39" s="1813">
        <f t="shared" si="4"/>
        <v>1</v>
      </c>
      <c r="AC39" s="1813">
        <f t="shared" si="5"/>
        <v>1</v>
      </c>
    </row>
    <row r="40" spans="1:29" ht="15">
      <c r="A40" s="472"/>
      <c r="B40" s="422" t="s">
        <v>2743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227"/>
      <c r="Q40" s="1812" t="str">
        <f t="shared" si="14"/>
        <v>临街宽度及深度</v>
      </c>
      <c r="R40" s="774" t="s">
        <v>17</v>
      </c>
      <c r="S40" s="775">
        <f t="shared" si="10"/>
        <v>100</v>
      </c>
      <c r="T40" s="774" t="s">
        <v>17</v>
      </c>
      <c r="U40" s="775">
        <f t="shared" si="11"/>
        <v>100</v>
      </c>
      <c r="V40" s="774" t="s">
        <v>17</v>
      </c>
      <c r="W40" s="775">
        <f t="shared" si="12"/>
        <v>100</v>
      </c>
      <c r="X40" s="1815"/>
      <c r="Y40" s="3227"/>
      <c r="Z40" s="1816" t="str">
        <f t="shared" si="13"/>
        <v>临街宽度及深度</v>
      </c>
      <c r="AA40" s="1813">
        <f t="shared" si="3"/>
        <v>1</v>
      </c>
      <c r="AB40" s="1813">
        <f t="shared" si="4"/>
        <v>1</v>
      </c>
      <c r="AC40" s="1813">
        <f t="shared" si="5"/>
        <v>1</v>
      </c>
    </row>
    <row r="41" spans="1:29" s="117" customFormat="1" ht="15">
      <c r="A41" s="473"/>
      <c r="B41" s="422" t="s">
        <v>2744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4"/>
      <c r="M41" s="1135"/>
      <c r="N41" s="1135"/>
      <c r="O41" s="1136"/>
      <c r="P41" s="3227"/>
      <c r="Q41" s="1812"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2745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227" t="s">
        <v>2555</v>
      </c>
      <c r="Q42" s="1812" t="str">
        <f t="shared" si="14"/>
        <v>工程地质条件</v>
      </c>
      <c r="R42" s="774" t="s">
        <v>17</v>
      </c>
      <c r="S42" s="775">
        <f t="shared" si="10"/>
        <v>100</v>
      </c>
      <c r="T42" s="774" t="s">
        <v>17</v>
      </c>
      <c r="U42" s="775">
        <f t="shared" si="11"/>
        <v>100</v>
      </c>
      <c r="V42" s="774" t="s">
        <v>17</v>
      </c>
      <c r="W42" s="775">
        <f t="shared" si="12"/>
        <v>100</v>
      </c>
      <c r="X42" s="1815"/>
      <c r="Y42" s="3227" t="s">
        <v>2555</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7"/>
      <c r="Q43" s="1812">
        <f t="shared" si="14"/>
        <v>111</v>
      </c>
      <c r="R43" s="774" t="s">
        <v>17</v>
      </c>
      <c r="S43" s="775">
        <f t="shared" si="10"/>
        <v>100</v>
      </c>
      <c r="T43" s="774" t="s">
        <v>17</v>
      </c>
      <c r="U43" s="775">
        <f t="shared" si="11"/>
        <v>100</v>
      </c>
      <c r="V43" s="774" t="s">
        <v>17</v>
      </c>
      <c r="W43" s="775">
        <f t="shared" si="12"/>
        <v>100</v>
      </c>
      <c r="X43" s="1815"/>
      <c r="Y43" s="322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7"/>
      <c r="Q44" s="1812">
        <f t="shared" si="14"/>
        <v>111</v>
      </c>
      <c r="R44" s="774" t="s">
        <v>17</v>
      </c>
      <c r="S44" s="775">
        <f t="shared" si="10"/>
        <v>100</v>
      </c>
      <c r="T44" s="774" t="s">
        <v>17</v>
      </c>
      <c r="U44" s="775">
        <f t="shared" si="11"/>
        <v>100</v>
      </c>
      <c r="V44" s="774" t="s">
        <v>17</v>
      </c>
      <c r="W44" s="775">
        <f t="shared" si="12"/>
        <v>100</v>
      </c>
      <c r="X44" s="1815"/>
      <c r="Y44" s="3227"/>
      <c r="Z44" s="1816">
        <f t="shared" si="13"/>
        <v>111</v>
      </c>
      <c r="AA44" s="1813">
        <f t="shared" si="3"/>
        <v>1</v>
      </c>
      <c r="AB44" s="1813">
        <f t="shared" si="4"/>
        <v>1</v>
      </c>
      <c r="AC44" s="1813">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7"/>
      <c r="Q45" s="1812">
        <f t="shared" si="14"/>
        <v>111</v>
      </c>
      <c r="R45" s="777" t="s">
        <v>17</v>
      </c>
      <c r="S45" s="778">
        <f t="shared" si="10"/>
        <v>100</v>
      </c>
      <c r="T45" s="777" t="s">
        <v>17</v>
      </c>
      <c r="U45" s="778">
        <f t="shared" si="11"/>
        <v>100</v>
      </c>
      <c r="V45" s="777" t="s">
        <v>17</v>
      </c>
      <c r="W45" s="778">
        <f t="shared" si="12"/>
        <v>100</v>
      </c>
      <c r="X45" s="779"/>
      <c r="Y45" s="3227"/>
      <c r="Z45" s="780">
        <f t="shared" si="13"/>
        <v>111</v>
      </c>
      <c r="AA45" s="1813">
        <f t="shared" si="3"/>
        <v>1</v>
      </c>
      <c r="AB45" s="1813">
        <f t="shared" si="4"/>
        <v>1</v>
      </c>
      <c r="AC45" s="1813">
        <f t="shared" si="5"/>
        <v>1</v>
      </c>
    </row>
    <row r="46" spans="1:29" ht="15">
      <c r="A46" s="479" t="s">
        <v>2710</v>
      </c>
      <c r="B46" s="2707" t="s">
        <v>2746</v>
      </c>
      <c r="C46" s="682" t="s">
        <v>1</v>
      </c>
      <c r="D46" s="481"/>
      <c r="E46" s="482"/>
      <c r="F46" s="483"/>
      <c r="G46" s="484"/>
      <c r="H46" s="485"/>
      <c r="I46" s="482"/>
      <c r="J46" s="485"/>
      <c r="K46" s="783"/>
      <c r="L46" s="1145"/>
      <c r="M46" s="1146"/>
      <c r="N46" s="1133"/>
      <c r="O46" s="1146"/>
      <c r="P46" s="3229" t="str">
        <f>A46</f>
        <v>成交单价</v>
      </c>
      <c r="Q46" s="3229"/>
      <c r="R46" s="3191">
        <f>E46</f>
        <v>0</v>
      </c>
      <c r="S46" s="3191"/>
      <c r="T46" s="3191">
        <f>G46</f>
        <v>0</v>
      </c>
      <c r="U46" s="3191"/>
      <c r="V46" s="3191">
        <f>I46</f>
        <v>0</v>
      </c>
      <c r="W46" s="3191"/>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5"/>
      <c r="M47" s="1146"/>
      <c r="N47" s="1146"/>
      <c r="O47" s="1146"/>
      <c r="P47" s="3229" t="str">
        <f>A47</f>
        <v>比较价值（元/平方米）</v>
      </c>
      <c r="Q47" s="3229"/>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5"/>
      <c r="M48" s="1146"/>
      <c r="N48" s="1146"/>
      <c r="O48" s="1146"/>
      <c r="P48" s="3231" t="str">
        <f>A48</f>
        <v>估价对象XX用房的比较价值（楼面单价，元/平方米）</v>
      </c>
      <c r="Q48" s="3232"/>
      <c r="R48" s="3306" t="e">
        <f>ROUND(AVERAGE(R47:V47),0)</f>
        <v>#DIV/0!</v>
      </c>
      <c r="S48" s="3306"/>
      <c r="T48" s="3306"/>
      <c r="U48" s="3306"/>
      <c r="V48" s="3306"/>
      <c r="W48" s="330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2748</v>
      </c>
      <c r="B55" s="685" t="s">
        <v>2749</v>
      </c>
      <c r="C55" s="2708" t="s">
        <v>2750</v>
      </c>
      <c r="D55" s="2709" t="s">
        <v>2751</v>
      </c>
      <c r="E55" s="686" t="s">
        <v>2752</v>
      </c>
      <c r="F55" s="1109" t="s">
        <v>2753</v>
      </c>
      <c r="G55" s="3207" t="s">
        <v>2754</v>
      </c>
      <c r="H55" s="3307"/>
      <c r="I55" s="144" t="s">
        <v>2755</v>
      </c>
      <c r="J55" s="2710">
        <f>项目基本情况!F35</f>
        <v>0</v>
      </c>
      <c r="K55" s="2711" t="s">
        <v>2756</v>
      </c>
      <c r="L55" s="1108"/>
      <c r="M55" s="1146"/>
      <c r="N55" s="1146"/>
      <c r="O55" s="1146"/>
    </row>
    <row r="56" spans="1:15" s="692" customFormat="1">
      <c r="A56" s="688" t="s">
        <v>2757</v>
      </c>
      <c r="B56" s="689" t="e">
        <f>C48</f>
        <v>#DIV/0!</v>
      </c>
      <c r="C56" s="690">
        <v>1</v>
      </c>
      <c r="D56" s="1165">
        <v>1</v>
      </c>
      <c r="E56" s="690">
        <f>'数据-汇总表'!E8+'数据-汇总表'!E9</f>
        <v>2351.85</v>
      </c>
      <c r="F56" s="1105" t="e">
        <f t="shared" ref="F56:F65" si="15">ROUND(B56*E56/10000,0)</f>
        <v>#DIV/0!</v>
      </c>
      <c r="G56" s="3206"/>
      <c r="H56" s="3229"/>
      <c r="I56" s="1110">
        <v>1</v>
      </c>
      <c r="J56" s="1113">
        <v>1</v>
      </c>
      <c r="K56" s="1147"/>
      <c r="L56" s="943"/>
      <c r="M56" s="943"/>
      <c r="N56" s="943"/>
      <c r="O56" s="943"/>
    </row>
    <row r="57" spans="1:15" s="692" customFormat="1">
      <c r="A57" s="693" t="s">
        <v>2758</v>
      </c>
      <c r="B57" s="262" t="e">
        <f>ROUND($C$48*C57*D57,0)</f>
        <v>#DIV/0!</v>
      </c>
      <c r="C57" s="200">
        <f t="shared" ref="C57:C65" si="16">IF($C$55="北京市系数",I57,J57)</f>
        <v>0.6</v>
      </c>
      <c r="D57" s="1166">
        <v>0.25</v>
      </c>
      <c r="E57" s="694"/>
      <c r="F57" s="1105" t="e">
        <f t="shared" si="15"/>
        <v>#DIV/0!</v>
      </c>
      <c r="G57" s="3308" t="s">
        <v>2759</v>
      </c>
      <c r="H57" s="1106" t="str">
        <f>项目基本情况!B37</f>
        <v>八级</v>
      </c>
      <c r="I57" s="1110">
        <f>SUMIF(修正!A45:A56,H57,修正!B45:B56)</f>
        <v>0.6</v>
      </c>
      <c r="J57" s="1114"/>
      <c r="K57" s="1146"/>
      <c r="L57" s="943"/>
      <c r="M57" s="943"/>
      <c r="N57" s="943"/>
      <c r="O57" s="943"/>
    </row>
    <row r="58" spans="1:15" s="692" customFormat="1">
      <c r="A58" s="693" t="s">
        <v>2760</v>
      </c>
      <c r="B58" s="262" t="e">
        <f t="shared" ref="B58:B65" si="17">ROUND($C$48*C58*D58,0)</f>
        <v>#DIV/0!</v>
      </c>
      <c r="C58" s="200">
        <f t="shared" si="16"/>
        <v>0.3</v>
      </c>
      <c r="D58" s="1166">
        <v>0.25</v>
      </c>
      <c r="E58" s="694"/>
      <c r="F58" s="1105" t="e">
        <f t="shared" si="15"/>
        <v>#DIV/0!</v>
      </c>
      <c r="G58" s="3308"/>
      <c r="H58" s="1106" t="str">
        <f>项目基本情况!B37</f>
        <v>八级</v>
      </c>
      <c r="I58" s="1110">
        <f>SUMIF(修正!A45:A56,H58,修正!C45:C56)</f>
        <v>0.3</v>
      </c>
      <c r="J58" s="1114"/>
      <c r="K58" s="1147"/>
      <c r="L58" s="943"/>
      <c r="M58" s="943"/>
      <c r="N58" s="943"/>
      <c r="O58" s="943"/>
    </row>
    <row r="59" spans="1:15" s="692" customFormat="1">
      <c r="A59" s="693" t="s">
        <v>2761</v>
      </c>
      <c r="B59" s="262" t="e">
        <f t="shared" si="17"/>
        <v>#DIV/0!</v>
      </c>
      <c r="C59" s="200">
        <f t="shared" si="16"/>
        <v>0.2</v>
      </c>
      <c r="D59" s="1166">
        <v>0.25</v>
      </c>
      <c r="E59" s="694"/>
      <c r="F59" s="1105" t="e">
        <f t="shared" si="15"/>
        <v>#DIV/0!</v>
      </c>
      <c r="G59" s="3308"/>
      <c r="H59" s="1106" t="str">
        <f>项目基本情况!B37</f>
        <v>八级</v>
      </c>
      <c r="I59" s="1110">
        <f>SUMIF(修正!A45:A56,H59,修正!D45:D56)</f>
        <v>0.2</v>
      </c>
      <c r="J59" s="1114"/>
      <c r="K59" s="1146"/>
      <c r="L59" s="943"/>
      <c r="M59" s="943"/>
      <c r="N59" s="943"/>
      <c r="O59" s="943"/>
    </row>
    <row r="60" spans="1:15" s="692" customFormat="1">
      <c r="A60" s="693" t="s">
        <v>2762</v>
      </c>
      <c r="B60" s="262" t="e">
        <f t="shared" si="17"/>
        <v>#DIV/0!</v>
      </c>
      <c r="C60" s="200">
        <f t="shared" si="16"/>
        <v>0.2</v>
      </c>
      <c r="D60" s="1166">
        <v>0.25</v>
      </c>
      <c r="E60" s="694"/>
      <c r="F60" s="1105" t="e">
        <f t="shared" si="15"/>
        <v>#DIV/0!</v>
      </c>
      <c r="G60" s="3308"/>
      <c r="H60" s="1106" t="str">
        <f>项目基本情况!B37</f>
        <v>八级</v>
      </c>
      <c r="I60" s="1110">
        <f>SUMIF(修正!A45:A56,H60,修正!E45:E56)</f>
        <v>0.2</v>
      </c>
      <c r="J60" s="1114"/>
      <c r="K60" s="1147"/>
      <c r="L60" s="943"/>
      <c r="M60" s="943"/>
      <c r="N60" s="943"/>
      <c r="O60" s="943"/>
    </row>
    <row r="61" spans="1:15" s="692" customFormat="1">
      <c r="A61" s="693" t="s">
        <v>2763</v>
      </c>
      <c r="B61" s="262" t="e">
        <f t="shared" si="17"/>
        <v>#DIV/0!</v>
      </c>
      <c r="C61" s="200">
        <f t="shared" si="16"/>
        <v>0</v>
      </c>
      <c r="D61" s="1166">
        <v>0.25</v>
      </c>
      <c r="E61" s="261">
        <f>'数据-汇总表'!E11</f>
        <v>0</v>
      </c>
      <c r="F61" s="1105" t="e">
        <f t="shared" si="15"/>
        <v>#DIV/0!</v>
      </c>
      <c r="G61" s="2712" t="s">
        <v>2764</v>
      </c>
      <c r="H61" s="1106">
        <f>项目基本情况!C37</f>
        <v>0</v>
      </c>
      <c r="I61" s="1110">
        <f>SUMIF(修正!A45:A56,H61,修正!F45:F56)</f>
        <v>0</v>
      </c>
      <c r="J61" s="1114"/>
      <c r="K61" s="1146"/>
      <c r="L61" s="943"/>
      <c r="M61" s="943"/>
      <c r="N61" s="943"/>
      <c r="O61" s="943"/>
    </row>
    <row r="62" spans="1:15" s="692" customFormat="1">
      <c r="A62" s="693" t="s">
        <v>2765</v>
      </c>
      <c r="B62" s="262" t="e">
        <f t="shared" si="17"/>
        <v>#DIV/0!</v>
      </c>
      <c r="C62" s="200">
        <f t="shared" si="16"/>
        <v>0</v>
      </c>
      <c r="D62" s="1166">
        <v>0.25</v>
      </c>
      <c r="E62" s="261">
        <f>'数据-汇总表'!E12</f>
        <v>3174.420000000001</v>
      </c>
      <c r="F62" s="1105" t="e">
        <f t="shared" si="15"/>
        <v>#DIV/0!</v>
      </c>
      <c r="G62" s="1111" t="s">
        <v>2766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2767</v>
      </c>
      <c r="B63" s="262" t="e">
        <f t="shared" si="17"/>
        <v>#DIV/0!</v>
      </c>
      <c r="C63" s="200">
        <f t="shared" si="16"/>
        <v>0.15</v>
      </c>
      <c r="D63" s="1166">
        <v>0.25</v>
      </c>
      <c r="E63" s="261">
        <f>'数据-汇总表'!E13</f>
        <v>0</v>
      </c>
      <c r="F63" s="1105" t="e">
        <f t="shared" si="15"/>
        <v>#DIV/0!</v>
      </c>
      <c r="G63" s="1111" t="s">
        <v>2768</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2769</v>
      </c>
      <c r="B64" s="262" t="e">
        <f t="shared" si="17"/>
        <v>#DIV/0!</v>
      </c>
      <c r="C64" s="200">
        <f t="shared" si="16"/>
        <v>0.15</v>
      </c>
      <c r="D64" s="1166">
        <v>0.25</v>
      </c>
      <c r="E64" s="261">
        <f>'数据-汇总表'!E14</f>
        <v>133.35999999999999</v>
      </c>
      <c r="F64" s="1105" t="e">
        <f t="shared" si="15"/>
        <v>#DIV/0!</v>
      </c>
      <c r="G64" s="2712" t="s">
        <v>2759</v>
      </c>
      <c r="H64" s="1106" t="str">
        <f>项目基本情况!B37</f>
        <v>八级</v>
      </c>
      <c r="I64" s="1110">
        <f>SUMIF(修正!A45:A56,H64,修正!H45:H56)</f>
        <v>0.15</v>
      </c>
      <c r="J64" s="1114"/>
      <c r="K64" s="1147"/>
      <c r="L64" s="943"/>
      <c r="M64" s="943"/>
      <c r="N64" s="943"/>
      <c r="O64" s="943"/>
    </row>
    <row r="65" spans="1:17" s="692" customFormat="1" ht="15" thickBot="1">
      <c r="A65" s="693" t="s">
        <v>2770</v>
      </c>
      <c r="B65" s="262" t="e">
        <f t="shared" si="17"/>
        <v>#DIV/0!</v>
      </c>
      <c r="C65" s="200">
        <f t="shared" si="16"/>
        <v>0</v>
      </c>
      <c r="D65" s="1166">
        <v>0.25</v>
      </c>
      <c r="E65" s="261">
        <f>'数据-汇总表'!E15</f>
        <v>0</v>
      </c>
      <c r="F65" s="1105" t="e">
        <f t="shared" si="15"/>
        <v>#DIV/0!</v>
      </c>
      <c r="G65" s="2713" t="s">
        <v>2764</v>
      </c>
      <c r="H65" s="1116">
        <f>项目基本情况!C37</f>
        <v>0</v>
      </c>
      <c r="I65" s="1112">
        <f>SUMIF(修正!A45:A56,H65,修正!H45:H56)</f>
        <v>0</v>
      </c>
      <c r="J65" s="1115"/>
      <c r="K65" s="1146"/>
      <c r="L65" s="943"/>
      <c r="M65" s="943"/>
      <c r="N65" s="943"/>
      <c r="O65" s="943"/>
    </row>
    <row r="66" spans="1:17" s="692" customFormat="1" ht="13.5" thickBot="1">
      <c r="A66" s="695" t="s">
        <v>2771</v>
      </c>
      <c r="B66" s="696" t="s">
        <v>28</v>
      </c>
      <c r="C66" s="696" t="s">
        <v>29</v>
      </c>
      <c r="D66" s="696" t="s">
        <v>1026</v>
      </c>
      <c r="E66" s="696">
        <f>IF(B46="楼面地价",SUM(E56:E65),'数据-汇总表'!D3)</f>
        <v>5659.63</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2664</v>
      </c>
      <c r="B69" s="759"/>
      <c r="C69" s="764"/>
      <c r="D69" s="764"/>
      <c r="E69" s="764"/>
      <c r="F69" s="765"/>
      <c r="G69" s="765"/>
      <c r="H69" s="764"/>
      <c r="I69" s="764"/>
      <c r="J69" s="1161"/>
      <c r="K69" s="1162"/>
      <c r="L69" s="1163"/>
      <c r="M69" s="1161"/>
      <c r="N69" s="1161"/>
      <c r="O69" s="1161"/>
      <c r="P69" s="503"/>
      <c r="Q69" s="504"/>
    </row>
    <row r="70" spans="1:17" s="508" customFormat="1" ht="15">
      <c r="A70" s="2714" t="s">
        <v>2772</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5" t="s">
        <v>2773</v>
      </c>
      <c r="B71" s="332" t="str">
        <f>"北京市平均增长率"&amp;TEXT(SUMIF('基准地价修正（商业）'!N21:N25,A71,'基准地价修正（商业）'!P21:P25),"0.00%")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2575</v>
      </c>
      <c r="B72" s="516"/>
      <c r="C72" s="517"/>
      <c r="D72" s="518"/>
      <c r="E72" s="518"/>
      <c r="F72" s="518"/>
      <c r="G72" s="518"/>
      <c r="H72" s="518"/>
      <c r="I72" s="518"/>
      <c r="J72" s="518"/>
      <c r="K72" s="518"/>
      <c r="L72" s="518"/>
      <c r="M72" s="519"/>
      <c r="N72" s="518"/>
      <c r="O72" s="1164"/>
      <c r="P72" s="504"/>
      <c r="Q72" s="504"/>
    </row>
    <row r="73" spans="1:17" s="117" customFormat="1" ht="15">
      <c r="A73" s="521" t="s">
        <v>2540</v>
      </c>
      <c r="B73" s="510"/>
      <c r="C73" s="522" t="s">
        <v>2642</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2578</v>
      </c>
      <c r="B75" s="528" t="s">
        <v>2544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2681</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2740</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2782</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2783</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2784</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2785</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2635</v>
      </c>
      <c r="B4" s="402"/>
      <c r="C4" s="3207" t="s">
        <v>2636</v>
      </c>
      <c r="D4" s="3208"/>
      <c r="E4" s="3209" t="s">
        <v>2637</v>
      </c>
      <c r="F4" s="3210"/>
      <c r="G4" s="3207" t="s">
        <v>2638</v>
      </c>
      <c r="H4" s="3208"/>
      <c r="I4" s="3207" t="s">
        <v>2639</v>
      </c>
      <c r="J4" s="3208"/>
      <c r="K4" s="610" t="s">
        <v>2640</v>
      </c>
      <c r="L4" s="1132"/>
      <c r="M4" s="1133"/>
      <c r="N4" s="1133"/>
      <c r="O4" s="1133"/>
      <c r="P4" s="3211" t="s">
        <v>2641</v>
      </c>
      <c r="Q4" s="3212"/>
      <c r="R4" s="3194" t="s">
        <v>2637</v>
      </c>
      <c r="S4" s="3195"/>
      <c r="T4" s="3194" t="s">
        <v>2638</v>
      </c>
      <c r="U4" s="3195"/>
      <c r="V4" s="3191" t="s">
        <v>2639</v>
      </c>
      <c r="W4" s="3191"/>
      <c r="X4" s="1815"/>
      <c r="Y4" s="3194" t="s">
        <v>2641</v>
      </c>
      <c r="Z4" s="3195"/>
      <c r="AA4" s="3188" t="s">
        <v>2637</v>
      </c>
      <c r="AB4" s="3189" t="s">
        <v>2638</v>
      </c>
      <c r="AC4" s="3188" t="s">
        <v>2639</v>
      </c>
    </row>
    <row r="5" spans="1:29" ht="15">
      <c r="A5" s="404"/>
      <c r="B5" s="405"/>
      <c r="C5" s="3200" t="s">
        <v>2532</v>
      </c>
      <c r="D5" s="3201"/>
      <c r="E5" s="3198" t="s">
        <v>2533</v>
      </c>
      <c r="F5" s="3199"/>
      <c r="G5" s="3200" t="s">
        <v>2534</v>
      </c>
      <c r="H5" s="3201"/>
      <c r="I5" s="3200" t="s">
        <v>2535</v>
      </c>
      <c r="J5" s="3201"/>
      <c r="K5" s="610"/>
      <c r="L5" s="1132"/>
      <c r="M5" s="1133"/>
      <c r="N5" s="1133"/>
      <c r="O5" s="1133"/>
      <c r="P5" s="3213"/>
      <c r="Q5" s="3214"/>
      <c r="R5" s="3196"/>
      <c r="S5" s="3197"/>
      <c r="T5" s="3196"/>
      <c r="U5" s="3197"/>
      <c r="V5" s="3191"/>
      <c r="W5" s="3191"/>
      <c r="X5" s="1815"/>
      <c r="Y5" s="3196"/>
      <c r="Z5" s="3197"/>
      <c r="AA5" s="3189"/>
      <c r="AB5" s="3189"/>
      <c r="AC5" s="3189"/>
    </row>
    <row r="6" spans="1:29" ht="15.75" thickBot="1">
      <c r="A6" s="406"/>
      <c r="B6" s="407"/>
      <c r="C6" s="3309" t="s">
        <v>2787</v>
      </c>
      <c r="D6" s="3310"/>
      <c r="E6" s="3311" t="s">
        <v>2787</v>
      </c>
      <c r="F6" s="3312"/>
      <c r="G6" s="3309" t="s">
        <v>2787</v>
      </c>
      <c r="H6" s="3310"/>
      <c r="I6" s="3309" t="s">
        <v>2787</v>
      </c>
      <c r="J6" s="3310"/>
      <c r="K6" s="610" t="s">
        <v>2537</v>
      </c>
      <c r="L6" s="1132"/>
      <c r="M6" s="1133"/>
      <c r="N6" s="1133"/>
      <c r="O6" s="1133"/>
      <c r="P6" s="3215"/>
      <c r="Q6" s="3216"/>
      <c r="R6" s="3196"/>
      <c r="S6" s="3197"/>
      <c r="T6" s="3217"/>
      <c r="U6" s="3218"/>
      <c r="V6" s="3191"/>
      <c r="W6" s="3191"/>
      <c r="X6" s="1815"/>
      <c r="Y6" s="3217"/>
      <c r="Z6" s="3218"/>
      <c r="AA6" s="3190"/>
      <c r="AB6" s="3190"/>
      <c r="AC6" s="3190"/>
    </row>
    <row r="7" spans="1:29" s="117" customFormat="1" ht="15.75" thickBot="1">
      <c r="A7" s="408" t="s">
        <v>2538</v>
      </c>
      <c r="B7" s="409"/>
      <c r="C7" s="410">
        <f>'数据-取费表'!B2</f>
        <v>43437</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192" t="s">
        <v>2539</v>
      </c>
      <c r="Q7" s="3219"/>
      <c r="R7" s="770" t="s">
        <v>17</v>
      </c>
      <c r="S7" s="771">
        <f t="shared" ref="S7:S15" si="0">F7</f>
        <v>0</v>
      </c>
      <c r="T7" s="770" t="s">
        <v>17</v>
      </c>
      <c r="U7" s="771">
        <f t="shared" ref="U7:U15" si="1">H7</f>
        <v>0</v>
      </c>
      <c r="V7" s="770" t="s">
        <v>17</v>
      </c>
      <c r="W7" s="771">
        <f t="shared" ref="W7:W15" si="2">J7</f>
        <v>0</v>
      </c>
      <c r="X7" s="772"/>
      <c r="Y7" s="3192" t="s">
        <v>2539</v>
      </c>
      <c r="Z7" s="3193"/>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2" t="s">
        <v>2542</v>
      </c>
      <c r="Q8" s="3193"/>
      <c r="R8" s="770" t="s">
        <v>17</v>
      </c>
      <c r="S8" s="771">
        <f t="shared" si="0"/>
        <v>0</v>
      </c>
      <c r="T8" s="770" t="s">
        <v>17</v>
      </c>
      <c r="U8" s="771">
        <f t="shared" si="1"/>
        <v>0</v>
      </c>
      <c r="V8" s="770" t="s">
        <v>17</v>
      </c>
      <c r="W8" s="771">
        <f t="shared" si="2"/>
        <v>0</v>
      </c>
      <c r="X8" s="772"/>
      <c r="Y8" s="3192" t="s">
        <v>2542</v>
      </c>
      <c r="Z8" s="3193"/>
      <c r="AA8" s="773" t="e">
        <f t="shared" ref="AA8:AA40" si="3">D8/F8</f>
        <v>#DIV/0!</v>
      </c>
      <c r="AB8" s="773" t="e">
        <f t="shared" ref="AB8:AB40" si="4">D8/H8</f>
        <v>#DIV/0!</v>
      </c>
      <c r="AC8" s="773" t="e">
        <f t="shared" ref="AC8:AC40" si="5">D8/J8</f>
        <v>#DIV/0!</v>
      </c>
    </row>
    <row r="9" spans="1:29" s="117" customFormat="1">
      <c r="A9" s="415" t="s">
        <v>2543</v>
      </c>
      <c r="B9" s="71" t="s">
        <v>2544</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229" t="s">
        <v>2545</v>
      </c>
      <c r="Q9" s="1797" t="str">
        <f t="shared" ref="Q9:Q15" si="6">B9</f>
        <v>用途</v>
      </c>
      <c r="R9" s="770" t="s">
        <v>17</v>
      </c>
      <c r="S9" s="771">
        <f t="shared" si="0"/>
        <v>100</v>
      </c>
      <c r="T9" s="770" t="s">
        <v>17</v>
      </c>
      <c r="U9" s="771">
        <f t="shared" si="1"/>
        <v>100</v>
      </c>
      <c r="V9" s="770" t="s">
        <v>17</v>
      </c>
      <c r="W9" s="771">
        <f t="shared" si="2"/>
        <v>100</v>
      </c>
      <c r="X9" s="772"/>
      <c r="Y9" s="306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108</v>
      </c>
      <c r="G10" s="432"/>
      <c r="H10" s="136">
        <f>ROUND(100/'数据-取费表'!G16,0)</f>
        <v>108</v>
      </c>
      <c r="I10" s="432"/>
      <c r="J10" s="136">
        <f>ROUND(100/'数据-取费表'!G16,0)</f>
        <v>108</v>
      </c>
      <c r="K10" s="672"/>
      <c r="L10" s="1137"/>
      <c r="M10" s="1138"/>
      <c r="N10" s="1138"/>
      <c r="O10" s="1139"/>
      <c r="P10" s="3229"/>
      <c r="Q10" s="1797" t="str">
        <f t="shared" si="6"/>
        <v>土地使用年限（年）</v>
      </c>
      <c r="R10" s="770" t="s">
        <v>17</v>
      </c>
      <c r="S10" s="771">
        <f t="shared" si="0"/>
        <v>108</v>
      </c>
      <c r="T10" s="770" t="s">
        <v>17</v>
      </c>
      <c r="U10" s="771">
        <f t="shared" si="1"/>
        <v>108</v>
      </c>
      <c r="V10" s="770" t="s">
        <v>17</v>
      </c>
      <c r="W10" s="771">
        <f t="shared" si="2"/>
        <v>108</v>
      </c>
      <c r="X10" s="772"/>
      <c r="Y10" s="3064"/>
      <c r="Z10" s="55" t="str">
        <f t="shared" si="7"/>
        <v>土地使用年限（年）</v>
      </c>
      <c r="AA10" s="773">
        <f t="shared" si="3"/>
        <v>0.92592592592592593</v>
      </c>
      <c r="AB10" s="773">
        <f t="shared" si="4"/>
        <v>0.92592592592592593</v>
      </c>
      <c r="AC10" s="773">
        <f t="shared" si="5"/>
        <v>0.92592592592592593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9"/>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9"/>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9"/>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9"/>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2549</v>
      </c>
      <c r="B15" s="629" t="s">
        <v>2788</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2" t="s">
        <v>2550</v>
      </c>
      <c r="Q15" s="1812" t="str">
        <f t="shared" si="6"/>
        <v>产业集聚程度</v>
      </c>
      <c r="R15" s="774" t="s">
        <v>17</v>
      </c>
      <c r="S15" s="775">
        <f t="shared" si="0"/>
        <v>100</v>
      </c>
      <c r="T15" s="774" t="s">
        <v>17</v>
      </c>
      <c r="U15" s="775">
        <f t="shared" si="1"/>
        <v>100</v>
      </c>
      <c r="V15" s="774" t="s">
        <v>17</v>
      </c>
      <c r="W15" s="775">
        <f t="shared" si="2"/>
        <v>100</v>
      </c>
      <c r="X15" s="1815"/>
      <c r="Y15" s="3222" t="s">
        <v>2550</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2"/>
      <c r="M16" s="1133"/>
      <c r="N16" s="1133"/>
      <c r="O16" s="1141"/>
      <c r="P16" s="3223"/>
      <c r="Q16" s="1812"/>
      <c r="R16" s="774"/>
      <c r="S16" s="775"/>
      <c r="T16" s="774"/>
      <c r="U16" s="775"/>
      <c r="V16" s="774"/>
      <c r="W16" s="775"/>
      <c r="X16" s="1815"/>
      <c r="Y16" s="3223"/>
      <c r="Z16" s="1816"/>
      <c r="AA16" s="1813">
        <v>1</v>
      </c>
      <c r="AB16" s="1813">
        <v>1</v>
      </c>
      <c r="AC16" s="1813">
        <v>1</v>
      </c>
    </row>
    <row r="17" spans="1:29" ht="15">
      <c r="A17" s="428"/>
      <c r="B17" s="631" t="s">
        <v>2699</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2"/>
      <c r="M18" s="1133"/>
      <c r="N18" s="1133"/>
      <c r="O18" s="1141"/>
      <c r="P18" s="3223"/>
      <c r="Q18" s="1812"/>
      <c r="R18" s="774"/>
      <c r="S18" s="775"/>
      <c r="T18" s="774"/>
      <c r="U18" s="775"/>
      <c r="V18" s="774"/>
      <c r="W18" s="775"/>
      <c r="X18" s="1815"/>
      <c r="Y18" s="3223"/>
      <c r="Z18" s="1816"/>
      <c r="AA18" s="1813">
        <v>1</v>
      </c>
      <c r="AB18" s="1813">
        <v>1</v>
      </c>
      <c r="AC18" s="1813">
        <v>1</v>
      </c>
    </row>
    <row r="19" spans="1:29" ht="15">
      <c r="A19" s="428"/>
      <c r="B19" s="631" t="s">
        <v>2738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3"/>
      <c r="Q19" s="1812" t="str">
        <f t="shared" ref="Q19:Q33" si="8">B19</f>
        <v>区域土地利用方向</v>
      </c>
      <c r="R19" s="774" t="s">
        <v>17</v>
      </c>
      <c r="S19" s="775">
        <f>F19</f>
        <v>100</v>
      </c>
      <c r="T19" s="774" t="s">
        <v>17</v>
      </c>
      <c r="U19" s="775">
        <f>H19</f>
        <v>100</v>
      </c>
      <c r="V19" s="774" t="s">
        <v>17</v>
      </c>
      <c r="W19" s="775">
        <f>J19</f>
        <v>100</v>
      </c>
      <c r="X19" s="1815"/>
      <c r="Y19" s="3223"/>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1"/>
      <c r="L20" s="1142"/>
      <c r="M20" s="1133"/>
      <c r="N20" s="1133"/>
      <c r="O20" s="1141"/>
      <c r="P20" s="3223"/>
      <c r="Q20" s="1812"/>
      <c r="R20" s="774"/>
      <c r="S20" s="775"/>
      <c r="T20" s="774"/>
      <c r="U20" s="775"/>
      <c r="V20" s="774"/>
      <c r="W20" s="775"/>
      <c r="X20" s="1815"/>
      <c r="Y20" s="3223"/>
      <c r="Z20" s="1816"/>
      <c r="AA20" s="1813"/>
      <c r="AB20" s="1813"/>
      <c r="AC20" s="1813"/>
    </row>
    <row r="21" spans="1:29" ht="15">
      <c r="A21" s="404"/>
      <c r="B21" s="631" t="s">
        <v>2789</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3"/>
      <c r="Q21" s="1812" t="str">
        <f t="shared" si="8"/>
        <v>环境状况</v>
      </c>
      <c r="R21" s="774" t="s">
        <v>17</v>
      </c>
      <c r="S21" s="775">
        <f>F21</f>
        <v>100</v>
      </c>
      <c r="T21" s="774" t="s">
        <v>17</v>
      </c>
      <c r="U21" s="775">
        <f>H21</f>
        <v>100</v>
      </c>
      <c r="V21" s="774" t="s">
        <v>17</v>
      </c>
      <c r="W21" s="775">
        <f>J21</f>
        <v>100</v>
      </c>
      <c r="X21" s="1815"/>
      <c r="Y21" s="3223"/>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2"/>
      <c r="M22" s="1133"/>
      <c r="N22" s="1133"/>
      <c r="O22" s="1141"/>
      <c r="P22" s="3223"/>
      <c r="Q22" s="1812"/>
      <c r="R22" s="774"/>
      <c r="S22" s="775"/>
      <c r="T22" s="774"/>
      <c r="U22" s="775"/>
      <c r="V22" s="774"/>
      <c r="W22" s="775"/>
      <c r="X22" s="1815"/>
      <c r="Y22" s="3223"/>
      <c r="Z22" s="1816"/>
      <c r="AA22" s="1813">
        <v>1</v>
      </c>
      <c r="AB22" s="1813">
        <v>1</v>
      </c>
      <c r="AC22" s="1813">
        <v>1</v>
      </c>
    </row>
    <row r="23" spans="1:29" s="117" customFormat="1" ht="15">
      <c r="A23" s="649"/>
      <c r="B23" s="633" t="s">
        <v>2644</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3"/>
      <c r="Q23" s="1797" t="str">
        <f t="shared" si="8"/>
        <v>公共配套设施</v>
      </c>
      <c r="R23" s="770" t="s">
        <v>17</v>
      </c>
      <c r="S23" s="771">
        <f>F23</f>
        <v>100</v>
      </c>
      <c r="T23" s="770" t="s">
        <v>17</v>
      </c>
      <c r="U23" s="771">
        <f>H23</f>
        <v>100</v>
      </c>
      <c r="V23" s="770" t="s">
        <v>17</v>
      </c>
      <c r="W23" s="771">
        <f>J23</f>
        <v>100</v>
      </c>
      <c r="X23" s="772"/>
      <c r="Y23" s="3223"/>
      <c r="Z23" s="55" t="str">
        <f>Q23</f>
        <v>公共配套设施</v>
      </c>
      <c r="AA23" s="1813">
        <f>D23/F23</f>
        <v>1</v>
      </c>
      <c r="AB23" s="1813">
        <f>D23/H23</f>
        <v>1</v>
      </c>
      <c r="AC23" s="1813">
        <f>D23/J23</f>
        <v>1</v>
      </c>
    </row>
    <row r="24" spans="1:29" s="117" customFormat="1" ht="15">
      <c r="A24" s="649"/>
      <c r="B24" s="632"/>
      <c r="C24" s="2703"/>
      <c r="D24" s="448"/>
      <c r="E24" s="2614"/>
      <c r="F24" s="448"/>
      <c r="G24" s="2614"/>
      <c r="H24" s="448"/>
      <c r="I24" s="447"/>
      <c r="J24" s="448"/>
      <c r="K24" s="672"/>
      <c r="L24" s="1134"/>
      <c r="M24" s="1135"/>
      <c r="N24" s="1135"/>
      <c r="O24" s="1136"/>
      <c r="P24" s="3223"/>
      <c r="Q24" s="1797"/>
      <c r="R24" s="770"/>
      <c r="S24" s="771"/>
      <c r="T24" s="770"/>
      <c r="U24" s="771"/>
      <c r="V24" s="770"/>
      <c r="W24" s="771"/>
      <c r="X24" s="772"/>
      <c r="Y24" s="3223"/>
      <c r="Z24" s="55"/>
      <c r="AA24" s="773">
        <v>1</v>
      </c>
      <c r="AB24" s="773">
        <v>1</v>
      </c>
      <c r="AC24" s="773">
        <v>1</v>
      </c>
    </row>
    <row r="25" spans="1:29" s="117" customFormat="1" ht="15">
      <c r="A25" s="649"/>
      <c r="B25" s="633" t="s">
        <v>2645</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3"/>
      <c r="Q25" s="1797"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3">
        <f>D25/F25</f>
        <v>1</v>
      </c>
      <c r="AB25" s="1813">
        <f>D25/H25</f>
        <v>1</v>
      </c>
      <c r="AC25" s="1813">
        <f>D25/J25</f>
        <v>1</v>
      </c>
    </row>
    <row r="26" spans="1:29" s="117" customFormat="1" ht="15">
      <c r="A26" s="649"/>
      <c r="B26" s="632"/>
      <c r="C26" s="2703"/>
      <c r="D26" s="448"/>
      <c r="E26" s="2704"/>
      <c r="F26" s="448"/>
      <c r="G26" s="2704"/>
      <c r="H26" s="448"/>
      <c r="I26" s="2704"/>
      <c r="J26" s="448"/>
      <c r="K26" s="672"/>
      <c r="L26" s="1134"/>
      <c r="M26" s="1135"/>
      <c r="N26" s="1135"/>
      <c r="O26" s="1136"/>
      <c r="P26" s="3223"/>
      <c r="Q26" s="1797"/>
      <c r="R26" s="770"/>
      <c r="S26" s="771"/>
      <c r="T26" s="770"/>
      <c r="U26" s="771"/>
      <c r="V26" s="770"/>
      <c r="W26" s="771"/>
      <c r="X26" s="772"/>
      <c r="Y26" s="3223"/>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3"/>
      <c r="Z27" s="1816" t="str">
        <f t="shared" ref="Z27:Z40" si="13">Q27</f>
        <v>临街状况</v>
      </c>
      <c r="AA27" s="1813">
        <f t="shared" si="3"/>
        <v>1</v>
      </c>
      <c r="AB27" s="1813">
        <f t="shared" si="4"/>
        <v>1</v>
      </c>
      <c r="AC27" s="1813">
        <f t="shared" si="5"/>
        <v>1</v>
      </c>
    </row>
    <row r="28" spans="1:29" ht="27">
      <c r="A28" s="428"/>
      <c r="B28" s="633" t="s">
        <v>2681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3"/>
      <c r="Q28" s="1812" t="str">
        <f t="shared" si="8"/>
        <v>毗邻道路的类型与等级</v>
      </c>
      <c r="R28" s="774" t="s">
        <v>17</v>
      </c>
      <c r="S28" s="775">
        <f t="shared" si="10"/>
        <v>100</v>
      </c>
      <c r="T28" s="774" t="s">
        <v>17</v>
      </c>
      <c r="U28" s="775">
        <f t="shared" si="11"/>
        <v>100</v>
      </c>
      <c r="V28" s="774" t="s">
        <v>17</v>
      </c>
      <c r="W28" s="775">
        <f t="shared" si="12"/>
        <v>100</v>
      </c>
      <c r="X28" s="1815"/>
      <c r="Y28" s="3223"/>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2"/>
      <c r="M29" s="1133"/>
      <c r="N29" s="1133"/>
      <c r="O29" s="1141"/>
      <c r="P29" s="3223"/>
      <c r="Q29" s="1812"/>
      <c r="R29" s="774"/>
      <c r="S29" s="775"/>
      <c r="T29" s="774"/>
      <c r="U29" s="775"/>
      <c r="V29" s="774"/>
      <c r="W29" s="775"/>
      <c r="X29" s="1815"/>
      <c r="Y29" s="3223"/>
      <c r="Z29" s="1816"/>
      <c r="AA29" s="1813">
        <v>1</v>
      </c>
      <c r="AB29" s="1813">
        <v>1</v>
      </c>
      <c r="AC29" s="1813">
        <v>1</v>
      </c>
    </row>
    <row r="30" spans="1:29" ht="15">
      <c r="A30" s="428"/>
      <c r="B30" s="654" t="s">
        <v>2740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3"/>
      <c r="Q30" s="1812" t="str">
        <f t="shared" si="8"/>
        <v>土地级别</v>
      </c>
      <c r="R30" s="774" t="s">
        <v>17</v>
      </c>
      <c r="S30" s="775">
        <f t="shared" si="10"/>
        <v>100</v>
      </c>
      <c r="T30" s="774" t="s">
        <v>17</v>
      </c>
      <c r="U30" s="775">
        <f t="shared" si="11"/>
        <v>100</v>
      </c>
      <c r="V30" s="774" t="s">
        <v>17</v>
      </c>
      <c r="W30" s="775">
        <f t="shared" si="12"/>
        <v>100</v>
      </c>
      <c r="X30" s="1815"/>
      <c r="Y30" s="3223"/>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3"/>
      <c r="Q31" s="1812">
        <f t="shared" si="8"/>
        <v>111</v>
      </c>
      <c r="R31" s="774" t="s">
        <v>17</v>
      </c>
      <c r="S31" s="775">
        <f t="shared" si="10"/>
        <v>100</v>
      </c>
      <c r="T31" s="774" t="s">
        <v>17</v>
      </c>
      <c r="U31" s="775">
        <f t="shared" si="11"/>
        <v>100</v>
      </c>
      <c r="V31" s="774" t="s">
        <v>17</v>
      </c>
      <c r="W31" s="775">
        <f t="shared" si="12"/>
        <v>100</v>
      </c>
      <c r="X31" s="1815"/>
      <c r="Y31" s="3223"/>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304" t="s">
        <v>2555</v>
      </c>
      <c r="Q32" s="1812">
        <f t="shared" si="8"/>
        <v>111</v>
      </c>
      <c r="R32" s="774" t="s">
        <v>17</v>
      </c>
      <c r="S32" s="775">
        <f t="shared" si="10"/>
        <v>100</v>
      </c>
      <c r="T32" s="774" t="s">
        <v>17</v>
      </c>
      <c r="U32" s="775">
        <f t="shared" si="11"/>
        <v>100</v>
      </c>
      <c r="V32" s="774" t="s">
        <v>17</v>
      </c>
      <c r="W32" s="775">
        <f t="shared" si="12"/>
        <v>100</v>
      </c>
      <c r="X32" s="1815"/>
      <c r="Y32" s="3227" t="s">
        <v>2555</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7"/>
      <c r="Q33" s="1812">
        <f t="shared" si="8"/>
        <v>111</v>
      </c>
      <c r="R33" s="777" t="s">
        <v>17</v>
      </c>
      <c r="S33" s="778">
        <f t="shared" si="10"/>
        <v>100</v>
      </c>
      <c r="T33" s="777" t="s">
        <v>17</v>
      </c>
      <c r="U33" s="778">
        <f t="shared" si="11"/>
        <v>100</v>
      </c>
      <c r="V33" s="777" t="s">
        <v>17</v>
      </c>
      <c r="W33" s="778">
        <f t="shared" si="12"/>
        <v>100</v>
      </c>
      <c r="X33" s="779"/>
      <c r="Y33" s="3227"/>
      <c r="Z33" s="780">
        <f t="shared" si="13"/>
        <v>111</v>
      </c>
      <c r="AA33" s="1813">
        <f t="shared" si="3"/>
        <v>1</v>
      </c>
      <c r="AB33" s="1813">
        <f t="shared" si="4"/>
        <v>1</v>
      </c>
      <c r="AC33" s="1813">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7"/>
      <c r="Q34" s="1812" t="str">
        <f>B34</f>
        <v>宗地面积</v>
      </c>
      <c r="R34" s="774" t="s">
        <v>17</v>
      </c>
      <c r="S34" s="775" t="e">
        <f t="shared" si="10"/>
        <v>#N/A</v>
      </c>
      <c r="T34" s="774" t="s">
        <v>17</v>
      </c>
      <c r="U34" s="775" t="e">
        <f t="shared" si="11"/>
        <v>#N/A</v>
      </c>
      <c r="V34" s="774" t="s">
        <v>17</v>
      </c>
      <c r="W34" s="775" t="e">
        <f t="shared" si="12"/>
        <v>#N/A</v>
      </c>
      <c r="X34" s="1815"/>
      <c r="Y34" s="3227"/>
      <c r="Z34" s="1816" t="str">
        <f t="shared" si="13"/>
        <v>宗地面积</v>
      </c>
      <c r="AA34" s="1813" t="e">
        <f t="shared" si="3"/>
        <v>#N/A</v>
      </c>
      <c r="AB34" s="1813" t="e">
        <f t="shared" si="4"/>
        <v>#N/A</v>
      </c>
      <c r="AC34" s="1813" t="e">
        <f t="shared" si="5"/>
        <v>#N/A</v>
      </c>
    </row>
    <row r="35" spans="1:29" ht="15">
      <c r="A35" s="472"/>
      <c r="B35" s="422" t="s">
        <v>2742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227"/>
      <c r="Q35" s="1812" t="str">
        <f t="shared" ref="Q35:Q40" si="14">B35</f>
        <v>宗地形状</v>
      </c>
      <c r="R35" s="774" t="s">
        <v>17</v>
      </c>
      <c r="S35" s="775">
        <f t="shared" si="10"/>
        <v>100</v>
      </c>
      <c r="T35" s="774" t="s">
        <v>17</v>
      </c>
      <c r="U35" s="775">
        <f t="shared" si="11"/>
        <v>100</v>
      </c>
      <c r="V35" s="774" t="s">
        <v>17</v>
      </c>
      <c r="W35" s="775">
        <f t="shared" si="12"/>
        <v>100</v>
      </c>
      <c r="X35" s="1815"/>
      <c r="Y35" s="3227"/>
      <c r="Z35" s="1816" t="str">
        <f t="shared" si="13"/>
        <v>宗地形状</v>
      </c>
      <c r="AA35" s="1813">
        <f t="shared" si="3"/>
        <v>1</v>
      </c>
      <c r="AB35" s="1813">
        <f t="shared" si="4"/>
        <v>1</v>
      </c>
      <c r="AC35" s="1813">
        <f t="shared" si="5"/>
        <v>1</v>
      </c>
    </row>
    <row r="36" spans="1:29" s="117" customFormat="1" ht="15">
      <c r="A36" s="473"/>
      <c r="B36" s="422" t="s">
        <v>2744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227"/>
      <c r="Q36" s="1812"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2745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227" t="s">
        <v>2555</v>
      </c>
      <c r="Q37" s="1812" t="str">
        <f t="shared" si="14"/>
        <v>工程地质条件</v>
      </c>
      <c r="R37" s="774" t="s">
        <v>17</v>
      </c>
      <c r="S37" s="775">
        <f t="shared" si="10"/>
        <v>100</v>
      </c>
      <c r="T37" s="774" t="s">
        <v>17</v>
      </c>
      <c r="U37" s="775">
        <f t="shared" si="11"/>
        <v>100</v>
      </c>
      <c r="V37" s="774" t="s">
        <v>17</v>
      </c>
      <c r="W37" s="775">
        <f t="shared" si="12"/>
        <v>100</v>
      </c>
      <c r="X37" s="1815"/>
      <c r="Y37" s="3227" t="s">
        <v>2555</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7"/>
      <c r="Q38" s="1812">
        <f t="shared" si="14"/>
        <v>111</v>
      </c>
      <c r="R38" s="774" t="s">
        <v>17</v>
      </c>
      <c r="S38" s="775">
        <f t="shared" si="10"/>
        <v>100</v>
      </c>
      <c r="T38" s="774" t="s">
        <v>17</v>
      </c>
      <c r="U38" s="775">
        <f t="shared" si="11"/>
        <v>100</v>
      </c>
      <c r="V38" s="774" t="s">
        <v>17</v>
      </c>
      <c r="W38" s="775">
        <f t="shared" si="12"/>
        <v>100</v>
      </c>
      <c r="X38" s="1815"/>
      <c r="Y38" s="322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7"/>
      <c r="Q39" s="1812">
        <f t="shared" si="14"/>
        <v>111</v>
      </c>
      <c r="R39" s="774" t="s">
        <v>17</v>
      </c>
      <c r="S39" s="775">
        <f t="shared" si="10"/>
        <v>100</v>
      </c>
      <c r="T39" s="774" t="s">
        <v>17</v>
      </c>
      <c r="U39" s="775">
        <f t="shared" si="11"/>
        <v>100</v>
      </c>
      <c r="V39" s="774" t="s">
        <v>17</v>
      </c>
      <c r="W39" s="775">
        <f t="shared" si="12"/>
        <v>100</v>
      </c>
      <c r="X39" s="1815"/>
      <c r="Y39" s="3227"/>
      <c r="Z39" s="1816">
        <f t="shared" si="13"/>
        <v>111</v>
      </c>
      <c r="AA39" s="1813">
        <f t="shared" si="3"/>
        <v>1</v>
      </c>
      <c r="AB39" s="1813">
        <f t="shared" si="4"/>
        <v>1</v>
      </c>
      <c r="AC39" s="1813">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7"/>
      <c r="Q40" s="1812">
        <f t="shared" si="14"/>
        <v>111</v>
      </c>
      <c r="R40" s="777" t="s">
        <v>17</v>
      </c>
      <c r="S40" s="778">
        <f t="shared" si="10"/>
        <v>100</v>
      </c>
      <c r="T40" s="777" t="s">
        <v>17</v>
      </c>
      <c r="U40" s="778">
        <f t="shared" si="11"/>
        <v>100</v>
      </c>
      <c r="V40" s="777" t="s">
        <v>17</v>
      </c>
      <c r="W40" s="778">
        <f t="shared" si="12"/>
        <v>100</v>
      </c>
      <c r="X40" s="779"/>
      <c r="Y40" s="3227"/>
      <c r="Z40" s="780">
        <f t="shared" si="13"/>
        <v>111</v>
      </c>
      <c r="AA40" s="1813">
        <f t="shared" si="3"/>
        <v>1</v>
      </c>
      <c r="AB40" s="1813">
        <f t="shared" si="4"/>
        <v>1</v>
      </c>
      <c r="AC40" s="1813">
        <f t="shared" si="5"/>
        <v>1</v>
      </c>
    </row>
    <row r="41" spans="1:29" ht="15">
      <c r="A41" s="479" t="s">
        <v>2710</v>
      </c>
      <c r="B41" s="2707" t="s">
        <v>2790</v>
      </c>
      <c r="C41" s="682" t="s">
        <v>1</v>
      </c>
      <c r="D41" s="481"/>
      <c r="E41" s="482"/>
      <c r="F41" s="483"/>
      <c r="G41" s="484"/>
      <c r="H41" s="485"/>
      <c r="I41" s="482"/>
      <c r="J41" s="485"/>
      <c r="K41" s="783"/>
      <c r="L41" s="1145"/>
      <c r="M41" s="1133"/>
      <c r="N41" s="1133"/>
      <c r="O41" s="1146"/>
      <c r="P41" s="3229" t="str">
        <f>A41</f>
        <v>成交单价</v>
      </c>
      <c r="Q41" s="3229"/>
      <c r="R41" s="3191">
        <f>E41</f>
        <v>0</v>
      </c>
      <c r="S41" s="3191"/>
      <c r="T41" s="3191">
        <f>G41</f>
        <v>0</v>
      </c>
      <c r="U41" s="3191"/>
      <c r="V41" s="3191">
        <f>I41</f>
        <v>0</v>
      </c>
      <c r="W41" s="3191"/>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5"/>
      <c r="M42" s="1133"/>
      <c r="N42" s="1133"/>
      <c r="O42" s="1146"/>
      <c r="P42" s="3229" t="str">
        <f>A42</f>
        <v>比较价值（元/平方米）</v>
      </c>
      <c r="Q42" s="3229"/>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5"/>
      <c r="M43" s="1133"/>
      <c r="N43" s="1133"/>
      <c r="O43" s="1146"/>
      <c r="P43" s="3231" t="str">
        <f>A43</f>
        <v>估价对象XX用房的比较价值（楼面单价，元/平方米）</v>
      </c>
      <c r="Q43" s="3232"/>
      <c r="R43" s="3306" t="e">
        <f>ROUND(AVERAGE(R42:V42),0)</f>
        <v>#DIV/0!</v>
      </c>
      <c r="S43" s="3306"/>
      <c r="T43" s="3306"/>
      <c r="U43" s="3306"/>
      <c r="V43" s="3306"/>
      <c r="W43" s="330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2748</v>
      </c>
      <c r="B50" s="685" t="s">
        <v>2749</v>
      </c>
      <c r="C50" s="2708" t="s">
        <v>2750</v>
      </c>
      <c r="D50" s="2709" t="s">
        <v>2751</v>
      </c>
      <c r="E50" s="686" t="s">
        <v>2752</v>
      </c>
      <c r="F50" s="687" t="s">
        <v>2753</v>
      </c>
      <c r="G50" s="3207" t="s">
        <v>2754</v>
      </c>
      <c r="H50" s="3307"/>
      <c r="I50" s="1816" t="s">
        <v>2791</v>
      </c>
      <c r="J50" s="1816">
        <f>项目基本情况!F35</f>
        <v>0</v>
      </c>
      <c r="K50" s="2711" t="s">
        <v>2756</v>
      </c>
      <c r="L50" s="1108"/>
      <c r="M50" s="1146"/>
      <c r="N50" s="1146"/>
      <c r="O50" s="1146"/>
    </row>
    <row r="51" spans="1:17" s="692" customFormat="1">
      <c r="A51" s="688" t="s">
        <v>2757</v>
      </c>
      <c r="B51" s="689" t="e">
        <f>C43</f>
        <v>#DIV/0!</v>
      </c>
      <c r="C51" s="690">
        <v>1</v>
      </c>
      <c r="D51" s="1165">
        <v>1</v>
      </c>
      <c r="E51" s="690">
        <f>'数据-汇总表'!E8+'数据-汇总表'!E9</f>
        <v>2351.85</v>
      </c>
      <c r="F51" s="691" t="e">
        <f t="shared" ref="F51:F60" si="15">ROUND(B51*E51/10000,0)</f>
        <v>#DIV/0!</v>
      </c>
      <c r="G51" s="3206"/>
      <c r="H51" s="3229"/>
      <c r="I51" s="944">
        <v>1</v>
      </c>
      <c r="J51" s="944">
        <v>1</v>
      </c>
      <c r="K51" s="1147"/>
      <c r="L51" s="943"/>
      <c r="M51" s="943"/>
      <c r="N51" s="943"/>
      <c r="O51" s="943"/>
    </row>
    <row r="52" spans="1:17" s="692" customFormat="1">
      <c r="A52" s="693" t="s">
        <v>2758</v>
      </c>
      <c r="B52" s="262" t="e">
        <f>ROUND($C$43*C52*D52,0)</f>
        <v>#DIV/0!</v>
      </c>
      <c r="C52" s="200">
        <f t="shared" ref="C52:C60" si="16">IF($C$50="北京市系数",I52,J52)</f>
        <v>0.6</v>
      </c>
      <c r="D52" s="1166">
        <v>0.25</v>
      </c>
      <c r="E52" s="694"/>
      <c r="F52" s="691" t="e">
        <f t="shared" si="15"/>
        <v>#DIV/0!</v>
      </c>
      <c r="G52" s="3308" t="s">
        <v>2759</v>
      </c>
      <c r="H52" s="1106" t="str">
        <f>项目基本情况!B37</f>
        <v>八级</v>
      </c>
      <c r="I52" s="944">
        <f>SUMIF(修正!A45:A56,H52,修正!B45:B56)</f>
        <v>0.6</v>
      </c>
      <c r="J52" s="945"/>
      <c r="K52" s="1146"/>
      <c r="L52" s="943"/>
      <c r="M52" s="943"/>
      <c r="N52" s="943"/>
      <c r="O52" s="943"/>
    </row>
    <row r="53" spans="1:17" s="692" customFormat="1">
      <c r="A53" s="693" t="s">
        <v>2760</v>
      </c>
      <c r="B53" s="262" t="e">
        <f t="shared" ref="B53:B60" si="17">ROUND($C$43*C53*D53,0)</f>
        <v>#DIV/0!</v>
      </c>
      <c r="C53" s="200">
        <f t="shared" si="16"/>
        <v>0.3</v>
      </c>
      <c r="D53" s="1166">
        <v>0.25</v>
      </c>
      <c r="E53" s="694"/>
      <c r="F53" s="691" t="e">
        <f t="shared" si="15"/>
        <v>#DIV/0!</v>
      </c>
      <c r="G53" s="3308"/>
      <c r="H53" s="1106" t="str">
        <f>项目基本情况!B37</f>
        <v>八级</v>
      </c>
      <c r="I53" s="944">
        <f>SUMIF(修正!A45:A56,H53,修正!C45:C56)</f>
        <v>0.3</v>
      </c>
      <c r="J53" s="945"/>
      <c r="K53" s="1147"/>
      <c r="L53" s="943"/>
      <c r="M53" s="943"/>
      <c r="N53" s="943"/>
      <c r="O53" s="943"/>
    </row>
    <row r="54" spans="1:17" s="692" customFormat="1">
      <c r="A54" s="693" t="s">
        <v>2761</v>
      </c>
      <c r="B54" s="262" t="e">
        <f t="shared" si="17"/>
        <v>#DIV/0!</v>
      </c>
      <c r="C54" s="200">
        <f t="shared" si="16"/>
        <v>0.2</v>
      </c>
      <c r="D54" s="1166">
        <v>0.25</v>
      </c>
      <c r="E54" s="694"/>
      <c r="F54" s="691" t="e">
        <f t="shared" si="15"/>
        <v>#DIV/0!</v>
      </c>
      <c r="G54" s="3308"/>
      <c r="H54" s="1106" t="str">
        <f>项目基本情况!B37</f>
        <v>八级</v>
      </c>
      <c r="I54" s="944">
        <f>SUMIF(修正!A45:A56,H54,修正!D45:D56)</f>
        <v>0.2</v>
      </c>
      <c r="J54" s="945"/>
      <c r="K54" s="1146"/>
      <c r="L54" s="943"/>
      <c r="M54" s="943"/>
      <c r="N54" s="943"/>
      <c r="O54" s="943"/>
    </row>
    <row r="55" spans="1:17" s="692" customFormat="1">
      <c r="A55" s="693" t="s">
        <v>2762</v>
      </c>
      <c r="B55" s="262" t="e">
        <f t="shared" si="17"/>
        <v>#DIV/0!</v>
      </c>
      <c r="C55" s="200">
        <f t="shared" si="16"/>
        <v>0.2</v>
      </c>
      <c r="D55" s="1166">
        <v>0.25</v>
      </c>
      <c r="E55" s="694"/>
      <c r="F55" s="691" t="e">
        <f t="shared" si="15"/>
        <v>#DIV/0!</v>
      </c>
      <c r="G55" s="3308"/>
      <c r="H55" s="1106" t="str">
        <f>项目基本情况!B37</f>
        <v>八级</v>
      </c>
      <c r="I55" s="944">
        <f>SUMIF(修正!A45:A56,H55,修正!E45:E56)</f>
        <v>0.2</v>
      </c>
      <c r="J55" s="945"/>
      <c r="K55" s="1147"/>
      <c r="L55" s="943"/>
      <c r="M55" s="943"/>
      <c r="N55" s="943"/>
      <c r="O55" s="943"/>
    </row>
    <row r="56" spans="1:17" s="692" customFormat="1">
      <c r="A56" s="693" t="s">
        <v>2763</v>
      </c>
      <c r="B56" s="262" t="e">
        <f t="shared" si="17"/>
        <v>#DIV/0!</v>
      </c>
      <c r="C56" s="200">
        <f t="shared" si="16"/>
        <v>0</v>
      </c>
      <c r="D56" s="1166">
        <v>0.25</v>
      </c>
      <c r="E56" s="261">
        <f>'数据-汇总表'!E11</f>
        <v>0</v>
      </c>
      <c r="F56" s="691" t="e">
        <f t="shared" si="15"/>
        <v>#DIV/0!</v>
      </c>
      <c r="G56" s="2712" t="s">
        <v>2764</v>
      </c>
      <c r="H56" s="1106">
        <f>项目基本情况!C37</f>
        <v>0</v>
      </c>
      <c r="I56" s="944">
        <f>SUMIF(修正!A45:A56,H56,修正!F45:F56)</f>
        <v>0</v>
      </c>
      <c r="J56" s="945"/>
      <c r="K56" s="1146"/>
      <c r="L56" s="943"/>
      <c r="M56" s="943"/>
      <c r="N56" s="943"/>
      <c r="O56" s="943"/>
    </row>
    <row r="57" spans="1:17" s="692" customFormat="1">
      <c r="A57" s="693" t="s">
        <v>2765</v>
      </c>
      <c r="B57" s="262" t="e">
        <f t="shared" si="17"/>
        <v>#DIV/0!</v>
      </c>
      <c r="C57" s="200">
        <f t="shared" si="16"/>
        <v>0</v>
      </c>
      <c r="D57" s="1166">
        <v>0.25</v>
      </c>
      <c r="E57" s="261">
        <f>'数据-汇总表'!E12</f>
        <v>3174.420000000001</v>
      </c>
      <c r="F57" s="691" t="e">
        <f t="shared" si="15"/>
        <v>#DIV/0!</v>
      </c>
      <c r="G57" s="1111" t="s">
        <v>2766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2767</v>
      </c>
      <c r="B58" s="262" t="e">
        <f t="shared" si="17"/>
        <v>#DIV/0!</v>
      </c>
      <c r="C58" s="200">
        <f t="shared" si="16"/>
        <v>0.15</v>
      </c>
      <c r="D58" s="1166">
        <v>0.25</v>
      </c>
      <c r="E58" s="261">
        <f>'数据-汇总表'!E13</f>
        <v>0</v>
      </c>
      <c r="F58" s="691" t="e">
        <f t="shared" si="15"/>
        <v>#DIV/0!</v>
      </c>
      <c r="G58" s="1111" t="s">
        <v>2768</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2769</v>
      </c>
      <c r="B59" s="262" t="e">
        <f t="shared" si="17"/>
        <v>#DIV/0!</v>
      </c>
      <c r="C59" s="200">
        <f t="shared" si="16"/>
        <v>0.15</v>
      </c>
      <c r="D59" s="1166">
        <v>0.25</v>
      </c>
      <c r="E59" s="261">
        <f>'数据-汇总表'!E14</f>
        <v>133.35999999999999</v>
      </c>
      <c r="F59" s="691" t="e">
        <f t="shared" si="15"/>
        <v>#DIV/0!</v>
      </c>
      <c r="G59" s="2712" t="s">
        <v>2759</v>
      </c>
      <c r="H59" s="1106" t="str">
        <f>项目基本情况!B37</f>
        <v>八级</v>
      </c>
      <c r="I59" s="944">
        <f>SUMIF(修正!A45:A56,H59,修正!H45:H56)</f>
        <v>0.15</v>
      </c>
      <c r="J59" s="945"/>
      <c r="K59" s="1147"/>
      <c r="L59" s="943"/>
      <c r="M59" s="943"/>
      <c r="N59" s="943"/>
      <c r="O59" s="943"/>
    </row>
    <row r="60" spans="1:17" s="692" customFormat="1" ht="15" thickBot="1">
      <c r="A60" s="693" t="s">
        <v>2770</v>
      </c>
      <c r="B60" s="262" t="e">
        <f t="shared" si="17"/>
        <v>#DIV/0!</v>
      </c>
      <c r="C60" s="200">
        <f t="shared" si="16"/>
        <v>0</v>
      </c>
      <c r="D60" s="1166">
        <v>0.25</v>
      </c>
      <c r="E60" s="261">
        <f>'数据-汇总表'!E15</f>
        <v>0</v>
      </c>
      <c r="F60" s="691" t="e">
        <f t="shared" si="15"/>
        <v>#DIV/0!</v>
      </c>
      <c r="G60" s="2713" t="s">
        <v>2764</v>
      </c>
      <c r="H60" s="1116">
        <f>项目基本情况!C37</f>
        <v>0</v>
      </c>
      <c r="I60" s="944">
        <f>SUMIF(修正!A45:A56,H60,修正!H45:H56)</f>
        <v>0</v>
      </c>
      <c r="J60" s="945"/>
      <c r="K60" s="1146"/>
      <c r="L60" s="943"/>
      <c r="M60" s="943"/>
      <c r="N60" s="943"/>
      <c r="O60" s="943"/>
    </row>
    <row r="61" spans="1:17" s="692" customFormat="1" ht="15" thickBot="1">
      <c r="A61" s="695" t="s">
        <v>2771</v>
      </c>
      <c r="B61" s="696" t="s">
        <v>28</v>
      </c>
      <c r="C61" s="696" t="s">
        <v>29</v>
      </c>
      <c r="D61" s="696" t="s">
        <v>1026</v>
      </c>
      <c r="E61" s="696">
        <f>IF(B41="楼面地价",SUM(E51:E60),'数据-汇总表'!D3)</f>
        <v>2126.73</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2664</v>
      </c>
      <c r="B64" s="759"/>
      <c r="C64" s="764"/>
      <c r="D64" s="764"/>
      <c r="E64" s="764"/>
      <c r="F64" s="765"/>
      <c r="G64" s="765"/>
      <c r="H64" s="764"/>
      <c r="I64" s="764"/>
      <c r="J64" s="764"/>
      <c r="K64" s="766"/>
      <c r="L64" s="767"/>
      <c r="M64" s="764"/>
      <c r="N64" s="764"/>
      <c r="O64" s="1161"/>
      <c r="P64" s="503"/>
      <c r="Q64" s="504"/>
    </row>
    <row r="65" spans="1:17" s="508" customFormat="1" ht="15">
      <c r="A65" s="2714" t="s">
        <v>2772</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9" t="s">
        <v>2792</v>
      </c>
      <c r="B66" s="332" t="str">
        <f>"北京市平均增长率"&amp;TEXT('基准地价修正（商业）'!P24,"0.00%")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2578</v>
      </c>
      <c r="B70" s="528" t="s">
        <v>2544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2681</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3" t="s">
        <v>183</v>
      </c>
      <c r="B18" s="881" t="s">
        <v>560</v>
      </c>
      <c r="C18" s="882" t="s">
        <v>561</v>
      </c>
      <c r="D18" s="883"/>
      <c r="E18" s="881">
        <v>1</v>
      </c>
      <c r="F18" s="884" t="s">
        <v>562</v>
      </c>
      <c r="G18" s="885"/>
      <c r="H18" s="877"/>
      <c r="I18" s="877"/>
    </row>
    <row r="19" spans="1:9" s="886" customFormat="1" ht="19.5" customHeight="1">
      <c r="A19" s="3313"/>
      <c r="B19" s="3313" t="s">
        <v>563</v>
      </c>
      <c r="C19" s="882" t="s">
        <v>564</v>
      </c>
      <c r="D19" s="883"/>
      <c r="E19" s="881">
        <v>0.9</v>
      </c>
      <c r="F19" s="884" t="s">
        <v>565</v>
      </c>
      <c r="G19" s="885"/>
      <c r="H19" s="877"/>
      <c r="I19" s="877"/>
    </row>
    <row r="20" spans="1:9" s="886" customFormat="1" ht="19.5" customHeight="1">
      <c r="A20" s="3313"/>
      <c r="B20" s="3313"/>
      <c r="C20" s="882" t="s">
        <v>566</v>
      </c>
      <c r="D20" s="883"/>
      <c r="E20" s="881">
        <v>1.1000000000000001</v>
      </c>
      <c r="F20" s="884" t="s">
        <v>567</v>
      </c>
      <c r="G20" s="885"/>
      <c r="H20" s="877"/>
      <c r="I20" s="877"/>
    </row>
    <row r="21" spans="1:9" s="886" customFormat="1" ht="19.5" customHeight="1">
      <c r="A21" s="3313"/>
      <c r="B21" s="3313"/>
      <c r="C21" s="882" t="s">
        <v>568</v>
      </c>
      <c r="D21" s="883"/>
      <c r="E21" s="881">
        <v>0.8</v>
      </c>
      <c r="F21" s="884" t="s">
        <v>569</v>
      </c>
      <c r="G21" s="885"/>
      <c r="H21" s="877"/>
      <c r="I21" s="877"/>
    </row>
    <row r="22" spans="1:9" s="886" customFormat="1" ht="19.5" customHeight="1">
      <c r="A22" s="3313"/>
      <c r="B22" s="3313"/>
      <c r="C22" s="882" t="s">
        <v>570</v>
      </c>
      <c r="D22" s="883"/>
      <c r="E22" s="881">
        <v>0.5</v>
      </c>
      <c r="F22" s="884"/>
      <c r="G22" s="885"/>
      <c r="H22" s="877"/>
      <c r="I22" s="877"/>
    </row>
    <row r="23" spans="1:9" s="886" customFormat="1" ht="19.5" customHeight="1">
      <c r="A23" s="3313" t="s">
        <v>184</v>
      </c>
      <c r="B23" s="881" t="s">
        <v>560</v>
      </c>
      <c r="C23" s="882" t="s">
        <v>571</v>
      </c>
      <c r="D23" s="883"/>
      <c r="E23" s="881">
        <v>1</v>
      </c>
      <c r="F23" s="884" t="s">
        <v>572</v>
      </c>
      <c r="G23" s="885"/>
      <c r="H23" s="877"/>
      <c r="I23" s="877"/>
    </row>
    <row r="24" spans="1:9" s="886" customFormat="1" ht="19.5" customHeight="1">
      <c r="A24" s="3313"/>
      <c r="B24" s="3313" t="s">
        <v>563</v>
      </c>
      <c r="C24" s="882" t="s">
        <v>573</v>
      </c>
      <c r="D24" s="883"/>
      <c r="E24" s="881">
        <v>0.5</v>
      </c>
      <c r="F24" s="884"/>
      <c r="G24" s="885"/>
      <c r="H24" s="877"/>
      <c r="I24" s="877"/>
    </row>
    <row r="25" spans="1:9" s="886" customFormat="1" ht="19.5" customHeight="1">
      <c r="A25" s="3313"/>
      <c r="B25" s="3313"/>
      <c r="C25" s="882" t="s">
        <v>574</v>
      </c>
      <c r="D25" s="883"/>
      <c r="E25" s="881">
        <v>1.1000000000000001</v>
      </c>
      <c r="F25" s="884"/>
      <c r="G25" s="885"/>
      <c r="H25" s="877"/>
      <c r="I25" s="877"/>
    </row>
    <row r="26" spans="1:9" s="886" customFormat="1" ht="19.5" customHeight="1">
      <c r="A26" s="3313"/>
      <c r="B26" s="3313"/>
      <c r="C26" s="882" t="s">
        <v>575</v>
      </c>
      <c r="D26" s="883"/>
      <c r="E26" s="881">
        <v>1.1000000000000001</v>
      </c>
      <c r="F26" s="884"/>
      <c r="G26" s="885"/>
      <c r="H26" s="877"/>
      <c r="I26" s="877"/>
    </row>
    <row r="27" spans="1:9" s="886" customFormat="1" ht="19.5" customHeight="1">
      <c r="A27" s="3313"/>
      <c r="B27" s="3313"/>
      <c r="C27" s="882" t="s">
        <v>576</v>
      </c>
      <c r="D27" s="883"/>
      <c r="E27" s="881">
        <v>0.9</v>
      </c>
      <c r="F27" s="884" t="s">
        <v>577</v>
      </c>
      <c r="G27" s="885"/>
      <c r="H27" s="877"/>
      <c r="I27" s="877"/>
    </row>
    <row r="28" spans="1:9" s="886" customFormat="1" ht="19.5" customHeight="1">
      <c r="A28" s="3313"/>
      <c r="B28" s="3313"/>
      <c r="C28" s="882" t="s">
        <v>578</v>
      </c>
      <c r="D28" s="883"/>
      <c r="E28" s="881">
        <v>0.9</v>
      </c>
      <c r="F28" s="884" t="s">
        <v>579</v>
      </c>
      <c r="G28" s="885"/>
      <c r="H28" s="877"/>
      <c r="I28" s="877"/>
    </row>
    <row r="29" spans="1:9" s="886" customFormat="1" ht="19.5" customHeight="1">
      <c r="A29" s="3313"/>
      <c r="B29" s="3313"/>
      <c r="C29" s="882" t="s">
        <v>580</v>
      </c>
      <c r="D29" s="883"/>
      <c r="E29" s="881">
        <v>0.9</v>
      </c>
      <c r="F29" s="884" t="s">
        <v>581</v>
      </c>
      <c r="G29" s="885"/>
      <c r="H29" s="877"/>
      <c r="I29" s="877"/>
    </row>
    <row r="30" spans="1:9" s="886" customFormat="1" ht="19.5" customHeight="1">
      <c r="A30" s="3313"/>
      <c r="B30" s="3313"/>
      <c r="C30" s="882" t="s">
        <v>582</v>
      </c>
      <c r="D30" s="883"/>
      <c r="E30" s="881">
        <v>0.9</v>
      </c>
      <c r="F30" s="884" t="s">
        <v>583</v>
      </c>
      <c r="G30" s="885"/>
      <c r="H30" s="877"/>
      <c r="I30" s="877"/>
    </row>
    <row r="31" spans="1:9" s="886" customFormat="1" ht="19.5" customHeight="1">
      <c r="A31" s="3313"/>
      <c r="B31" s="3313"/>
      <c r="C31" s="882" t="s">
        <v>584</v>
      </c>
      <c r="D31" s="883"/>
      <c r="E31" s="881">
        <v>0.8</v>
      </c>
      <c r="F31" s="884" t="s">
        <v>585</v>
      </c>
      <c r="G31" s="885"/>
      <c r="H31" s="877"/>
      <c r="I31" s="877"/>
    </row>
    <row r="32" spans="1:9" s="886" customFormat="1" ht="19.5" customHeight="1">
      <c r="A32" s="3313"/>
      <c r="B32" s="3313"/>
      <c r="C32" s="882" t="s">
        <v>586</v>
      </c>
      <c r="D32" s="883"/>
      <c r="E32" s="881">
        <v>0.8</v>
      </c>
      <c r="F32" s="884" t="s">
        <v>587</v>
      </c>
      <c r="G32" s="885"/>
      <c r="H32" s="877"/>
      <c r="I32" s="877"/>
    </row>
    <row r="33" spans="1:9" s="886" customFormat="1" ht="19.5" customHeight="1">
      <c r="A33" s="3313" t="s">
        <v>185</v>
      </c>
      <c r="B33" s="881" t="s">
        <v>560</v>
      </c>
      <c r="C33" s="882" t="s">
        <v>588</v>
      </c>
      <c r="D33" s="883"/>
      <c r="E33" s="881">
        <v>1</v>
      </c>
      <c r="F33" s="884" t="s">
        <v>589</v>
      </c>
      <c r="G33" s="885"/>
      <c r="H33" s="877"/>
      <c r="I33" s="877"/>
    </row>
    <row r="34" spans="1:9" s="886" customFormat="1" ht="19.5" customHeight="1">
      <c r="A34" s="3313"/>
      <c r="B34" s="881" t="s">
        <v>563</v>
      </c>
      <c r="C34" s="882" t="s">
        <v>590</v>
      </c>
      <c r="D34" s="883"/>
      <c r="E34" s="881">
        <v>1.5</v>
      </c>
      <c r="F34" s="884" t="s">
        <v>591</v>
      </c>
      <c r="G34" s="885"/>
      <c r="H34" s="877"/>
      <c r="I34" s="877"/>
    </row>
    <row r="35" spans="1:9" s="886" customFormat="1" ht="19.5" customHeight="1">
      <c r="A35" s="3313" t="s">
        <v>186</v>
      </c>
      <c r="B35" s="881" t="s">
        <v>560</v>
      </c>
      <c r="C35" s="882" t="s">
        <v>592</v>
      </c>
      <c r="D35" s="883"/>
      <c r="E35" s="881">
        <v>1</v>
      </c>
      <c r="F35" s="884" t="s">
        <v>593</v>
      </c>
      <c r="G35" s="885"/>
      <c r="H35" s="877"/>
      <c r="I35" s="877"/>
    </row>
    <row r="36" spans="1:9" s="886" customFormat="1" ht="19.5" customHeight="1">
      <c r="A36" s="3313"/>
      <c r="B36" s="3313" t="s">
        <v>563</v>
      </c>
      <c r="C36" s="882" t="s">
        <v>594</v>
      </c>
      <c r="D36" s="883"/>
      <c r="E36" s="881">
        <v>1</v>
      </c>
      <c r="F36" s="884" t="s">
        <v>595</v>
      </c>
      <c r="G36" s="885"/>
      <c r="H36" s="877"/>
      <c r="I36" s="877"/>
    </row>
    <row r="37" spans="1:9" s="886" customFormat="1" ht="19.5" customHeight="1">
      <c r="A37" s="3313"/>
      <c r="B37" s="3313"/>
      <c r="C37" s="882" t="s">
        <v>596</v>
      </c>
      <c r="D37" s="883"/>
      <c r="E37" s="881">
        <v>1.5</v>
      </c>
      <c r="F37" s="884" t="s">
        <v>597</v>
      </c>
      <c r="G37" s="885"/>
      <c r="H37" s="877"/>
      <c r="I37" s="877"/>
    </row>
    <row r="38" spans="1:9" s="886" customFormat="1" ht="19.5" customHeight="1">
      <c r="A38" s="3313"/>
      <c r="B38" s="3313"/>
      <c r="C38" s="882" t="s">
        <v>598</v>
      </c>
      <c r="D38" s="883"/>
      <c r="E38" s="881">
        <v>1</v>
      </c>
      <c r="F38" s="884" t="s">
        <v>599</v>
      </c>
      <c r="G38" s="885"/>
      <c r="H38" s="877"/>
      <c r="I38" s="877"/>
    </row>
    <row r="39" spans="1:9" s="886" customFormat="1" ht="19.5" customHeight="1">
      <c r="A39" s="3313"/>
      <c r="B39" s="33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3" t="s">
        <v>614</v>
      </c>
      <c r="C61" s="817" t="s">
        <v>615</v>
      </c>
      <c r="D61" s="817" t="s">
        <v>616</v>
      </c>
      <c r="E61" s="894">
        <v>0.5</v>
      </c>
      <c r="F61" s="881">
        <v>80</v>
      </c>
    </row>
    <row r="62" spans="1:8" s="877" customFormat="1" ht="24">
      <c r="A62" s="881">
        <v>2</v>
      </c>
      <c r="B62" s="3313"/>
      <c r="C62" s="817" t="s">
        <v>617</v>
      </c>
      <c r="D62" s="817" t="s">
        <v>618</v>
      </c>
      <c r="E62" s="894">
        <v>0.5</v>
      </c>
      <c r="F62" s="881">
        <v>80</v>
      </c>
    </row>
    <row r="63" spans="1:8" s="877" customFormat="1" ht="36">
      <c r="A63" s="881">
        <v>3</v>
      </c>
      <c r="B63" s="3313"/>
      <c r="C63" s="817" t="s">
        <v>619</v>
      </c>
      <c r="D63" s="817" t="s">
        <v>620</v>
      </c>
      <c r="E63" s="894">
        <v>0.5</v>
      </c>
      <c r="F63" s="881">
        <v>80</v>
      </c>
    </row>
    <row r="64" spans="1:8" s="877" customFormat="1" ht="36">
      <c r="A64" s="881">
        <v>4</v>
      </c>
      <c r="B64" s="3313"/>
      <c r="C64" s="817" t="s">
        <v>621</v>
      </c>
      <c r="D64" s="817" t="s">
        <v>622</v>
      </c>
      <c r="E64" s="894">
        <v>0.4</v>
      </c>
      <c r="F64" s="881">
        <v>60</v>
      </c>
    </row>
    <row r="65" spans="1:6" s="877" customFormat="1" ht="36">
      <c r="A65" s="881">
        <v>5</v>
      </c>
      <c r="B65" s="3313"/>
      <c r="C65" s="817" t="s">
        <v>623</v>
      </c>
      <c r="D65" s="817" t="s">
        <v>624</v>
      </c>
      <c r="E65" s="894">
        <v>0.2</v>
      </c>
      <c r="F65" s="881">
        <v>30</v>
      </c>
    </row>
    <row r="66" spans="1:6" s="877" customFormat="1" ht="36">
      <c r="A66" s="881">
        <v>6</v>
      </c>
      <c r="B66" s="3313"/>
      <c r="C66" s="817" t="s">
        <v>625</v>
      </c>
      <c r="D66" s="817" t="s">
        <v>626</v>
      </c>
      <c r="E66" s="894">
        <v>0.3</v>
      </c>
      <c r="F66" s="881">
        <v>50</v>
      </c>
    </row>
    <row r="67" spans="1:6" s="877" customFormat="1" ht="36">
      <c r="A67" s="881">
        <v>7</v>
      </c>
      <c r="B67" s="3313"/>
      <c r="C67" s="817" t="s">
        <v>627</v>
      </c>
      <c r="D67" s="817" t="s">
        <v>628</v>
      </c>
      <c r="E67" s="894">
        <v>0.2</v>
      </c>
      <c r="F67" s="881">
        <v>30</v>
      </c>
    </row>
    <row r="68" spans="1:6" s="877" customFormat="1" ht="36">
      <c r="A68" s="881">
        <v>8</v>
      </c>
      <c r="B68" s="3313"/>
      <c r="C68" s="817" t="s">
        <v>629</v>
      </c>
      <c r="D68" s="817" t="s">
        <v>630</v>
      </c>
      <c r="E68" s="894">
        <v>0.2</v>
      </c>
      <c r="F68" s="881">
        <v>30</v>
      </c>
    </row>
    <row r="69" spans="1:6" s="877" customFormat="1" ht="36">
      <c r="A69" s="881">
        <v>9</v>
      </c>
      <c r="B69" s="3313"/>
      <c r="C69" s="817" t="s">
        <v>631</v>
      </c>
      <c r="D69" s="817" t="s">
        <v>632</v>
      </c>
      <c r="E69" s="894">
        <v>0.2</v>
      </c>
      <c r="F69" s="881">
        <v>30</v>
      </c>
    </row>
    <row r="70" spans="1:6" s="877" customFormat="1" ht="48">
      <c r="A70" s="881">
        <v>10</v>
      </c>
      <c r="B70" s="3313"/>
      <c r="C70" s="817" t="s">
        <v>633</v>
      </c>
      <c r="D70" s="817" t="s">
        <v>634</v>
      </c>
      <c r="E70" s="894">
        <v>0.2</v>
      </c>
      <c r="F70" s="881">
        <v>30</v>
      </c>
    </row>
    <row r="71" spans="1:6" s="877" customFormat="1" ht="48">
      <c r="A71" s="881">
        <v>11</v>
      </c>
      <c r="B71" s="3313"/>
      <c r="C71" s="817" t="s">
        <v>635</v>
      </c>
      <c r="D71" s="817" t="s">
        <v>636</v>
      </c>
      <c r="E71" s="894">
        <v>0.2</v>
      </c>
      <c r="F71" s="881">
        <v>30</v>
      </c>
    </row>
    <row r="72" spans="1:6" s="877" customFormat="1" ht="36">
      <c r="A72" s="881">
        <v>12</v>
      </c>
      <c r="B72" s="3313"/>
      <c r="C72" s="817" t="s">
        <v>637</v>
      </c>
      <c r="D72" s="817" t="s">
        <v>638</v>
      </c>
      <c r="E72" s="894">
        <v>0.5</v>
      </c>
      <c r="F72" s="881">
        <v>80</v>
      </c>
    </row>
    <row r="73" spans="1:6" s="877" customFormat="1" ht="24">
      <c r="A73" s="881">
        <v>13</v>
      </c>
      <c r="B73" s="3313"/>
      <c r="C73" s="817" t="s">
        <v>639</v>
      </c>
      <c r="D73" s="817" t="s">
        <v>640</v>
      </c>
      <c r="E73" s="894">
        <v>0.4</v>
      </c>
      <c r="F73" s="881">
        <v>60</v>
      </c>
    </row>
    <row r="74" spans="1:6" s="877" customFormat="1" ht="24">
      <c r="A74" s="881">
        <v>14</v>
      </c>
      <c r="B74" s="3313"/>
      <c r="C74" s="817" t="s">
        <v>641</v>
      </c>
      <c r="D74" s="817" t="s">
        <v>642</v>
      </c>
      <c r="E74" s="894">
        <v>0.2</v>
      </c>
      <c r="F74" s="881">
        <v>30</v>
      </c>
    </row>
    <row r="75" spans="1:6" s="877" customFormat="1" ht="24">
      <c r="A75" s="881">
        <v>15</v>
      </c>
      <c r="B75" s="3313"/>
      <c r="C75" s="817" t="s">
        <v>643</v>
      </c>
      <c r="D75" s="817" t="s">
        <v>644</v>
      </c>
      <c r="E75" s="894">
        <v>0.2</v>
      </c>
      <c r="F75" s="881">
        <v>30</v>
      </c>
    </row>
    <row r="76" spans="1:6" s="877" customFormat="1" ht="24">
      <c r="A76" s="881">
        <v>16</v>
      </c>
      <c r="B76" s="3313" t="s">
        <v>645</v>
      </c>
      <c r="C76" s="817" t="s">
        <v>646</v>
      </c>
      <c r="D76" s="817" t="s">
        <v>647</v>
      </c>
      <c r="E76" s="894">
        <v>0.5</v>
      </c>
      <c r="F76" s="881">
        <v>80</v>
      </c>
    </row>
    <row r="77" spans="1:6" s="877" customFormat="1" ht="24">
      <c r="A77" s="881">
        <v>17</v>
      </c>
      <c r="B77" s="3313"/>
      <c r="C77" s="817" t="s">
        <v>648</v>
      </c>
      <c r="D77" s="817" t="s">
        <v>649</v>
      </c>
      <c r="E77" s="894">
        <v>0.5</v>
      </c>
      <c r="F77" s="881">
        <v>80</v>
      </c>
    </row>
    <row r="78" spans="1:6" s="877" customFormat="1" ht="24">
      <c r="A78" s="881">
        <v>18</v>
      </c>
      <c r="B78" s="3313"/>
      <c r="C78" s="817" t="s">
        <v>650</v>
      </c>
      <c r="D78" s="817" t="s">
        <v>651</v>
      </c>
      <c r="E78" s="894">
        <v>0.2</v>
      </c>
      <c r="F78" s="881">
        <v>30</v>
      </c>
    </row>
    <row r="79" spans="1:6" s="877" customFormat="1" ht="24">
      <c r="A79" s="881">
        <v>19</v>
      </c>
      <c r="B79" s="3313"/>
      <c r="C79" s="817" t="s">
        <v>652</v>
      </c>
      <c r="D79" s="817" t="s">
        <v>653</v>
      </c>
      <c r="E79" s="894">
        <v>0.5</v>
      </c>
      <c r="F79" s="881">
        <v>80</v>
      </c>
    </row>
    <row r="80" spans="1:6" s="877" customFormat="1" ht="36">
      <c r="A80" s="881">
        <v>20</v>
      </c>
      <c r="B80" s="3313"/>
      <c r="C80" s="817" t="s">
        <v>654</v>
      </c>
      <c r="D80" s="817" t="s">
        <v>655</v>
      </c>
      <c r="E80" s="894">
        <v>0.2</v>
      </c>
      <c r="F80" s="881">
        <v>30</v>
      </c>
    </row>
    <row r="81" spans="1:6" s="877" customFormat="1" ht="36">
      <c r="A81" s="881">
        <v>21</v>
      </c>
      <c r="B81" s="3313"/>
      <c r="C81" s="817" t="s">
        <v>656</v>
      </c>
      <c r="D81" s="817" t="s">
        <v>657</v>
      </c>
      <c r="E81" s="894">
        <v>0.2</v>
      </c>
      <c r="F81" s="881">
        <v>30</v>
      </c>
    </row>
    <row r="82" spans="1:6" s="877" customFormat="1" ht="48">
      <c r="A82" s="881">
        <v>22</v>
      </c>
      <c r="B82" s="3313"/>
      <c r="C82" s="817" t="s">
        <v>658</v>
      </c>
      <c r="D82" s="817" t="s">
        <v>659</v>
      </c>
      <c r="E82" s="894">
        <v>0.2</v>
      </c>
      <c r="F82" s="881">
        <v>30</v>
      </c>
    </row>
    <row r="83" spans="1:6" s="877" customFormat="1" ht="48">
      <c r="A83" s="881">
        <v>23</v>
      </c>
      <c r="B83" s="3313"/>
      <c r="C83" s="817" t="s">
        <v>660</v>
      </c>
      <c r="D83" s="817" t="s">
        <v>661</v>
      </c>
      <c r="E83" s="894">
        <v>0.2</v>
      </c>
      <c r="F83" s="881">
        <v>30</v>
      </c>
    </row>
    <row r="84" spans="1:6" s="877" customFormat="1" ht="36">
      <c r="A84" s="881">
        <v>24</v>
      </c>
      <c r="B84" s="3313"/>
      <c r="C84" s="817" t="s">
        <v>662</v>
      </c>
      <c r="D84" s="817" t="s">
        <v>663</v>
      </c>
      <c r="E84" s="894">
        <v>0.2</v>
      </c>
      <c r="F84" s="881">
        <v>30</v>
      </c>
    </row>
    <row r="85" spans="1:6" s="877" customFormat="1" ht="36">
      <c r="A85" s="881">
        <v>25</v>
      </c>
      <c r="B85" s="3313"/>
      <c r="C85" s="817" t="s">
        <v>664</v>
      </c>
      <c r="D85" s="817" t="s">
        <v>665</v>
      </c>
      <c r="E85" s="894">
        <v>0.5</v>
      </c>
      <c r="F85" s="881">
        <v>80</v>
      </c>
    </row>
    <row r="86" spans="1:6" s="877" customFormat="1" ht="36">
      <c r="A86" s="881">
        <v>26</v>
      </c>
      <c r="B86" s="3313"/>
      <c r="C86" s="817" t="s">
        <v>666</v>
      </c>
      <c r="D86" s="817" t="s">
        <v>667</v>
      </c>
      <c r="E86" s="894">
        <v>0.2</v>
      </c>
      <c r="F86" s="881">
        <v>30</v>
      </c>
    </row>
    <row r="87" spans="1:6" s="877" customFormat="1" ht="36">
      <c r="A87" s="881">
        <v>27</v>
      </c>
      <c r="B87" s="3313"/>
      <c r="C87" s="817" t="s">
        <v>668</v>
      </c>
      <c r="D87" s="817" t="s">
        <v>669</v>
      </c>
      <c r="E87" s="894">
        <v>0.2</v>
      </c>
      <c r="F87" s="881">
        <v>30</v>
      </c>
    </row>
    <row r="88" spans="1:6" s="877" customFormat="1" ht="36">
      <c r="A88" s="881">
        <v>28</v>
      </c>
      <c r="B88" s="3313"/>
      <c r="C88" s="817" t="s">
        <v>670</v>
      </c>
      <c r="D88" s="817" t="s">
        <v>671</v>
      </c>
      <c r="E88" s="894">
        <v>0.2</v>
      </c>
      <c r="F88" s="881">
        <v>30</v>
      </c>
    </row>
    <row r="89" spans="1:6" s="877" customFormat="1" ht="24">
      <c r="A89" s="881">
        <v>29</v>
      </c>
      <c r="B89" s="3313"/>
      <c r="C89" s="817" t="s">
        <v>672</v>
      </c>
      <c r="D89" s="817" t="s">
        <v>673</v>
      </c>
      <c r="E89" s="894">
        <v>0.2</v>
      </c>
      <c r="F89" s="881">
        <v>30</v>
      </c>
    </row>
    <row r="90" spans="1:6" s="877" customFormat="1" ht="24">
      <c r="A90" s="881">
        <v>30</v>
      </c>
      <c r="B90" s="3313"/>
      <c r="C90" s="817" t="s">
        <v>674</v>
      </c>
      <c r="D90" s="817" t="s">
        <v>675</v>
      </c>
      <c r="E90" s="894">
        <v>0.2</v>
      </c>
      <c r="F90" s="881">
        <v>30</v>
      </c>
    </row>
    <row r="91" spans="1:6" s="877" customFormat="1" ht="36">
      <c r="A91" s="881">
        <v>31</v>
      </c>
      <c r="B91" s="3313"/>
      <c r="C91" s="817" t="s">
        <v>676</v>
      </c>
      <c r="D91" s="817" t="s">
        <v>677</v>
      </c>
      <c r="E91" s="894">
        <v>0.2</v>
      </c>
      <c r="F91" s="881">
        <v>30</v>
      </c>
    </row>
    <row r="92" spans="1:6" s="877" customFormat="1" ht="24">
      <c r="A92" s="881">
        <v>32</v>
      </c>
      <c r="B92" s="3313" t="s">
        <v>678</v>
      </c>
      <c r="C92" s="881" t="s">
        <v>679</v>
      </c>
      <c r="D92" s="817" t="s">
        <v>680</v>
      </c>
      <c r="E92" s="894">
        <v>0.2</v>
      </c>
      <c r="F92" s="881">
        <v>30</v>
      </c>
    </row>
    <row r="93" spans="1:6" s="877" customFormat="1" ht="36">
      <c r="A93" s="881">
        <v>33</v>
      </c>
      <c r="B93" s="3313"/>
      <c r="C93" s="881" t="s">
        <v>681</v>
      </c>
      <c r="D93" s="817" t="s">
        <v>682</v>
      </c>
      <c r="E93" s="894">
        <v>0.2</v>
      </c>
      <c r="F93" s="881">
        <v>30</v>
      </c>
    </row>
    <row r="94" spans="1:6" s="877" customFormat="1" ht="48">
      <c r="A94" s="881">
        <v>34</v>
      </c>
      <c r="B94" s="3313"/>
      <c r="C94" s="881" t="s">
        <v>683</v>
      </c>
      <c r="D94" s="817" t="s">
        <v>684</v>
      </c>
      <c r="E94" s="894">
        <v>0.2</v>
      </c>
      <c r="F94" s="881">
        <v>30</v>
      </c>
    </row>
    <row r="95" spans="1:6" s="877" customFormat="1" ht="36">
      <c r="A95" s="881">
        <v>35</v>
      </c>
      <c r="B95" s="3313"/>
      <c r="C95" s="881" t="s">
        <v>685</v>
      </c>
      <c r="D95" s="817" t="s">
        <v>686</v>
      </c>
      <c r="E95" s="894">
        <v>0.2</v>
      </c>
      <c r="F95" s="881">
        <v>30</v>
      </c>
    </row>
    <row r="96" spans="1:6" s="877" customFormat="1" ht="48">
      <c r="A96" s="881">
        <v>36</v>
      </c>
      <c r="B96" s="3313"/>
      <c r="C96" s="817" t="s">
        <v>687</v>
      </c>
      <c r="D96" s="817" t="s">
        <v>688</v>
      </c>
      <c r="E96" s="894">
        <v>0.2</v>
      </c>
      <c r="F96" s="881">
        <v>30</v>
      </c>
    </row>
    <row r="97" spans="1:6" s="877" customFormat="1" ht="36">
      <c r="A97" s="881">
        <v>37</v>
      </c>
      <c r="B97" s="3313"/>
      <c r="C97" s="881" t="s">
        <v>689</v>
      </c>
      <c r="D97" s="817" t="s">
        <v>690</v>
      </c>
      <c r="E97" s="894">
        <v>0.2</v>
      </c>
      <c r="F97" s="881">
        <v>30</v>
      </c>
    </row>
    <row r="98" spans="1:6" s="877" customFormat="1" ht="36">
      <c r="A98" s="881">
        <v>38</v>
      </c>
      <c r="B98" s="3313"/>
      <c r="C98" s="881" t="s">
        <v>691</v>
      </c>
      <c r="D98" s="817" t="s">
        <v>692</v>
      </c>
      <c r="E98" s="894">
        <v>0.2</v>
      </c>
      <c r="F98" s="881">
        <v>30</v>
      </c>
    </row>
    <row r="99" spans="1:6" s="877" customFormat="1" ht="36">
      <c r="A99" s="881">
        <v>39</v>
      </c>
      <c r="B99" s="3313" t="s">
        <v>693</v>
      </c>
      <c r="C99" s="881" t="s">
        <v>694</v>
      </c>
      <c r="D99" s="817" t="s">
        <v>695</v>
      </c>
      <c r="E99" s="894">
        <v>0.3</v>
      </c>
      <c r="F99" s="881">
        <v>50</v>
      </c>
    </row>
    <row r="100" spans="1:6" s="877" customFormat="1" ht="24">
      <c r="A100" s="881">
        <v>40</v>
      </c>
      <c r="B100" s="3313"/>
      <c r="C100" s="881" t="s">
        <v>696</v>
      </c>
      <c r="D100" s="817" t="s">
        <v>697</v>
      </c>
      <c r="E100" s="894">
        <v>0.2</v>
      </c>
      <c r="F100" s="881">
        <v>30</v>
      </c>
    </row>
    <row r="101" spans="1:6" s="877" customFormat="1" ht="36">
      <c r="A101" s="881">
        <v>41</v>
      </c>
      <c r="B101" s="33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3" t="s">
        <v>708</v>
      </c>
      <c r="C105" s="881" t="s">
        <v>709</v>
      </c>
      <c r="D105" s="817" t="s">
        <v>710</v>
      </c>
      <c r="E105" s="894">
        <v>0.2</v>
      </c>
      <c r="F105" s="881">
        <v>30</v>
      </c>
    </row>
    <row r="106" spans="1:6" s="877" customFormat="1" ht="36">
      <c r="A106" s="881">
        <v>46</v>
      </c>
      <c r="B106" s="3313"/>
      <c r="C106" s="881" t="s">
        <v>711</v>
      </c>
      <c r="D106" s="817" t="s">
        <v>712</v>
      </c>
      <c r="E106" s="894">
        <v>0.2</v>
      </c>
      <c r="F106" s="881">
        <v>30</v>
      </c>
    </row>
    <row r="107" spans="1:6" s="877" customFormat="1" ht="36">
      <c r="A107" s="881">
        <v>47</v>
      </c>
      <c r="B107" s="3313" t="s">
        <v>713</v>
      </c>
      <c r="C107" s="881" t="s">
        <v>714</v>
      </c>
      <c r="D107" s="817" t="s">
        <v>715</v>
      </c>
      <c r="E107" s="894">
        <v>0.3</v>
      </c>
      <c r="F107" s="881">
        <v>50</v>
      </c>
    </row>
    <row r="108" spans="1:6" s="877" customFormat="1" ht="36">
      <c r="A108" s="881">
        <v>48</v>
      </c>
      <c r="B108" s="33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3" t="s">
        <v>724</v>
      </c>
      <c r="C111" s="881" t="s">
        <v>725</v>
      </c>
      <c r="D111" s="817" t="s">
        <v>726</v>
      </c>
      <c r="E111" s="894">
        <v>0.2</v>
      </c>
      <c r="F111" s="881">
        <v>30</v>
      </c>
    </row>
    <row r="112" spans="1:6" s="877" customFormat="1" ht="24">
      <c r="A112" s="881">
        <v>52</v>
      </c>
      <c r="B112" s="3313"/>
      <c r="C112" s="881" t="s">
        <v>727</v>
      </c>
      <c r="D112" s="817" t="s">
        <v>728</v>
      </c>
      <c r="E112" s="894">
        <v>0.2</v>
      </c>
      <c r="F112" s="881">
        <v>30</v>
      </c>
    </row>
    <row r="113" spans="1:6" s="877" customFormat="1" ht="24">
      <c r="A113" s="881">
        <v>53</v>
      </c>
      <c r="B113" s="33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3" t="s">
        <v>737</v>
      </c>
      <c r="C116" s="881" t="s">
        <v>738</v>
      </c>
      <c r="D116" s="817" t="s">
        <v>739</v>
      </c>
      <c r="E116" s="894">
        <v>0.2</v>
      </c>
      <c r="F116" s="881">
        <v>30</v>
      </c>
    </row>
    <row r="117" spans="1:6" ht="36">
      <c r="A117" s="881">
        <v>57</v>
      </c>
      <c r="B117" s="33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SUMPRODUCT((A105:A204=ROUNDDOWN('基准地价修正（商业）'!G3,1))*(B104:M104='基准地价修正（商业）'!G2)*(B105:M204))</f>
        <v>1.2050000000000001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2995</v>
      </c>
    </row>
    <row r="2" spans="1:5" ht="15.75">
      <c r="A2" s="2913" t="s">
        <v>2987</v>
      </c>
      <c r="B2" s="2914">
        <f ca="1">SUMIF(B6:B13,"&lt;&gt;#ref!",B6:B13)</f>
        <v>0</v>
      </c>
      <c r="C2" s="2913" t="s">
        <v>2988</v>
      </c>
      <c r="D2" s="2913" t="s">
        <v>2989</v>
      </c>
      <c r="E2" s="2914">
        <f ca="1">SUMIF(E6:E13,"&lt;&gt;#ref!",E6:E13)</f>
        <v>0</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#REF!</v>
      </c>
      <c r="C6" s="2913" t="s">
        <v>2988</v>
      </c>
      <c r="D6" s="2915"/>
      <c r="E6" s="2578" t="e">
        <f ca="1">SUMIF(INDIRECT("'"&amp;A6&amp;"'"&amp;"!C:C"),"建筑面积",INDIRECT("'"&amp;A6&amp;"'"&amp;"!D:D"))</f>
        <v>#REF!</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9" t="s">
        <v>1146</v>
      </c>
      <c r="C1" s="3319"/>
      <c r="D1" s="3319"/>
      <c r="E1" s="3319"/>
      <c r="F1" s="3319"/>
      <c r="G1" s="3315" t="s">
        <v>1147</v>
      </c>
      <c r="H1" s="3315"/>
      <c r="I1" s="3315"/>
      <c r="J1" s="3315"/>
      <c r="K1" s="3315"/>
      <c r="L1" s="3315"/>
      <c r="N1" s="3315" t="s">
        <v>1148</v>
      </c>
      <c r="O1" s="3315"/>
      <c r="P1" s="3315"/>
      <c r="Q1" s="3315"/>
      <c r="R1" s="1448"/>
      <c r="S1" s="3315" t="s">
        <v>1149</v>
      </c>
      <c r="T1" s="3315"/>
      <c r="U1" s="3315"/>
      <c r="V1" s="3315"/>
      <c r="X1" s="3314" t="s">
        <v>1150</v>
      </c>
      <c r="Y1" s="3315"/>
      <c r="Z1" s="3315"/>
      <c r="AA1" s="3315"/>
      <c r="AB1" s="3315"/>
      <c r="AD1" s="3314" t="s">
        <v>1151</v>
      </c>
      <c r="AE1" s="3315"/>
      <c r="AF1" s="3315"/>
      <c r="AG1" s="3315"/>
      <c r="AH1" s="331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25">
      <c r="A3" s="2941" t="s">
        <v>3030</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2018</v>
      </c>
      <c r="H5" s="1732">
        <v>4</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1" t="s">
        <v>3031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3036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3029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3026</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32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31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31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31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31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31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31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31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31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31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31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31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32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2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32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32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31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31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31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31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31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31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31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31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31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31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31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31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31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31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31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31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31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31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31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31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31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31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31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31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31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31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31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31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31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31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31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31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31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31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31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31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316">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317">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317">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318">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316">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317">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317">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318">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31627</v>
      </c>
      <c r="C2" s="2" t="s">
        <v>133</v>
      </c>
      <c r="D2" s="243"/>
      <c r="E2" s="243"/>
      <c r="F2" s="243"/>
      <c r="G2" s="243"/>
    </row>
    <row r="3" spans="1:7" s="244" customFormat="1" ht="18" customHeight="1" thickBot="1">
      <c r="A3" s="247" t="s">
        <v>85</v>
      </c>
      <c r="B3" s="248">
        <f ca="1">ROUND(B2*10000/'数据-汇总表'!E3,0)</f>
        <v>36679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164</v>
      </c>
      <c r="D10" s="1034">
        <f>'数据-汇总表'!E6</f>
        <v>8622.76</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86</v>
      </c>
      <c r="D19" s="1038">
        <f>'数据-汇总表'!E3</f>
        <v>8622.76</v>
      </c>
      <c r="E19" s="255">
        <f>'数据-取费表'!B31</f>
        <v>100</v>
      </c>
      <c r="F19" s="275"/>
      <c r="G19" s="1" t="s">
        <v>1071</v>
      </c>
    </row>
    <row r="20" spans="1:7" s="258" customFormat="1" ht="13.5" customHeight="1">
      <c r="A20" s="950" t="s">
        <v>1054</v>
      </c>
      <c r="B20" s="254" t="s">
        <v>104</v>
      </c>
      <c r="C20" s="276">
        <f>ROUND((C5+C19)*F20,0)</f>
        <v>414</v>
      </c>
      <c r="D20" s="276"/>
      <c r="E20" s="276"/>
      <c r="F20" s="277">
        <f>'数据-取费表'!B37</f>
        <v>0.02</v>
      </c>
      <c r="G20" s="1291"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3122</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1058</v>
      </c>
      <c r="C23" s="1357">
        <f ca="1">ROUND(IF('数据-取费表'!B22&lt;=1,C5*F22*'数据-取费表'!B23,C5*(POWER((1+F22),'数据-取费表'!B23)-1)),0)</f>
        <v>3079</v>
      </c>
      <c r="D23" s="282"/>
      <c r="E23" s="282"/>
      <c r="F23" s="283"/>
      <c r="G23" s="284" t="s">
        <v>108</v>
      </c>
    </row>
    <row r="24" spans="1:7" s="258" customFormat="1" ht="13.5" customHeight="1">
      <c r="A24" s="953" t="s">
        <v>792</v>
      </c>
      <c r="B24" s="259" t="s">
        <v>1053</v>
      </c>
      <c r="C24" s="1357">
        <f ca="1">ROUND(IF('数据-取费表'!B22&lt;=1,C19*F22*('数据-取费表'!B19/2+'数据-取费表'!B21),C19*(POWER((1+F22),('数据-取费表'!B19/2+'数据-取费表'!B21))-1)),0)</f>
        <v>13</v>
      </c>
      <c r="D24" s="282"/>
      <c r="E24" s="282"/>
      <c r="F24" s="283"/>
      <c r="G24" s="284" t="s">
        <v>109</v>
      </c>
    </row>
    <row r="25" spans="1:7" s="258" customFormat="1" ht="24">
      <c r="A25" s="953" t="s">
        <v>793</v>
      </c>
      <c r="B25" s="259" t="s">
        <v>1055</v>
      </c>
      <c r="C25" s="1357">
        <f ca="1">ROUND(IF('数据-取费表'!B22&lt;=1,C20*F22*'数据-取费表'!B23/2,C20*(POWER((1+F22),'数据-取费表'!B23/2)-1)),0)</f>
        <v>30</v>
      </c>
      <c r="D25" s="282"/>
      <c r="E25" s="285"/>
      <c r="F25" s="283"/>
      <c r="G25" s="286" t="s">
        <v>110</v>
      </c>
    </row>
    <row r="26" spans="1:7" s="258" customFormat="1">
      <c r="A26" s="953" t="s">
        <v>795</v>
      </c>
      <c r="B26" s="259" t="s">
        <v>1057</v>
      </c>
      <c r="C26" s="282">
        <f ca="1">ROUND(IF('数据-取费表'!B22&lt;=1,F21*F22*'数据-取费表'!B23/2,F21*(POWER((1+F22),'数据-取费表'!B23/2)-1)),4)</f>
        <v>1.4E-3</v>
      </c>
      <c r="D26" s="282"/>
      <c r="E26" s="285"/>
      <c r="F26" s="283"/>
      <c r="G26" s="287"/>
    </row>
    <row r="27" spans="1:7" s="258" customFormat="1" ht="24.75">
      <c r="A27" s="950" t="s">
        <v>787</v>
      </c>
      <c r="B27" s="288" t="s">
        <v>112</v>
      </c>
      <c r="C27" s="289">
        <f>C28</f>
        <v>2322</v>
      </c>
      <c r="D27" s="279">
        <f>C29</f>
        <v>2.2000000000000001E-3</v>
      </c>
      <c r="E27" s="280" t="s">
        <v>126</v>
      </c>
      <c r="F27" s="290">
        <f>'数据-取费表'!Q16</f>
        <v>0.11</v>
      </c>
      <c r="G27" s="291" t="s">
        <v>1066</v>
      </c>
    </row>
    <row r="28" spans="1:7" s="258" customFormat="1" ht="13.5" customHeight="1">
      <c r="A28" s="953" t="s">
        <v>794</v>
      </c>
      <c r="B28" s="292" t="s">
        <v>1059</v>
      </c>
      <c r="C28" s="293">
        <f>ROUND((C5+C19+C20)*F27*'数据-取费表'!B21/'数据-取费表'!B20,0)</f>
        <v>2322</v>
      </c>
      <c r="D28" s="279"/>
      <c r="E28" s="280"/>
      <c r="F28" s="290"/>
      <c r="G28" s="291"/>
    </row>
    <row r="29" spans="1:7" s="258" customFormat="1" ht="13.5" customHeight="1">
      <c r="A29" s="953" t="s">
        <v>792</v>
      </c>
      <c r="B29" s="292" t="s">
        <v>1060</v>
      </c>
      <c r="C29" s="282">
        <f>ROUND(C21*F27*'数据-取费表'!B21/'数据-取费表'!B20,4)</f>
        <v>2.2000000000000001E-3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28738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2319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2044</v>
      </c>
      <c r="D34" s="261"/>
      <c r="E34" s="264"/>
      <c r="F34" s="301">
        <f>IF('数据-取费表'!B24=0,1,'数据-取费表'!N16)</f>
        <v>1</v>
      </c>
      <c r="G34" s="263" t="s">
        <v>116</v>
      </c>
    </row>
    <row r="35" spans="1:7" ht="13.5" customHeight="1">
      <c r="A35" s="953" t="s">
        <v>796</v>
      </c>
      <c r="B35" s="259" t="s">
        <v>60</v>
      </c>
      <c r="C35" s="264">
        <f>ROUND(C34*F35,0)</f>
        <v>72</v>
      </c>
      <c r="D35" s="264"/>
      <c r="E35" s="264"/>
      <c r="F35" s="303">
        <f>'数据-取费表'!B33</f>
        <v>3.5000000000000003E-2</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172</v>
      </c>
      <c r="D37" s="261">
        <f>'数据-汇总表'!E3</f>
        <v>8622.76</v>
      </c>
      <c r="E37" s="293">
        <f>'数据-取费表'!B35</f>
        <v>200</v>
      </c>
      <c r="F37" s="303"/>
      <c r="G37" s="305" t="s">
        <v>119</v>
      </c>
    </row>
    <row r="38" spans="1:7" ht="13.5" customHeight="1">
      <c r="A38" s="953" t="s">
        <v>799</v>
      </c>
      <c r="B38" s="259" t="s">
        <v>63</v>
      </c>
      <c r="C38" s="264">
        <f>ROUND(C34*F38,0)</f>
        <v>31</v>
      </c>
      <c r="D38" s="264"/>
      <c r="E38" s="264"/>
      <c r="F38" s="303">
        <f>'数据-取费表'!B36</f>
        <v>1.4999999999999999E-2</v>
      </c>
      <c r="G38" s="263" t="s">
        <v>117</v>
      </c>
    </row>
    <row r="39" spans="1:7" s="258" customFormat="1" ht="13.5" customHeight="1">
      <c r="A39" s="950" t="s">
        <v>783</v>
      </c>
      <c r="B39" s="254" t="s">
        <v>104</v>
      </c>
      <c r="C39" s="276">
        <f>ROUND(C33*F20,0)</f>
        <v>46</v>
      </c>
      <c r="D39" s="276"/>
      <c r="E39" s="276"/>
      <c r="F39" s="277"/>
      <c r="G39" s="1291"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170</v>
      </c>
      <c r="D41" s="279">
        <f ca="1">C44</f>
        <v>1.4E-3</v>
      </c>
      <c r="E41" s="280" t="s">
        <v>129</v>
      </c>
      <c r="F41" s="281"/>
      <c r="G41" s="1291" t="str">
        <f>IF('数据-取费表'!B22&lt;=1,"单利计息","复利计息")</f>
        <v>复利计息</v>
      </c>
    </row>
    <row r="42" spans="1:7" ht="13.5" customHeight="1">
      <c r="A42" s="953" t="s">
        <v>794</v>
      </c>
      <c r="B42" s="259" t="s">
        <v>1058</v>
      </c>
      <c r="C42" s="282">
        <f ca="1">ROUND(IF('数据-取费表'!B22&lt;=1,C33*F22*'数据-取费表'!B21/2,C33*(POWER((1+F22),'数据-取费表'!B21/2)-1)),0)</f>
        <v>167</v>
      </c>
      <c r="D42" s="282"/>
      <c r="E42" s="282"/>
      <c r="F42" s="283"/>
      <c r="G42" s="3238" t="s">
        <v>121</v>
      </c>
    </row>
    <row r="43" spans="1:7" ht="13.5" customHeight="1">
      <c r="A43" s="953" t="s">
        <v>792</v>
      </c>
      <c r="B43" s="259" t="s">
        <v>1061</v>
      </c>
      <c r="C43" s="282">
        <f ca="1">ROUND(IF('数据-取费表'!B22&lt;=1,C39*F22*'数据-取费表'!B21/2,C39*(POWER((1+F22),'数据-取费表'!B21/2)-1)),0)</f>
        <v>3</v>
      </c>
      <c r="D43" s="282"/>
      <c r="E43" s="282"/>
      <c r="F43" s="283"/>
      <c r="G43" s="3239"/>
    </row>
    <row r="44" spans="1:7" ht="13.5" customHeight="1">
      <c r="A44" s="953" t="s">
        <v>793</v>
      </c>
      <c r="B44" s="259" t="s">
        <v>1063</v>
      </c>
      <c r="C44" s="282">
        <f ca="1">ROUND(IF('数据-取费表'!B22&lt;=1,C40*F22*'数据-取费表'!B21/2,C40*(POWER((1+F22),'数据-取费表'!B21/2)-1)),4)</f>
        <v>1.4E-3</v>
      </c>
      <c r="D44" s="282"/>
      <c r="E44" s="282"/>
      <c r="F44" s="283"/>
      <c r="G44" s="3240"/>
    </row>
    <row r="45" spans="1:7" s="258" customFormat="1" ht="13.5" customHeight="1">
      <c r="A45" s="950" t="s">
        <v>786</v>
      </c>
      <c r="B45" s="288" t="s">
        <v>112</v>
      </c>
      <c r="C45" s="289">
        <f>C46</f>
        <v>260</v>
      </c>
      <c r="D45" s="279">
        <f>C47</f>
        <v>2.2000000000000001E-3</v>
      </c>
      <c r="E45" s="280" t="s">
        <v>129</v>
      </c>
      <c r="F45" s="290"/>
      <c r="G45" s="291" t="s">
        <v>1069</v>
      </c>
    </row>
    <row r="46" spans="1:7" s="258" customFormat="1" ht="13.5" customHeight="1">
      <c r="A46" s="953" t="s">
        <v>794</v>
      </c>
      <c r="B46" s="292" t="s">
        <v>1062</v>
      </c>
      <c r="C46" s="293">
        <f>ROUND((C33+C39)*F27,0)</f>
        <v>260</v>
      </c>
      <c r="D46" s="307"/>
      <c r="E46" s="280"/>
      <c r="F46" s="290"/>
      <c r="G46" s="291"/>
    </row>
    <row r="47" spans="1:7" s="258" customFormat="1" ht="13.5" customHeight="1">
      <c r="A47" s="953" t="s">
        <v>792</v>
      </c>
      <c r="B47" s="292" t="s">
        <v>1064</v>
      </c>
      <c r="C47" s="282">
        <f>ROUND(C40*F27,4)</f>
        <v>2.2000000000000001E-3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3025</v>
      </c>
      <c r="D49" s="276"/>
      <c r="E49" s="276"/>
      <c r="F49" s="308"/>
      <c r="G49" s="278" t="s">
        <v>1070</v>
      </c>
    </row>
    <row r="50" spans="1:7" s="302" customFormat="1" ht="24">
      <c r="A50" s="950" t="s">
        <v>789</v>
      </c>
      <c r="B50" s="254" t="s">
        <v>124</v>
      </c>
      <c r="C50" s="276"/>
      <c r="D50" s="276"/>
      <c r="E50" s="276"/>
      <c r="F50" s="308">
        <f>IF('数据-取费表'!B24=0,'数据-取费表'!N16,1)</f>
        <v>0.95499999999999996</v>
      </c>
      <c r="G50" s="291" t="s">
        <v>125</v>
      </c>
    </row>
    <row r="51" spans="1:7" ht="16.5" customHeight="1">
      <c r="A51" s="950" t="s">
        <v>790</v>
      </c>
      <c r="B51" s="254" t="s">
        <v>132</v>
      </c>
      <c r="C51" s="276">
        <f ca="1">ROUND(C49*F50,0)</f>
        <v>2889</v>
      </c>
      <c r="D51" s="276"/>
      <c r="E51" s="276"/>
      <c r="F51" s="308"/>
      <c r="G51" s="278" t="s">
        <v>64</v>
      </c>
    </row>
    <row r="52" spans="1:7" s="252" customFormat="1" ht="16.5" thickBot="1">
      <c r="A52" s="309" t="s">
        <v>65</v>
      </c>
      <c r="B52" s="310"/>
      <c r="C52" s="311">
        <f ca="1">C31+C51</f>
        <v>31627</v>
      </c>
      <c r="D52" s="310"/>
      <c r="E52" s="310"/>
      <c r="F52" s="310"/>
      <c r="G52" s="312"/>
    </row>
    <row r="55" spans="1:7" ht="15">
      <c r="B55" s="314" t="s">
        <v>66</v>
      </c>
      <c r="C55" s="315"/>
    </row>
    <row r="56" spans="1:7">
      <c r="B56" s="317" t="s">
        <v>67</v>
      </c>
      <c r="C56" s="318">
        <f ca="1">ROUND(C51/C52,3)</f>
        <v>9.0999999999999998E-2</v>
      </c>
    </row>
    <row r="57" spans="1:7">
      <c r="B57" s="317" t="s">
        <v>68</v>
      </c>
      <c r="C57" s="319">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4" t="s">
        <v>156</v>
      </c>
      <c r="B1" s="3324"/>
      <c r="C1" s="3324"/>
      <c r="D1" s="3324"/>
      <c r="E1" s="3324"/>
      <c r="F1" s="332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5" t="s">
        <v>169</v>
      </c>
      <c r="B2" s="3325"/>
      <c r="C2" s="3325"/>
      <c r="D2" s="3325"/>
      <c r="E2" s="3325"/>
      <c r="F2" s="332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4" t="s">
        <v>868</v>
      </c>
      <c r="B1" s="3324"/>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1637</v>
      </c>
      <c r="B2" s="3011" t="s">
        <v>1638</v>
      </c>
      <c r="C2" s="3011" t="s">
        <v>1639</v>
      </c>
      <c r="D2" s="3011" t="str">
        <f>'结果表(商业)'!D116</f>
        <v>出让国有建设用地使用权价值</v>
      </c>
      <c r="E2" s="3011"/>
      <c r="F2" s="3011" t="str">
        <f>'结果表(商业)'!F116</f>
        <v>在建建筑物价值</v>
      </c>
      <c r="G2" s="3011"/>
      <c r="H2" s="3011" t="str">
        <f>IF(项目基本情况!B9="房地产市场价值","房地产市场价值","房地产价值")</f>
        <v>房地产市场价值</v>
      </c>
      <c r="I2" s="3011"/>
    </row>
    <row r="3" spans="1:9" ht="15">
      <c r="A3" s="3012"/>
      <c r="B3" s="3012"/>
      <c r="C3" s="3012"/>
      <c r="D3" s="1046" t="s">
        <v>1634</v>
      </c>
      <c r="E3" s="1046" t="s">
        <v>1640</v>
      </c>
      <c r="F3" s="1046" t="s">
        <v>1634</v>
      </c>
      <c r="G3" s="1046" t="s">
        <v>1635</v>
      </c>
      <c r="H3" s="1046" t="s">
        <v>1634</v>
      </c>
      <c r="I3" s="1046" t="s">
        <v>1635</v>
      </c>
    </row>
    <row r="4" spans="1:9" ht="30">
      <c r="A4" s="1975" t="str">
        <f>项目基本情况!S2</f>
        <v>北京市大兴区永兴路7号院6号楼-101号商业用房房地产</v>
      </c>
      <c r="B4" s="1046">
        <f>项目基本情况!C17</f>
        <v>8622.76</v>
      </c>
      <c r="C4" s="1046">
        <f>项目基本情况!C18</f>
        <v>2126.73</v>
      </c>
      <c r="D4" s="1046" t="e">
        <f ca="1">'结果表(商业)'!D118</f>
        <v>#REF!</v>
      </c>
      <c r="E4" s="1046" t="e">
        <f ca="1">'结果表(商业)'!E118</f>
        <v>#REF!</v>
      </c>
      <c r="F4" s="1046" t="e">
        <f ca="1">'结果表(商业)'!F118</f>
        <v>#REF!</v>
      </c>
      <c r="G4" s="1046" t="e">
        <f ca="1">'结果表(商业)'!G118</f>
        <v>#REF!</v>
      </c>
      <c r="H4" s="1046">
        <f ca="1">'结果表(商业)'!H118</f>
        <v>5039</v>
      </c>
      <c r="I4" s="1046">
        <f ca="1">'结果表(商业)'!I118</f>
        <v>10283</v>
      </c>
    </row>
    <row r="5" spans="1:9" ht="30" customHeight="1">
      <c r="A5" s="3012" t="s">
        <v>1636</v>
      </c>
      <c r="B5" s="3012"/>
      <c r="C5" s="3012"/>
      <c r="D5" s="3013" t="e">
        <f ca="1">'结果表(商业)'!D119</f>
        <v>#REF!</v>
      </c>
      <c r="E5" s="3013"/>
      <c r="F5" s="3013" t="e">
        <f ca="1">'结果表(商业)'!F119</f>
        <v>#REF!</v>
      </c>
      <c r="G5" s="3013"/>
      <c r="H5" s="3013" t="str">
        <f ca="1">'结果表(商业)'!H119</f>
        <v>伍仟零叁拾玖万元整</v>
      </c>
      <c r="I5" s="3013"/>
    </row>
    <row r="6" spans="1:9" ht="15.75">
      <c r="A6" s="3014" t="str">
        <f>'结果表(商业)'!A120</f>
        <v/>
      </c>
      <c r="B6" s="3014"/>
      <c r="C6" s="3014"/>
      <c r="D6" s="3014">
        <f>'结果表(商业)'!D120</f>
        <v>0</v>
      </c>
      <c r="E6" s="3014"/>
      <c r="F6" s="3014"/>
      <c r="G6" s="3014"/>
      <c r="H6" s="3014"/>
      <c r="I6" s="3014"/>
    </row>
    <row r="7" spans="1:9" ht="15">
      <c r="A7" s="3012" t="s">
        <v>1636</v>
      </c>
      <c r="B7" s="3012"/>
      <c r="C7" s="3012"/>
      <c r="D7" s="3015" t="str">
        <f>'结果表(商业)'!D121</f>
        <v>零元整</v>
      </c>
      <c r="E7" s="3016"/>
      <c r="F7" s="3016"/>
      <c r="G7" s="3016"/>
      <c r="H7" s="3016"/>
      <c r="I7" s="3017"/>
    </row>
    <row r="8" spans="1:9" ht="15.75">
      <c r="A8" s="3014" t="str">
        <f>'结果表(商业)'!A122</f>
        <v/>
      </c>
      <c r="B8" s="3014"/>
      <c r="C8" s="3014"/>
      <c r="D8" s="3014">
        <f ca="1">'结果表(商业)'!D122</f>
        <v>5039</v>
      </c>
      <c r="E8" s="3014"/>
      <c r="F8" s="3014"/>
      <c r="G8" s="3014"/>
      <c r="H8" s="3014"/>
      <c r="I8" s="3014"/>
    </row>
    <row r="9" spans="1:9" ht="15">
      <c r="A9" s="3012" t="s">
        <v>1636</v>
      </c>
      <c r="B9" s="3012"/>
      <c r="C9" s="3012"/>
      <c r="D9" s="3013" t="str">
        <f ca="1">'结果表(商业)'!D123</f>
        <v>伍仟零叁拾玖万元整</v>
      </c>
      <c r="E9" s="3013"/>
      <c r="F9" s="3013"/>
      <c r="G9" s="3013"/>
      <c r="H9" s="3013"/>
      <c r="I9" s="3013"/>
    </row>
    <row r="10" spans="1:9" ht="15.75">
      <c r="A10" s="3014" t="str">
        <f>'结果表(商业)'!A124</f>
        <v/>
      </c>
      <c r="B10" s="3014"/>
      <c r="C10" s="3014"/>
      <c r="D10" s="3014" t="str">
        <f>'结果表(商业)'!D124</f>
        <v>——</v>
      </c>
      <c r="E10" s="3014"/>
      <c r="F10" s="3014"/>
      <c r="G10" s="3014"/>
      <c r="H10" s="3014"/>
      <c r="I10" s="3014"/>
    </row>
    <row r="11" spans="1:9" ht="15">
      <c r="A11" s="3012" t="s">
        <v>1636</v>
      </c>
      <c r="B11" s="3012"/>
      <c r="C11" s="3012"/>
      <c r="D11" s="3013" t="e">
        <f>'结果表(商业)'!D125</f>
        <v>#VALUE!</v>
      </c>
      <c r="E11" s="3013"/>
      <c r="F11" s="3013"/>
      <c r="G11" s="3013"/>
      <c r="H11" s="3013"/>
      <c r="I11" s="3013"/>
    </row>
    <row r="12" spans="1:9" ht="15.75">
      <c r="A12" s="3014" t="str">
        <f>'结果表(商业)'!A126</f>
        <v/>
      </c>
      <c r="B12" s="3014"/>
      <c r="C12" s="3014"/>
      <c r="D12" s="3014" t="str">
        <f>'结果表(商业)'!D126</f>
        <v>——</v>
      </c>
      <c r="E12" s="3014"/>
      <c r="F12" s="3014"/>
      <c r="G12" s="3014"/>
      <c r="H12" s="3014"/>
      <c r="I12" s="3014"/>
    </row>
    <row r="13" spans="1:9" ht="15.75" thickBot="1">
      <c r="A13" s="3018" t="s">
        <v>1636</v>
      </c>
      <c r="B13" s="3018"/>
      <c r="C13" s="3018"/>
      <c r="D13" s="3019" t="e">
        <f>'结果表(商业)'!D127</f>
        <v>#VALUE!</v>
      </c>
      <c r="E13" s="3019"/>
      <c r="F13" s="3019"/>
      <c r="G13" s="3019"/>
      <c r="H13" s="3019"/>
      <c r="I13" s="3019"/>
    </row>
    <row r="14" spans="1:9" ht="15" thickTop="1">
      <c r="A14" s="3020" t="s">
        <v>1641</v>
      </c>
      <c r="B14" s="3020"/>
      <c r="C14" s="3020"/>
      <c r="D14" s="3020"/>
      <c r="E14" s="3020"/>
      <c r="F14" s="3020"/>
      <c r="G14" s="3020"/>
      <c r="H14" s="3020"/>
      <c r="I14" s="3020"/>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43437</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1" t="s">
        <v>1658</v>
      </c>
      <c r="B1" s="3021"/>
      <c r="C1" s="3021"/>
      <c r="D1" s="3021"/>
    </row>
    <row r="2" spans="1:4" ht="18">
      <c r="A2" s="3022" t="s">
        <v>1642</v>
      </c>
      <c r="B2" s="3022"/>
      <c r="C2" s="3022"/>
      <c r="D2" s="3022"/>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3022" t="s">
        <v>1648</v>
      </c>
      <c r="B6" s="3022"/>
      <c r="C6" s="3022"/>
      <c r="D6" s="3022"/>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23" t="s">
        <v>1651</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1652</v>
      </c>
      <c r="B16" s="3027"/>
      <c r="C16" s="3027"/>
      <c r="D16" s="3027"/>
    </row>
    <row r="17" spans="1:4" ht="144" customHeight="1">
      <c r="A17" s="3027" t="s">
        <v>1653</v>
      </c>
      <c r="B17" s="3027"/>
      <c r="C17" s="3027"/>
      <c r="D17" s="3027"/>
    </row>
    <row r="18" spans="1:4" ht="15.75" customHeight="1">
      <c r="A18" s="3024" t="str">
        <f>IF(项目基本情况!B8="抵押",'结果表(商业)'!K120,"——")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1654</v>
      </c>
      <c r="B22" s="3029"/>
      <c r="C22" s="3029"/>
      <c r="D22" s="3029"/>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35" t="s">
        <v>1665</v>
      </c>
      <c r="B15" s="3030" t="s">
        <v>136</v>
      </c>
      <c r="C15" s="3031"/>
    </row>
    <row r="16" spans="1:7" ht="13.5">
      <c r="A16" s="3036"/>
      <c r="B16" s="3030" t="s">
        <v>69</v>
      </c>
      <c r="C16" s="3031"/>
    </row>
    <row r="17" spans="1:3" ht="13.5">
      <c r="A17" s="3036"/>
      <c r="B17" s="3033" t="s">
        <v>1666</v>
      </c>
      <c r="C17" s="2002" t="s">
        <v>1665</v>
      </c>
    </row>
    <row r="18" spans="1:3" ht="13.5">
      <c r="A18" s="3036"/>
      <c r="B18" s="3033"/>
      <c r="C18" s="2002" t="s">
        <v>1667</v>
      </c>
    </row>
    <row r="19" spans="1:3" ht="13.5">
      <c r="A19" s="3036"/>
      <c r="B19" s="3033"/>
      <c r="C19" s="2002" t="s">
        <v>1668</v>
      </c>
    </row>
    <row r="20" spans="1:3" ht="13.5">
      <c r="A20" s="3037"/>
      <c r="B20" s="3032" t="s">
        <v>1669</v>
      </c>
      <c r="C20" s="3031"/>
    </row>
    <row r="21" spans="1:3" ht="13.5">
      <c r="A21" s="2003" t="s">
        <v>1670</v>
      </c>
      <c r="B21" s="2004"/>
      <c r="C21" s="2005"/>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2002" t="s">
        <v>1676</v>
      </c>
    </row>
    <row r="26" spans="1:3" ht="13.5">
      <c r="A26" s="3034"/>
      <c r="B26" s="3033"/>
      <c r="C26" s="2002" t="s">
        <v>1677</v>
      </c>
    </row>
    <row r="27" spans="1:3" ht="13.5">
      <c r="A27" s="3034"/>
      <c r="B27" s="3033"/>
      <c r="C27" s="2002" t="s">
        <v>1678</v>
      </c>
    </row>
    <row r="28" spans="1:3" ht="13.5">
      <c r="A28" s="3034"/>
      <c r="B28" s="3033"/>
      <c r="C28" s="2002" t="s">
        <v>1679</v>
      </c>
    </row>
    <row r="29" spans="1:3" ht="13.5">
      <c r="A29" s="3034"/>
      <c r="B29" s="3033"/>
      <c r="C29" s="2002" t="s">
        <v>1680</v>
      </c>
    </row>
    <row r="30" spans="1:3" ht="13.5">
      <c r="A30" s="3034"/>
      <c r="B30" s="3033"/>
      <c r="C30" s="2002" t="s">
        <v>1681</v>
      </c>
    </row>
    <row r="31" spans="1:3" ht="13.5">
      <c r="A31" s="3034"/>
      <c r="B31" s="3033"/>
      <c r="C31" s="2002" t="s">
        <v>1682</v>
      </c>
    </row>
    <row r="32" spans="1:3" ht="13.5">
      <c r="A32" s="3034"/>
      <c r="B32" s="3033"/>
      <c r="C32" s="2002" t="s">
        <v>1683</v>
      </c>
    </row>
    <row r="33" spans="1:3" ht="13.5">
      <c r="A33" s="3034"/>
      <c r="B33" s="303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43439</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44395</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c r="B12" s="1024"/>
      <c r="C12" s="2943"/>
      <c r="D12" s="1704"/>
      <c r="E12" s="1024"/>
      <c r="F12" s="1032"/>
    </row>
    <row r="13" spans="1:6" ht="24" customHeight="1">
      <c r="A13" s="1704" t="s">
        <v>840</v>
      </c>
      <c r="B13" s="1024">
        <f ca="1">IF(C13&lt;B2,"已过期",1120070131)</f>
        <v>1120070131</v>
      </c>
      <c r="C13" s="2349">
        <v>43814</v>
      </c>
      <c r="D13" s="2352" t="s">
        <v>840</v>
      </c>
      <c r="E13" s="1024">
        <f ca="1">IF(F13&lt;B2,"已过期",2014110011)</f>
        <v>2014110011</v>
      </c>
      <c r="F13" s="1032">
        <v>49302</v>
      </c>
    </row>
    <row r="14" spans="1:6" ht="24" customHeight="1">
      <c r="A14" s="1704" t="s">
        <v>3039</v>
      </c>
      <c r="B14" s="1024">
        <f ca="1">IF(C14&lt;B2,"已过期",1120040230)</f>
        <v>1120040230</v>
      </c>
      <c r="C14" s="2349">
        <v>43835</v>
      </c>
      <c r="D14" s="2352" t="s">
        <v>3039</v>
      </c>
      <c r="E14" s="1024">
        <f ca="1">IF(F14&lt;B2,"已过期",98030020)</f>
        <v>98030020</v>
      </c>
      <c r="F14" s="1032">
        <v>47118</v>
      </c>
    </row>
    <row r="15" spans="1:6" ht="24" customHeight="1">
      <c r="A15" s="1705" t="s">
        <v>3040</v>
      </c>
      <c r="B15" s="1024">
        <f ca="1">IF(C15&lt;B2,"已过期",1120070085)</f>
        <v>1120070085</v>
      </c>
      <c r="C15" s="2349">
        <v>43814</v>
      </c>
      <c r="D15" s="2353" t="s">
        <v>3040</v>
      </c>
      <c r="E15" s="1024">
        <f ca="1">IF(F15&lt;B2,"已过期",2004110128)</f>
        <v>2004110128</v>
      </c>
      <c r="F15" s="1025">
        <v>47118</v>
      </c>
    </row>
    <row r="16" spans="1:6" ht="24" customHeight="1">
      <c r="A16" s="1704" t="s">
        <v>3041</v>
      </c>
      <c r="B16" s="1024">
        <f ca="1">IF(C16&lt;B2,"已过期",1120140022)</f>
        <v>1120140022</v>
      </c>
      <c r="C16" s="2943">
        <v>44029</v>
      </c>
      <c r="D16" s="2352" t="s">
        <v>3041</v>
      </c>
      <c r="E16" s="1024">
        <f ca="1">IF(F16&lt;B2,"已过期",2008110059)</f>
        <v>2008110059</v>
      </c>
      <c r="F16" s="1032">
        <v>47177</v>
      </c>
    </row>
    <row r="17" spans="1:7" ht="24" customHeight="1">
      <c r="A17" s="1704"/>
      <c r="B17" s="1024"/>
      <c r="C17" s="2349"/>
      <c r="D17" s="2352" t="s">
        <v>3042</v>
      </c>
      <c r="E17" s="1024">
        <f ca="1">IF(F17&lt;B2,"已过期",2014110076)</f>
        <v>2014110076</v>
      </c>
      <c r="F17" s="1032">
        <v>49302</v>
      </c>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841</v>
      </c>
      <c r="E21" s="1024">
        <f ca="1">IF(F21&lt;B2,"已过期",2011110090)</f>
        <v>2011110090</v>
      </c>
      <c r="F21" s="1032">
        <v>48302</v>
      </c>
    </row>
    <row r="22" spans="1:7" ht="24" customHeight="1">
      <c r="A22" s="1704" t="s">
        <v>842</v>
      </c>
      <c r="B22" s="1024">
        <f ca="1">IF(C22&lt;B2,"已过期",1120020033)</f>
        <v>1120020033</v>
      </c>
      <c r="C22" s="2943">
        <v>44339</v>
      </c>
      <c r="D22" s="2352" t="s">
        <v>842</v>
      </c>
      <c r="E22" s="1024">
        <f ca="1">IF(F22&lt;B2,"已过期",2000110137)</f>
        <v>2000110137</v>
      </c>
      <c r="F22" s="1032">
        <v>46387</v>
      </c>
    </row>
    <row r="23" spans="1:7" ht="24" customHeight="1">
      <c r="A23" s="1704"/>
      <c r="B23" s="1024"/>
      <c r="C23" s="2349"/>
      <c r="D23" s="2352"/>
      <c r="E23" s="1024"/>
      <c r="F23" s="1024"/>
    </row>
    <row r="24" spans="1:7" s="1026" customFormat="1" ht="24" customHeight="1">
      <c r="A24" s="1705" t="s">
        <v>1329</v>
      </c>
      <c r="B24" s="1705" t="s">
        <v>1329</v>
      </c>
      <c r="C24" s="2350" t="s">
        <v>1329</v>
      </c>
      <c r="D24" s="2353" t="s">
        <v>1329</v>
      </c>
      <c r="E24" s="1705" t="s">
        <v>1329</v>
      </c>
      <c r="F24" s="1705" t="s">
        <v>1329</v>
      </c>
    </row>
    <row r="25" spans="1:7" ht="24" customHeight="1">
      <c r="A25" s="3038" t="s">
        <v>843</v>
      </c>
      <c r="B25" s="3038"/>
      <c r="C25" s="3038"/>
      <c r="D25" s="3038"/>
      <c r="E25" s="3038"/>
      <c r="F25" s="3038"/>
      <c r="G25" s="3038"/>
    </row>
    <row r="26" spans="1:7" s="1027" customFormat="1" ht="24" customHeight="1">
      <c r="A26" s="3039" t="s">
        <v>844</v>
      </c>
      <c r="B26" s="3039"/>
      <c r="C26" s="3040"/>
      <c r="D26" s="3041" t="s">
        <v>845</v>
      </c>
      <c r="E26" s="3039"/>
      <c r="F26" s="3039"/>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143</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面积</vt:lpstr>
      <vt:lpstr>数据-取费表</vt:lpstr>
      <vt:lpstr>估价对象房地状况</vt:lpstr>
      <vt:lpstr>系统读取表</vt:lpstr>
      <vt:lpstr>结果表(商业)</vt:lpstr>
      <vt:lpstr>比较法-商业</vt:lpstr>
      <vt:lpstr>典型户型修正</vt:lpstr>
      <vt:lpstr>成本法（商业）</vt:lpstr>
      <vt:lpstr>假设开发法</vt:lpstr>
      <vt:lpstr>基准地价修正（商业）</vt:lpstr>
      <vt:lpstr>收益法</vt:lpstr>
      <vt:lpstr>结果表(地下仓储)</vt:lpstr>
      <vt:lpstr>成本法（仓储）</vt:lpstr>
      <vt:lpstr>基准地价修正（仓储）</vt:lpstr>
      <vt:lpstr>收益法（仓储）</vt:lpstr>
      <vt:lpstr>定义</vt:lpstr>
      <vt:lpstr>结果表(车位) </vt:lpstr>
      <vt:lpstr>成本法 (车库)</vt:lpstr>
      <vt:lpstr>收益法（车库）</vt:lpstr>
      <vt:lpstr>成本法（车位）</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'成本法（仓储）'!Print_Area</vt:lpstr>
      <vt:lpstr>'成本法（车位）'!Print_Area</vt:lpstr>
      <vt:lpstr>'成本法（商业）'!Print_Area</vt:lpstr>
      <vt:lpstr>估价对象房地状况!Print_Area</vt:lpstr>
      <vt:lpstr>估价师及机构信息!Print_Area</vt:lpstr>
      <vt:lpstr>面积!Print_Area</vt:lpstr>
      <vt:lpstr>收益法!Print_Area</vt:lpstr>
      <vt:lpstr>'收益法（仓储）'!Print_Area</vt:lpstr>
      <vt:lpstr>'收益法（车库）'!Print_Area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'基准地价修正（仓储）'!季度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2018-12-04T08:27:15Z</cp:lastPrinted>
  <dcterms:created xsi:type="dcterms:W3CDTF">2015-07-13T07:17:23Z</dcterms:created>
  <dcterms:modified xsi:type="dcterms:W3CDTF">2018-12-05T05:20:56Z</dcterms:modified>
</cp:coreProperties>
</file>