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drawings/drawing6.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7.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房山区良乡大学城拓展东区FS00-0125-0008地块在建工程\"/>
    </mc:Choice>
  </mc:AlternateContent>
  <xr:revisionPtr revIDLastSave="0" documentId="13_ncr:1_{D8B38409-82BB-41D6-9672-4825725D7688}" xr6:coauthVersionLast="47" xr6:coauthVersionMax="47" xr10:uidLastSave="{00000000-0000-0000-0000-000000000000}"/>
  <bookViews>
    <workbookView xWindow="0" yWindow="0" windowWidth="28800" windowHeight="15600" tabRatio="899" firstSheet="9"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清单" sheetId="80" r:id="rId14"/>
    <sheet name="土地分摊报告" sheetId="81" r:id="rId15"/>
    <sheet name="位置进度" sheetId="82"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土地比较法-住宅、综合" sheetId="39" r:id="rId24"/>
    <sheet name="土地案例" sheetId="83" r:id="rId25"/>
    <sheet name="地价-分区" sheetId="79" r:id="rId26"/>
    <sheet name="假设开发法" sheetId="12" r:id="rId27"/>
    <sheet name="收益法" sheetId="15" state="hidden" r:id="rId28"/>
    <sheet name="本项目成交" sheetId="84" r:id="rId29"/>
    <sheet name="收益法 (元)" sheetId="67" r:id="rId30"/>
    <sheet name="收益法-酒店模型" sheetId="77" state="hidden" r:id="rId31"/>
    <sheet name="收益法（汇总）" sheetId="70" state="hidden" r:id="rId32"/>
    <sheet name="比较法-住宅" sheetId="21" r:id="rId33"/>
    <sheet name="比较法-商业" sheetId="33" state="hidden" r:id="rId34"/>
    <sheet name="比较法-办公" sheetId="34" state="hidden" r:id="rId35"/>
    <sheet name="比较法-工业" sheetId="37" state="hidden" r:id="rId36"/>
    <sheet name="住宅" sheetId="85" r:id="rId37"/>
    <sheet name="比较法-车位" sheetId="35" r:id="rId38"/>
    <sheet name="车位" sheetId="87" r:id="rId39"/>
    <sheet name="比较法-仓储" sheetId="36" r:id="rId40"/>
    <sheet name="土地比较法-工业" sheetId="40" state="hidden" r:id="rId41"/>
    <sheet name="仓储" sheetId="86" r:id="rId42"/>
    <sheet name="典型户型修正" sheetId="31" state="hidden"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 sheetId="71" state="hidden" r:id="rId51"/>
    <sheet name="区片价" sheetId="44" state="hidden" r:id="rId52"/>
    <sheet name="存贷款利率" sheetId="73" state="hidden" r:id="rId53"/>
  </sheets>
  <externalReferences>
    <externalReference r:id="rId54"/>
  </externalReferences>
  <definedNames>
    <definedName name="_xlnm._FilterDatabase" localSheetId="34" hidden="1">'比较法-办公'!$A$1:$L$50</definedName>
    <definedName name="_xlnm._FilterDatabase" localSheetId="39" hidden="1">'比较法-仓储'!$A$1:$L$37</definedName>
    <definedName name="_xlnm._FilterDatabase" localSheetId="37"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9">'比较法-仓储'!$A$1:$K$42,'比较法-仓储'!$A$45:$M$96</definedName>
    <definedName name="_xlnm.Print_Area" localSheetId="37">'比较法-车位'!$A$1:$K$44,'比较法-车位'!$A$47:$M$102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6">假设开发法!$A$1:$K$32</definedName>
    <definedName name="_xlnm.Print_Area" localSheetId="20">结果表!$A$1:$I$127</definedName>
    <definedName name="_xlnm.Print_Area" localSheetId="27">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6">'数据-汇总表'!$A$1:$P$32</definedName>
    <definedName name="_xlnm.Print_Area" localSheetId="12">'数据-基础表'!$A$1:$O$17</definedName>
    <definedName name="_xlnm.Print_Area" localSheetId="40">'土地比较法-工业'!$A$1:$K$61,'土地比较法-工业'!$A$64:$M$121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14" i="74" l="1"/>
  <c r="B14" i="74"/>
  <c r="F8" i="12"/>
  <c r="F6" i="12" s="1"/>
  <c r="G6" i="12" s="1"/>
  <c r="G8" i="12" s="1"/>
  <c r="S72" i="87"/>
  <c r="S23" i="87"/>
  <c r="M38" i="82"/>
  <c r="N38" i="82" s="1"/>
  <c r="M39" i="82"/>
  <c r="M40" i="82"/>
  <c r="M41" i="82"/>
  <c r="M42" i="82"/>
  <c r="N42" i="82" s="1"/>
  <c r="M43" i="82"/>
  <c r="M44" i="82"/>
  <c r="M45" i="82"/>
  <c r="M46" i="82"/>
  <c r="N46" i="82" s="1"/>
  <c r="M47" i="82"/>
  <c r="M48" i="82"/>
  <c r="M49" i="82"/>
  <c r="C8" i="12"/>
  <c r="E8" i="12"/>
  <c r="E57" i="39"/>
  <c r="I38" i="39"/>
  <c r="G38" i="39"/>
  <c r="E38" i="39"/>
  <c r="BY5" i="83"/>
  <c r="BY4" i="83"/>
  <c r="BY3" i="83"/>
  <c r="I7" i="39"/>
  <c r="G7" i="39"/>
  <c r="E7" i="39"/>
  <c r="M70" i="39"/>
  <c r="L70" i="39"/>
  <c r="K70" i="39"/>
  <c r="J70" i="39"/>
  <c r="I70" i="39"/>
  <c r="H70" i="39"/>
  <c r="G70" i="39"/>
  <c r="F70" i="39"/>
  <c r="E70" i="39"/>
  <c r="D70" i="39"/>
  <c r="AH10" i="1"/>
  <c r="AH9" i="1"/>
  <c r="K55" i="82"/>
  <c r="N39" i="82"/>
  <c r="N40" i="82"/>
  <c r="N41" i="82"/>
  <c r="N43" i="82"/>
  <c r="N44" i="82"/>
  <c r="N45" i="82"/>
  <c r="N47" i="82"/>
  <c r="N48" i="82"/>
  <c r="N49" i="82"/>
  <c r="N50" i="82"/>
  <c r="N51" i="82"/>
  <c r="N52" i="82"/>
  <c r="N53" i="82"/>
  <c r="N54" i="82"/>
  <c r="M54" i="82"/>
  <c r="M50" i="82"/>
  <c r="M51" i="82"/>
  <c r="M52" i="82"/>
  <c r="M53" i="82"/>
  <c r="N55" i="82" l="1"/>
  <c r="M55" i="82" s="1"/>
  <c r="N6" i="1" s="1"/>
  <c r="N7" i="1" s="1"/>
  <c r="N8" i="1" s="1"/>
  <c r="N9" i="1" s="1"/>
  <c r="N10" i="1" s="1"/>
  <c r="N11" i="1" s="1"/>
  <c r="N12" i="1" s="1"/>
  <c r="N13" i="1" s="1"/>
  <c r="N14" i="1" s="1"/>
  <c r="G23" i="6"/>
  <c r="G22" i="6"/>
  <c r="G21" i="6"/>
  <c r="G20" i="6"/>
  <c r="F19" i="6"/>
  <c r="C23" i="6"/>
  <c r="C22" i="6"/>
  <c r="C21" i="6"/>
  <c r="C20" i="6"/>
  <c r="C19" i="6"/>
  <c r="O17" i="3"/>
  <c r="O16" i="3"/>
  <c r="M15" i="3"/>
  <c r="K14" i="3"/>
  <c r="I13" i="3"/>
  <c r="L37" i="80"/>
  <c r="K37" i="80"/>
  <c r="L35" i="80"/>
  <c r="K35" i="80"/>
  <c r="Z541" i="80"/>
  <c r="Y541" i="80"/>
  <c r="L36" i="80"/>
  <c r="K36" i="80"/>
  <c r="L34" i="80"/>
  <c r="K34" i="80"/>
  <c r="L33" i="80"/>
  <c r="K33" i="80"/>
  <c r="L32" i="80"/>
  <c r="K32" i="80"/>
  <c r="L28" i="80"/>
  <c r="K28" i="80"/>
  <c r="E1287" i="81"/>
  <c r="D1287" i="81"/>
  <c r="S261" i="80"/>
  <c r="R261" i="80"/>
  <c r="L5" i="80"/>
  <c r="K5" i="80"/>
  <c r="E479" i="80"/>
  <c r="D479" i="80"/>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11" i="79" l="1"/>
  <c r="AB38" i="79"/>
  <c r="AA38" i="79"/>
  <c r="Z38" i="79"/>
  <c r="N38" i="79"/>
  <c r="M38" i="79"/>
  <c r="L38" i="79"/>
  <c r="I38" i="79"/>
  <c r="AC10" i="79"/>
  <c r="AB10" i="79"/>
  <c r="AA10" i="79"/>
  <c r="AD10" i="79" s="1"/>
  <c r="Z10" i="79"/>
  <c r="Y10" i="79"/>
  <c r="O10" i="79"/>
  <c r="N10" i="79"/>
  <c r="M10" i="79"/>
  <c r="P10" i="79" s="1"/>
  <c r="L10" i="79"/>
  <c r="K10" i="79"/>
  <c r="I10" i="79"/>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A31" i="79"/>
  <c r="AD31" i="79" s="1"/>
  <c r="AD47" i="79"/>
  <c r="AR18" i="79"/>
  <c r="AR19" i="79" s="1"/>
  <c r="AR20" i="79" s="1"/>
  <c r="AR21" i="79" s="1"/>
  <c r="AR22" i="79" s="1"/>
  <c r="AR23" i="79" s="1"/>
  <c r="AR24" i="79" s="1"/>
  <c r="T34" i="79"/>
  <c r="T35" i="79"/>
  <c r="T33" i="79"/>
  <c r="AD35" i="79"/>
  <c r="AD37" i="79"/>
  <c r="AD36" i="79"/>
  <c r="AD38"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T40" i="79"/>
  <c r="U46" i="79"/>
  <c r="AI46" i="79" s="1"/>
  <c r="S48" i="79"/>
  <c r="AG48" i="79" s="1"/>
  <c r="U50" i="79"/>
  <c r="AI50" i="79" s="1"/>
  <c r="AD51" i="79"/>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5" i="79"/>
  <c r="AK45" i="79" s="1"/>
  <c r="AH45" i="79"/>
  <c r="W11" i="79"/>
  <c r="AK11" i="79" s="1"/>
  <c r="AH11" i="79"/>
  <c r="W39" i="79"/>
  <c r="AK39" i="79" s="1"/>
  <c r="W17" i="79"/>
  <c r="AK17" i="79" s="1"/>
  <c r="AH17" i="79"/>
  <c r="W10" i="79"/>
  <c r="AK10" i="79" s="1"/>
  <c r="AH10" i="79"/>
  <c r="W18" i="79"/>
  <c r="AK18" i="79" s="1"/>
  <c r="AH18" i="79"/>
  <c r="W20" i="79"/>
  <c r="AK20" i="79" s="1"/>
  <c r="AH20" i="79"/>
  <c r="AH35" i="79"/>
  <c r="W35" i="79"/>
  <c r="AK35" i="79" s="1"/>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34" i="79"/>
  <c r="AK34" i="79" s="1"/>
  <c r="AH34" i="79"/>
  <c r="W12" i="79"/>
  <c r="AK12" i="79" s="1"/>
  <c r="AH12" i="79"/>
  <c r="W21" i="79"/>
  <c r="AK21" i="79" s="1"/>
  <c r="AH21" i="79"/>
  <c r="W47" i="79"/>
  <c r="AK47" i="79" s="1"/>
  <c r="AH47" i="79"/>
  <c r="W33" i="79"/>
  <c r="AK33" i="79" s="1"/>
  <c r="AH33" i="79"/>
  <c r="C18" i="78"/>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5" i="71" s="1"/>
  <c r="Z25" i="71" s="1"/>
  <c r="N39" i="71"/>
  <c r="X39" i="71"/>
  <c r="Q38" i="71"/>
  <c r="P38" i="71"/>
  <c r="AA38" i="71" s="1"/>
  <c r="O38" i="71"/>
  <c r="N38" i="71"/>
  <c r="Q37" i="71"/>
  <c r="P37" i="71"/>
  <c r="AA37" i="71" s="1"/>
  <c r="O37" i="71"/>
  <c r="Y37" i="71" s="1"/>
  <c r="Z37" i="71" s="1"/>
  <c r="N37" i="71"/>
  <c r="B38" i="71" s="1"/>
  <c r="D37" i="71"/>
  <c r="Q36" i="71"/>
  <c r="P36" i="71"/>
  <c r="O36" i="71"/>
  <c r="N36" i="71"/>
  <c r="Q35" i="71"/>
  <c r="P35" i="71"/>
  <c r="O35" i="71"/>
  <c r="N35" i="71"/>
  <c r="Q34" i="71"/>
  <c r="AB32"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C35" i="71"/>
  <c r="AA35" i="71"/>
  <c r="C38" i="71"/>
  <c r="D38" i="71" s="1"/>
  <c r="X38" i="71"/>
  <c r="B28" i="71"/>
  <c r="B27" i="71" s="1"/>
  <c r="B26" i="71"/>
  <c r="D30" i="71"/>
  <c r="C43" i="71"/>
  <c r="C44" i="71" s="1"/>
  <c r="D44" i="71" s="1"/>
  <c r="C51" i="71"/>
  <c r="P28" i="71"/>
  <c r="E28" i="71" s="1"/>
  <c r="E64" i="71"/>
  <c r="U64" i="71" s="1"/>
  <c r="U68" i="71"/>
  <c r="E67" i="71"/>
  <c r="Q28" i="71"/>
  <c r="F28" i="71" s="1"/>
  <c r="F27" i="71" s="1"/>
  <c r="F26" i="71" s="1"/>
  <c r="C59" i="71"/>
  <c r="D58" i="71"/>
  <c r="D62" i="71"/>
  <c r="B66" i="71"/>
  <c r="N65" i="71" s="1"/>
  <c r="D68" i="71"/>
  <c r="Q68" i="71"/>
  <c r="E71" i="71"/>
  <c r="E70" i="71" s="1"/>
  <c r="D72" i="71"/>
  <c r="E75" i="71"/>
  <c r="E74" i="71" s="1"/>
  <c r="E79" i="71"/>
  <c r="E78" i="71" s="1"/>
  <c r="D80" i="71"/>
  <c r="C87" i="71"/>
  <c r="AB27" i="71"/>
  <c r="N66" i="71"/>
  <c r="C60" i="71"/>
  <c r="D59" i="71"/>
  <c r="P67" i="71"/>
  <c r="E66" i="71"/>
  <c r="D43"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W18" i="36"/>
  <c r="S21" i="37"/>
  <c r="U21" i="34"/>
  <c r="S21" i="33"/>
  <c r="AC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C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B10" i="1" s="1"/>
  <c r="E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15" i="3"/>
  <c r="BN16" i="3"/>
  <c r="BN17" i="3"/>
  <c r="BP13" i="3"/>
  <c r="BP14" i="3"/>
  <c r="BP15" i="3"/>
  <c r="BP16" i="3"/>
  <c r="BP17" i="3"/>
  <c r="E19" i="6"/>
  <c r="E20" i="6"/>
  <c r="E21" i="6"/>
  <c r="K8" i="1" s="1"/>
  <c r="M8" i="1" s="1"/>
  <c r="F23" i="15"/>
  <c r="D24" i="15" s="1"/>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E5" i="3" s="1"/>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D88" i="39"/>
  <c r="E88" i="39" s="1"/>
  <c r="F88" i="39" s="1"/>
  <c r="G88" i="39" s="1"/>
  <c r="B85" i="39"/>
  <c r="F14" i="39" s="1"/>
  <c r="S14" i="39" s="1"/>
  <c r="B83" i="39"/>
  <c r="J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H25" i="35" s="1"/>
  <c r="AB25" i="35" s="1"/>
  <c r="B75" i="35"/>
  <c r="J24" i="35" s="1"/>
  <c r="AC24" i="35" s="1"/>
  <c r="B73" i="35"/>
  <c r="J23" i="35" s="1"/>
  <c r="AC23" i="35" s="1"/>
  <c r="H23" i="35"/>
  <c r="U23" i="35" s="1"/>
  <c r="B57" i="35"/>
  <c r="F11" i="35" s="1"/>
  <c r="S11" i="35" s="1"/>
  <c r="B61" i="35"/>
  <c r="B59" i="35"/>
  <c r="F12" i="35" s="1"/>
  <c r="B131" i="34"/>
  <c r="B129" i="34"/>
  <c r="F46" i="34" s="1"/>
  <c r="B127" i="34"/>
  <c r="B99" i="34"/>
  <c r="B97" i="34"/>
  <c r="B95" i="34"/>
  <c r="F30" i="34" s="1"/>
  <c r="S30" i="34" s="1"/>
  <c r="B93" i="34"/>
  <c r="B75" i="34"/>
  <c r="B73" i="34"/>
  <c r="B71" i="34"/>
  <c r="B130" i="33"/>
  <c r="B128" i="33"/>
  <c r="B126" i="33"/>
  <c r="B98" i="33"/>
  <c r="H31" i="33" s="1"/>
  <c r="B96" i="33"/>
  <c r="B94" i="33"/>
  <c r="B74" i="33"/>
  <c r="B72" i="33"/>
  <c r="F13" i="33" s="1"/>
  <c r="S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U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H44" i="21" s="1"/>
  <c r="U44" i="21" s="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s="1"/>
  <c r="J45" i="39"/>
  <c r="W45" i="39" s="1"/>
  <c r="F36" i="39"/>
  <c r="S36" i="39" s="1"/>
  <c r="H36" i="39"/>
  <c r="F35" i="39"/>
  <c r="AA35" i="39" s="1"/>
  <c r="W25" i="37"/>
  <c r="U30" i="37"/>
  <c r="W31" i="37"/>
  <c r="E103" i="37"/>
  <c r="F103" i="37" s="1"/>
  <c r="G103" i="37" s="1"/>
  <c r="H103" i="37" s="1"/>
  <c r="I103" i="37" s="1"/>
  <c r="J103" i="37" s="1"/>
  <c r="K103" i="37" s="1"/>
  <c r="L103" i="37" s="1"/>
  <c r="M103" i="37" s="1"/>
  <c r="F29" i="36"/>
  <c r="AA29" i="36" s="1"/>
  <c r="F16" i="36"/>
  <c r="AA16" i="36" s="1"/>
  <c r="W28" i="36"/>
  <c r="H22" i="35"/>
  <c r="AB22" i="35" s="1"/>
  <c r="AC27" i="35"/>
  <c r="W28" i="35"/>
  <c r="U31" i="35"/>
  <c r="W22" i="35"/>
  <c r="U34" i="35"/>
  <c r="F36" i="34"/>
  <c r="J35" i="34"/>
  <c r="U34" i="34"/>
  <c r="H39" i="33"/>
  <c r="AB39" i="33"/>
  <c r="U33" i="33"/>
  <c r="W33" i="33"/>
  <c r="W39" i="33"/>
  <c r="H39" i="37"/>
  <c r="AB39" i="37" s="1"/>
  <c r="S27" i="35"/>
  <c r="F11" i="40"/>
  <c r="AA11" i="40"/>
  <c r="H11" i="40"/>
  <c r="AB11" i="40"/>
  <c r="W8" i="40"/>
  <c r="AB39" i="40"/>
  <c r="S34" i="40"/>
  <c r="U38"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E100" i="39"/>
  <c r="F100" i="39" s="1"/>
  <c r="G100" i="39" s="1"/>
  <c r="H19" i="39"/>
  <c r="AB19" i="39" s="1"/>
  <c r="F19" i="39"/>
  <c r="AA19" i="39" s="1"/>
  <c r="J23" i="40"/>
  <c r="AC23" i="40"/>
  <c r="F21" i="40"/>
  <c r="AA21" i="40" s="1"/>
  <c r="J21" i="40"/>
  <c r="W21" i="40"/>
  <c r="H42" i="39"/>
  <c r="AB42" i="39" s="1"/>
  <c r="J34" i="39"/>
  <c r="AC34" i="39" s="1"/>
  <c r="J31" i="39"/>
  <c r="W31" i="39" s="1"/>
  <c r="J19" i="39"/>
  <c r="AC19" i="39" s="1"/>
  <c r="F11" i="21"/>
  <c r="S11" i="21" s="1"/>
  <c r="U34" i="21"/>
  <c r="C25" i="39"/>
  <c r="H32" i="33"/>
  <c r="AB32" i="33"/>
  <c r="H11" i="21"/>
  <c r="U11" i="21" s="1"/>
  <c r="J11" i="21"/>
  <c r="W11" i="21" s="1"/>
  <c r="H37" i="40"/>
  <c r="U37" i="40"/>
  <c r="H36" i="40"/>
  <c r="AB36" i="40" s="1"/>
  <c r="F35" i="40"/>
  <c r="AA35" i="40"/>
  <c r="H23" i="40"/>
  <c r="AB23" i="40" s="1"/>
  <c r="H17" i="40"/>
  <c r="U17" i="40" s="1"/>
  <c r="J15" i="40"/>
  <c r="W15" i="40" s="1"/>
  <c r="J11" i="40"/>
  <c r="W11" i="40"/>
  <c r="AB12" i="35"/>
  <c r="W32" i="40"/>
  <c r="S44" i="39"/>
  <c r="F37" i="39"/>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AA24" i="36"/>
  <c r="F34" i="36"/>
  <c r="S34" i="36" s="1"/>
  <c r="F14" i="35"/>
  <c r="AA14" i="35" s="1"/>
  <c r="F23" i="35"/>
  <c r="AA23" i="35" s="1"/>
  <c r="J32" i="35"/>
  <c r="AC32" i="35" s="1"/>
  <c r="J16" i="35"/>
  <c r="AC16" i="35" s="1"/>
  <c r="H16" i="35"/>
  <c r="U16" i="35"/>
  <c r="F16" i="35"/>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c r="J19" i="33"/>
  <c r="J15" i="33"/>
  <c r="AC15" i="33" s="1"/>
  <c r="F11" i="33"/>
  <c r="AA11" i="33" s="1"/>
  <c r="U40" i="33"/>
  <c r="W40" i="33"/>
  <c r="F37" i="40"/>
  <c r="AA37" i="40" s="1"/>
  <c r="F36" i="40"/>
  <c r="AA36" i="40"/>
  <c r="H28" i="40"/>
  <c r="U28" i="40" s="1"/>
  <c r="F23" i="40"/>
  <c r="AA23" i="40"/>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s="1"/>
  <c r="J44" i="34"/>
  <c r="F44" i="34"/>
  <c r="J10" i="35"/>
  <c r="AC10" i="35" s="1"/>
  <c r="W14" i="21"/>
  <c r="F14" i="21"/>
  <c r="S14" i="21" s="1"/>
  <c r="H14" i="21"/>
  <c r="U14" i="21" s="1"/>
  <c r="H28" i="21"/>
  <c r="AB28" i="21" s="1"/>
  <c r="F28" i="21"/>
  <c r="AA28" i="21"/>
  <c r="H30" i="21"/>
  <c r="U30" i="21" s="1"/>
  <c r="F30" i="21"/>
  <c r="S30" i="21" s="1"/>
  <c r="AC30" i="2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H27" i="21"/>
  <c r="AB27" i="21"/>
  <c r="J31" i="21"/>
  <c r="AC31" i="21" s="1"/>
  <c r="F31" i="21"/>
  <c r="S31" i="21"/>
  <c r="F45" i="21"/>
  <c r="AA45" i="21" s="1"/>
  <c r="F27" i="33"/>
  <c r="AA27" i="33" s="1"/>
  <c r="J13" i="33"/>
  <c r="J29" i="33"/>
  <c r="H29" i="33"/>
  <c r="U29" i="33" s="1"/>
  <c r="F29" i="33"/>
  <c r="S29" i="33" s="1"/>
  <c r="J31" i="33"/>
  <c r="H45" i="33"/>
  <c r="J45" i="33"/>
  <c r="W45" i="33" s="1"/>
  <c r="F45" i="33"/>
  <c r="AA45" i="33"/>
  <c r="J14" i="34"/>
  <c r="W14" i="34" s="1"/>
  <c r="F14" i="34"/>
  <c r="S14" i="34"/>
  <c r="H14" i="34"/>
  <c r="J30" i="34"/>
  <c r="H32" i="34"/>
  <c r="F32" i="34"/>
  <c r="J32" i="34"/>
  <c r="W32" i="34" s="1"/>
  <c r="H46" i="34"/>
  <c r="H11" i="35"/>
  <c r="AB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J31" i="34"/>
  <c r="AC31" i="34" s="1"/>
  <c r="H31" i="34"/>
  <c r="F31" i="34"/>
  <c r="S31" i="34" s="1"/>
  <c r="H45" i="34"/>
  <c r="U45" i="34" s="1"/>
  <c r="J45" i="34"/>
  <c r="W45" i="34"/>
  <c r="F45" i="34"/>
  <c r="S45" i="34" s="1"/>
  <c r="H47" i="34"/>
  <c r="U47" i="34"/>
  <c r="F47" i="34"/>
  <c r="S47" i="34" s="1"/>
  <c r="J47" i="34"/>
  <c r="AC47" i="34" s="1"/>
  <c r="F13" i="35"/>
  <c r="J13" i="35"/>
  <c r="AC13" i="35" s="1"/>
  <c r="H13" i="35"/>
  <c r="U13" i="35" s="1"/>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2" i="40"/>
  <c r="S12" i="40" s="1"/>
  <c r="H12" i="40"/>
  <c r="AB12" i="40"/>
  <c r="H30" i="40"/>
  <c r="AB30" i="40" s="1"/>
  <c r="F33" i="40"/>
  <c r="AA33" i="40"/>
  <c r="H33" i="40"/>
  <c r="U33" i="40" s="1"/>
  <c r="J35" i="40"/>
  <c r="AC35" i="40"/>
  <c r="J37" i="40"/>
  <c r="AC37" i="40" s="1"/>
  <c r="H13" i="40"/>
  <c r="U13" i="40"/>
  <c r="J13" i="40"/>
  <c r="W13" i="40" s="1"/>
  <c r="F13" i="40"/>
  <c r="AA13" i="40"/>
  <c r="F14" i="37"/>
  <c r="F27" i="37"/>
  <c r="AA27" i="37"/>
  <c r="H14" i="40"/>
  <c r="AB14" i="40"/>
  <c r="J14" i="40"/>
  <c r="W14" i="40" s="1"/>
  <c r="F14" i="40"/>
  <c r="AA14" i="40"/>
  <c r="J14" i="37"/>
  <c r="J27" i="37"/>
  <c r="AC27" i="37" s="1"/>
  <c r="AA44" i="33"/>
  <c r="U46" i="33"/>
  <c r="AA14" i="33"/>
  <c r="J36" i="37"/>
  <c r="AC36" i="37"/>
  <c r="J10" i="36"/>
  <c r="AC10" i="36" s="1"/>
  <c r="W31" i="34"/>
  <c r="S11" i="36"/>
  <c r="AA14" i="34"/>
  <c r="S45" i="33"/>
  <c r="AC28" i="21"/>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AZ560" i="3" s="1"/>
  <c r="BA558" i="3"/>
  <c r="AZ558" i="3" s="1"/>
  <c r="BA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AZ526" i="3" s="1"/>
  <c r="BA524" i="3"/>
  <c r="BA522" i="3"/>
  <c r="BA520" i="3"/>
  <c r="BA518" i="3"/>
  <c r="BA516" i="3"/>
  <c r="BA514" i="3"/>
  <c r="BA512" i="3"/>
  <c r="AZ512" i="3" s="1"/>
  <c r="BA510" i="3"/>
  <c r="AZ510" i="3"/>
  <c r="BA508" i="3"/>
  <c r="AZ508" i="3" s="1"/>
  <c r="BA506" i="3"/>
  <c r="BA504" i="3"/>
  <c r="AZ504" i="3"/>
  <c r="BA502" i="3"/>
  <c r="BA500" i="3"/>
  <c r="BA498" i="3"/>
  <c r="BA496" i="3"/>
  <c r="BA494"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AZ501" i="3" s="1"/>
  <c r="BA499" i="3"/>
  <c r="BA497" i="3"/>
  <c r="BA495"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H42" i="33"/>
  <c r="AB42" i="33" s="1"/>
  <c r="J43" i="33"/>
  <c r="AC43" i="33" s="1"/>
  <c r="S28" i="31"/>
  <c r="S27" i="31"/>
  <c r="S26" i="31"/>
  <c r="U14" i="40"/>
  <c r="W23" i="35"/>
  <c r="U39" i="37"/>
  <c r="U26" i="37"/>
  <c r="AA13" i="33"/>
  <c r="AC45" i="33"/>
  <c r="U11" i="33"/>
  <c r="U19" i="21"/>
  <c r="AB38" i="21"/>
  <c r="F43" i="33"/>
  <c r="AA43" i="33" s="1"/>
  <c r="W15" i="34"/>
  <c r="AC15" i="34"/>
  <c r="W16" i="35"/>
  <c r="W40" i="37"/>
  <c r="G107" i="37"/>
  <c r="H107" i="37"/>
  <c r="I107" i="37" s="1"/>
  <c r="J107" i="37" s="1"/>
  <c r="K107" i="37" s="1"/>
  <c r="L107" i="37" s="1"/>
  <c r="M107" i="37" s="1"/>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J15" i="37"/>
  <c r="W15" i="37"/>
  <c r="AT6" i="3"/>
  <c r="AA25" i="21"/>
  <c r="H19" i="40"/>
  <c r="U19" i="40" s="1"/>
  <c r="F88" i="40"/>
  <c r="G88" i="40" s="1"/>
  <c r="F19" i="40"/>
  <c r="S19" i="40" s="1"/>
  <c r="S14" i="40"/>
  <c r="AC13" i="40"/>
  <c r="AB33" i="40"/>
  <c r="AC43" i="39"/>
  <c r="W43" i="39"/>
  <c r="U45" i="39"/>
  <c r="AB45" i="39"/>
  <c r="AB44" i="39"/>
  <c r="U44" i="39"/>
  <c r="H37" i="39"/>
  <c r="AB37" i="39" s="1"/>
  <c r="AC37" i="39"/>
  <c r="W37" i="39"/>
  <c r="F25" i="39"/>
  <c r="AA25" i="39" s="1"/>
  <c r="F15" i="39"/>
  <c r="AA15" i="39" s="1"/>
  <c r="H15" i="39"/>
  <c r="U15" i="39" s="1"/>
  <c r="J15" i="39"/>
  <c r="W15" i="39" s="1"/>
  <c r="H41" i="39"/>
  <c r="AB41" i="39" s="1"/>
  <c r="AB34"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61" i="43"/>
  <c r="H64" i="4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47" i="3"/>
  <c r="AZ55" i="3"/>
  <c r="AZ67" i="3"/>
  <c r="AZ9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AZ336" i="3" s="1"/>
  <c r="BA337" i="3"/>
  <c r="BL337" i="3"/>
  <c r="G338" i="3"/>
  <c r="G341" i="3"/>
  <c r="BA342" i="3"/>
  <c r="BL342" i="3"/>
  <c r="AZ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46" i="3"/>
  <c r="AZ162" i="3"/>
  <c r="AZ194" i="3"/>
  <c r="AZ198" i="3"/>
  <c r="AZ500" i="3"/>
  <c r="BA16" i="3"/>
  <c r="BL303" i="3"/>
  <c r="G304" i="3"/>
  <c r="BA306" i="3"/>
  <c r="BL307" i="3"/>
  <c r="G308" i="3"/>
  <c r="BA310" i="3"/>
  <c r="AZ310" i="3"/>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69" i="3"/>
  <c r="BA379" i="3"/>
  <c r="AZ379" i="3" s="1"/>
  <c r="BL380" i="3"/>
  <c r="G381" i="3"/>
  <c r="BA383" i="3"/>
  <c r="BL384" i="3"/>
  <c r="AZ384" i="3" s="1"/>
  <c r="G385" i="3"/>
  <c r="BA387" i="3"/>
  <c r="AZ387" i="3" s="1"/>
  <c r="BL388" i="3"/>
  <c r="AZ388" i="3" s="1"/>
  <c r="G389" i="3"/>
  <c r="BA391" i="3"/>
  <c r="AZ391" i="3" s="1"/>
  <c r="BL392" i="3"/>
  <c r="G393" i="3"/>
  <c r="BM5" i="3"/>
  <c r="BF5" i="3"/>
  <c r="AZ506" i="3"/>
  <c r="AZ496" i="3"/>
  <c r="G548" i="3"/>
  <c r="G538" i="3"/>
  <c r="G520" i="3"/>
  <c r="G502" i="3"/>
  <c r="BS5" i="3"/>
  <c r="BP5" i="3"/>
  <c r="BK5" i="3"/>
  <c r="BC5" i="3"/>
  <c r="G17" i="3"/>
  <c r="BA17" i="3"/>
  <c r="AZ350" i="3"/>
  <c r="BA15" i="3"/>
  <c r="AZ380" i="3"/>
  <c r="AZ392" i="3"/>
  <c r="AZ499" i="3"/>
  <c r="G509" i="3"/>
  <c r="BL493" i="3"/>
  <c r="U36" i="40"/>
  <c r="F83" i="43"/>
  <c r="H85" i="43" s="1"/>
  <c r="F50" i="43"/>
  <c r="H54" i="43" s="1"/>
  <c r="F72" i="43"/>
  <c r="H75" i="43" s="1"/>
  <c r="S14" i="35"/>
  <c r="U43" i="21"/>
  <c r="U35" i="21"/>
  <c r="AC35" i="21"/>
  <c r="AZ563" i="3"/>
  <c r="W37" i="37"/>
  <c r="W44" i="34"/>
  <c r="AC44" i="34"/>
  <c r="S15" i="37"/>
  <c r="U13" i="37"/>
  <c r="U12" i="40"/>
  <c r="AA12" i="40"/>
  <c r="J37" i="33"/>
  <c r="W37" i="33"/>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c r="J27" i="40"/>
  <c r="F27" i="40"/>
  <c r="S27" i="40" s="1"/>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8" i="3"/>
  <c r="AZ259" i="3"/>
  <c r="AZ271"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K9" i="1"/>
  <c r="M9" i="1" s="1"/>
  <c r="D93" i="9"/>
  <c r="K6" i="1"/>
  <c r="AP6" i="1" s="1"/>
  <c r="W26" i="33"/>
  <c r="W27" i="34"/>
  <c r="AC27" i="34"/>
  <c r="U34" i="36"/>
  <c r="AC12" i="39"/>
  <c r="W12" i="39"/>
  <c r="AC39" i="40"/>
  <c r="W39" i="40"/>
  <c r="W12" i="33"/>
  <c r="AC12" i="33"/>
  <c r="AA32" i="36"/>
  <c r="S32" i="36"/>
  <c r="AZ473" i="3"/>
  <c r="AC13" i="34"/>
  <c r="AA47" i="34"/>
  <c r="W28" i="37"/>
  <c r="S19" i="39"/>
  <c r="F12" i="33"/>
  <c r="H12" i="39"/>
  <c r="AB12" i="39" s="1"/>
  <c r="F39" i="40"/>
  <c r="BA14" i="3"/>
  <c r="AZ250" i="3"/>
  <c r="AZ286" i="3"/>
  <c r="AZ181" i="3"/>
  <c r="B12" i="1"/>
  <c r="E12" i="1" s="1"/>
  <c r="K12" i="1"/>
  <c r="M12" i="1" s="1"/>
  <c r="S13" i="1"/>
  <c r="AR13" i="1" s="1"/>
  <c r="R13" i="1"/>
  <c r="J51" i="67"/>
  <c r="C42" i="1"/>
  <c r="C24" i="12" s="1"/>
  <c r="AC34" i="33"/>
  <c r="AA34" i="33"/>
  <c r="B41" i="1"/>
  <c r="F48" i="9" s="1"/>
  <c r="O52" i="9" s="1"/>
  <c r="AB37" i="40"/>
  <c r="S35" i="40"/>
  <c r="U35" i="40"/>
  <c r="W38" i="40"/>
  <c r="AA32" i="40"/>
  <c r="S17" i="40"/>
  <c r="S23" i="40"/>
  <c r="AC17" i="40"/>
  <c r="AC15" i="40"/>
  <c r="AB27" i="40"/>
  <c r="AA19" i="40"/>
  <c r="S28" i="40"/>
  <c r="AA27" i="40"/>
  <c r="AB19" i="40"/>
  <c r="U37" i="39"/>
  <c r="S43" i="39"/>
  <c r="U35" i="39"/>
  <c r="F32" i="39"/>
  <c r="F106" i="39"/>
  <c r="G106" i="39" s="1"/>
  <c r="H106" i="39" s="1"/>
  <c r="I106" i="39" s="1"/>
  <c r="J106" i="39" s="1"/>
  <c r="K106" i="39" s="1"/>
  <c r="L106" i="39" s="1"/>
  <c r="M106" i="39" s="1"/>
  <c r="U31" i="39"/>
  <c r="J21" i="39"/>
  <c r="W21" i="39" s="1"/>
  <c r="U19" i="39"/>
  <c r="AA12" i="39"/>
  <c r="S9" i="39"/>
  <c r="S23" i="36"/>
  <c r="U13" i="36"/>
  <c r="U26" i="36"/>
  <c r="S33" i="36"/>
  <c r="AA26" i="36"/>
  <c r="AA34" i="36"/>
  <c r="AA22" i="36"/>
  <c r="W14" i="36"/>
  <c r="AB14" i="36"/>
  <c r="U22" i="36"/>
  <c r="S16" i="36"/>
  <c r="AA25" i="36"/>
  <c r="S24" i="36"/>
  <c r="U24" i="36"/>
  <c r="U23" i="36"/>
  <c r="AB20" i="36"/>
  <c r="U16" i="36"/>
  <c r="S14" i="36"/>
  <c r="S23" i="35"/>
  <c r="W24" i="35"/>
  <c r="AB13" i="35"/>
  <c r="U29"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S32" i="37"/>
  <c r="W30" i="37"/>
  <c r="S36" i="37"/>
  <c r="AA38" i="37"/>
  <c r="W38" i="37"/>
  <c r="AC35" i="37"/>
  <c r="W39" i="37"/>
  <c r="S30" i="37"/>
  <c r="S37" i="37"/>
  <c r="AC15" i="37"/>
  <c r="J17" i="37"/>
  <c r="W17" i="37" s="1"/>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F85" i="21" s="1"/>
  <c r="G85" i="21" s="1"/>
  <c r="AA14" i="21"/>
  <c r="D120" i="9"/>
  <c r="D121" i="9" s="1"/>
  <c r="D7" i="52" s="1"/>
  <c r="C18" i="9"/>
  <c r="D18" i="9" s="1"/>
  <c r="F34" i="15"/>
  <c r="F62" i="15" s="1"/>
  <c r="G13" i="3"/>
  <c r="BL17" i="3"/>
  <c r="AZ17" i="3"/>
  <c r="J56" i="9"/>
  <c r="J57" i="9" s="1"/>
  <c r="J59" i="9" s="1"/>
  <c r="J61" i="9" s="1"/>
  <c r="A24" i="51"/>
  <c r="B18" i="72" s="1"/>
  <c r="E32" i="6"/>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W23" i="40"/>
  <c r="U32" i="40"/>
  <c r="AB31" i="40"/>
  <c r="S37" i="40"/>
  <c r="AB28" i="40"/>
  <c r="W28" i="40"/>
  <c r="W34" i="40"/>
  <c r="S36" i="40"/>
  <c r="W37" i="40"/>
  <c r="AC14" i="40"/>
  <c r="S13" i="40"/>
  <c r="S33" i="40"/>
  <c r="AA15" i="40"/>
  <c r="U11" i="40"/>
  <c r="AB13" i="40"/>
  <c r="U15" i="40"/>
  <c r="AB17" i="40"/>
  <c r="U8" i="40"/>
  <c r="S8" i="40"/>
  <c r="U43" i="39"/>
  <c r="AB43" i="39"/>
  <c r="AC31" i="39"/>
  <c r="AA45" i="39"/>
  <c r="S8" i="39"/>
  <c r="S20" i="36"/>
  <c r="U32" i="36"/>
  <c r="W29" i="36"/>
  <c r="AC20" i="36"/>
  <c r="U25" i="36"/>
  <c r="AB28" i="36"/>
  <c r="AA13" i="36"/>
  <c r="W9" i="36"/>
  <c r="W22" i="36"/>
  <c r="W23" i="36"/>
  <c r="AB20" i="35"/>
  <c r="U25" i="35"/>
  <c r="U24" i="35"/>
  <c r="S35" i="35"/>
  <c r="W35" i="35"/>
  <c r="AA35" i="37"/>
  <c r="W36" i="37"/>
  <c r="S27" i="37"/>
  <c r="S28" i="37"/>
  <c r="W32" i="37"/>
  <c r="U36" i="37"/>
  <c r="S40" i="37"/>
  <c r="U38" i="37"/>
  <c r="AB37" i="37"/>
  <c r="AC34" i="37"/>
  <c r="AA31" i="37"/>
  <c r="U19" i="37"/>
  <c r="AA29" i="37"/>
  <c r="U8" i="37"/>
  <c r="AB40" i="34"/>
  <c r="U19" i="34"/>
  <c r="W19" i="34"/>
  <c r="AC45" i="34"/>
  <c r="AA31" i="34"/>
  <c r="AA30" i="34"/>
  <c r="AB45" i="34"/>
  <c r="AB47" i="34"/>
  <c r="U25" i="34"/>
  <c r="AB36" i="34"/>
  <c r="AC14" i="34"/>
  <c r="AC32" i="34"/>
  <c r="AC29" i="34"/>
  <c r="W29" i="34"/>
  <c r="S32" i="34"/>
  <c r="AA32"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42" i="21"/>
  <c r="AC45" i="21"/>
  <c r="F10" i="21"/>
  <c r="AA10" i="21" s="1"/>
  <c r="K145" i="21"/>
  <c r="W17" i="21"/>
  <c r="W25" i="21"/>
  <c r="W31" i="21"/>
  <c r="S17" i="21"/>
  <c r="AA15" i="21"/>
  <c r="AC26" i="21"/>
  <c r="S28" i="21"/>
  <c r="AC34" i="21"/>
  <c r="AB36" i="21"/>
  <c r="W30" i="40"/>
  <c r="C19" i="39"/>
  <c r="C15" i="40"/>
  <c r="C17" i="40"/>
  <c r="C23" i="40"/>
  <c r="C21" i="40"/>
  <c r="B56" i="43"/>
  <c r="B67" i="43"/>
  <c r="B51" i="43"/>
  <c r="B54" i="43"/>
  <c r="B58" i="43"/>
  <c r="B62" i="43"/>
  <c r="B65" i="43"/>
  <c r="B69" i="43"/>
  <c r="E4" i="4"/>
  <c r="B5" i="62" s="1"/>
  <c r="B73" i="72" s="1"/>
  <c r="C4" i="4"/>
  <c r="F30" i="68"/>
  <c r="F48" i="68" s="1"/>
  <c r="AA39" i="40"/>
  <c r="S39" i="40"/>
  <c r="S12" i="33"/>
  <c r="AA12" i="33"/>
  <c r="J32" i="39"/>
  <c r="AC32" i="39" s="1"/>
  <c r="H32" i="39"/>
  <c r="AB32" i="39" s="1"/>
  <c r="AA32" i="39"/>
  <c r="S32" i="39"/>
  <c r="AC17" i="37"/>
  <c r="S17" i="37"/>
  <c r="J19" i="37"/>
  <c r="W19" i="37" s="1"/>
  <c r="G75" i="37"/>
  <c r="AA19" i="37"/>
  <c r="AA23" i="37"/>
  <c r="J23" i="37"/>
  <c r="AC23" i="37" s="1"/>
  <c r="G79" i="37"/>
  <c r="J10" i="37"/>
  <c r="W10" i="37" s="1"/>
  <c r="H11" i="37"/>
  <c r="AB11" i="37" s="1"/>
  <c r="G70" i="34"/>
  <c r="H11" i="34"/>
  <c r="U11" i="34" s="1"/>
  <c r="J10" i="34"/>
  <c r="AC10" i="34" s="1"/>
  <c r="AB41" i="33"/>
  <c r="U41" i="33"/>
  <c r="W35" i="33"/>
  <c r="AC35" i="33"/>
  <c r="J36" i="33"/>
  <c r="W36" i="33" s="1"/>
  <c r="H36" i="33"/>
  <c r="U36" i="33" s="1"/>
  <c r="S36" i="33"/>
  <c r="U27" i="33"/>
  <c r="AB27" i="33"/>
  <c r="J27" i="33"/>
  <c r="AC27" i="33" s="1"/>
  <c r="U25" i="33"/>
  <c r="AB25" i="33"/>
  <c r="G87" i="33"/>
  <c r="H87" i="33"/>
  <c r="I87" i="33" s="1"/>
  <c r="J87" i="33" s="1"/>
  <c r="K87" i="33" s="1"/>
  <c r="L87" i="33" s="1"/>
  <c r="M87" i="33" s="1"/>
  <c r="J25" i="33"/>
  <c r="AC25" i="33" s="1"/>
  <c r="AB23" i="33"/>
  <c r="U23" i="33"/>
  <c r="F23" i="33"/>
  <c r="G85" i="33"/>
  <c r="AA19" i="33"/>
  <c r="H19" i="33"/>
  <c r="U19" i="33" s="1"/>
  <c r="H17" i="33"/>
  <c r="U17" i="33" s="1"/>
  <c r="F17" i="33"/>
  <c r="S17" i="33" s="1"/>
  <c r="W17" i="33"/>
  <c r="AC17" i="33"/>
  <c r="AA23" i="21"/>
  <c r="AB15" i="21"/>
  <c r="J23" i="21"/>
  <c r="H23" i="21"/>
  <c r="S13" i="21"/>
  <c r="D6" i="52"/>
  <c r="AP7" i="1"/>
  <c r="AB45" i="21"/>
  <c r="AB9" i="21"/>
  <c r="U9" i="21"/>
  <c r="AA32" i="21"/>
  <c r="S32" i="21"/>
  <c r="W9" i="21"/>
  <c r="AC9" i="21"/>
  <c r="AB32" i="21"/>
  <c r="U32" i="21"/>
  <c r="W23" i="37"/>
  <c r="J11" i="37"/>
  <c r="AC11" i="37" s="1"/>
  <c r="H70" i="34"/>
  <c r="I70" i="34" s="1"/>
  <c r="J70" i="34" s="1"/>
  <c r="K70" i="34" s="1"/>
  <c r="L70" i="34" s="1"/>
  <c r="M70" i="34" s="1"/>
  <c r="J11" i="34"/>
  <c r="W11" i="34" s="1"/>
  <c r="W27" i="33"/>
  <c r="W25" i="33"/>
  <c r="AB19"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B10" i="76"/>
  <c r="E11" i="76"/>
  <c r="F5" i="73"/>
  <c r="B12" i="76"/>
  <c r="E2" i="68"/>
  <c r="B7" i="76"/>
  <c r="E8" i="76"/>
  <c r="B13" i="76"/>
  <c r="AO13" i="1"/>
  <c r="B9" i="76"/>
  <c r="F3" i="73"/>
  <c r="E9" i="76"/>
  <c r="D6" i="73"/>
  <c r="B11" i="76"/>
  <c r="B8" i="76"/>
  <c r="F6" i="73"/>
  <c r="E7" i="76"/>
  <c r="E12" i="76"/>
  <c r="F4" i="73"/>
  <c r="E2" i="69"/>
  <c r="F7" i="73"/>
  <c r="E10" i="76"/>
  <c r="E13" i="76"/>
  <c r="J11" i="39" l="1"/>
  <c r="W11" i="39" s="1"/>
  <c r="H27" i="39"/>
  <c r="U27" i="39" s="1"/>
  <c r="F27" i="39"/>
  <c r="S27" i="39" s="1"/>
  <c r="J27" i="39"/>
  <c r="AC27" i="39" s="1"/>
  <c r="H21" i="39"/>
  <c r="AB21" i="39" s="1"/>
  <c r="F21" i="39"/>
  <c r="S21" i="39" s="1"/>
  <c r="U12" i="39"/>
  <c r="H14" i="39"/>
  <c r="H11" i="39"/>
  <c r="F11" i="39"/>
  <c r="S11" i="39" s="1"/>
  <c r="AB27" i="39"/>
  <c r="J25" i="39"/>
  <c r="AC25" i="39" s="1"/>
  <c r="H25" i="39"/>
  <c r="AB25" i="39" s="1"/>
  <c r="AA21" i="39"/>
  <c r="F90" i="39"/>
  <c r="G90" i="39" s="1"/>
  <c r="H17" i="39"/>
  <c r="J17" i="39"/>
  <c r="W17" i="39" s="1"/>
  <c r="F17" i="39"/>
  <c r="U25" i="39"/>
  <c r="S38" i="39"/>
  <c r="U42" i="39"/>
  <c r="S40" i="39"/>
  <c r="AA41" i="39"/>
  <c r="S42" i="39"/>
  <c r="U40" i="39"/>
  <c r="W40" i="39"/>
  <c r="AC41" i="39"/>
  <c r="AB39" i="39"/>
  <c r="U38" i="39"/>
  <c r="AC11" i="39"/>
  <c r="W29" i="39"/>
  <c r="U29" i="39"/>
  <c r="W23" i="39"/>
  <c r="W19" i="39"/>
  <c r="AC17" i="39"/>
  <c r="S15" i="39"/>
  <c r="W9" i="39"/>
  <c r="W8" i="39"/>
  <c r="U9" i="39"/>
  <c r="W13" i="39"/>
  <c r="AC13" i="39"/>
  <c r="F13" i="39"/>
  <c r="AA14" i="39"/>
  <c r="H13" i="39"/>
  <c r="U32" i="39"/>
  <c r="W34" i="39"/>
  <c r="M20" i="67"/>
  <c r="F34" i="67"/>
  <c r="F62" i="67" s="1"/>
  <c r="F54" i="9"/>
  <c r="F32" i="15"/>
  <c r="F60" i="15" s="1"/>
  <c r="F52" i="9"/>
  <c r="D68" i="9"/>
  <c r="F31" i="12"/>
  <c r="F28" i="15"/>
  <c r="F32" i="67"/>
  <c r="F60" i="67" s="1"/>
  <c r="F28" i="67"/>
  <c r="C28" i="67" s="1"/>
  <c r="F30" i="69"/>
  <c r="F48" i="69" s="1"/>
  <c r="M18" i="15"/>
  <c r="M18" i="67"/>
  <c r="F30" i="11"/>
  <c r="C48" i="11" s="1"/>
  <c r="C40" i="68"/>
  <c r="E19" i="11"/>
  <c r="E19" i="68"/>
  <c r="D22" i="15"/>
  <c r="D23" i="15"/>
  <c r="G1" i="67"/>
  <c r="G1" i="68"/>
  <c r="K10" i="1"/>
  <c r="M10" i="1" s="1"/>
  <c r="O10" i="1" s="1"/>
  <c r="P10" i="1" s="1"/>
  <c r="G1" i="69"/>
  <c r="G1" i="15"/>
  <c r="F3" i="35"/>
  <c r="K7" i="1"/>
  <c r="M7" i="1" s="1"/>
  <c r="O7" i="1" s="1"/>
  <c r="P7" i="1" s="1"/>
  <c r="K1" i="12"/>
  <c r="E5" i="6"/>
  <c r="D9" i="11" s="1"/>
  <c r="C9" i="11" s="1"/>
  <c r="BB5" i="3"/>
  <c r="BH5" i="3"/>
  <c r="BD5" i="3"/>
  <c r="E12" i="6" s="1"/>
  <c r="E57" i="40" s="1"/>
  <c r="BJ5" i="3"/>
  <c r="BN5" i="3"/>
  <c r="G29" i="6" s="1"/>
  <c r="G30" i="6" s="1"/>
  <c r="G31" i="6" s="1"/>
  <c r="BG5" i="3"/>
  <c r="BT5" i="3"/>
  <c r="F29" i="6"/>
  <c r="BL14" i="3"/>
  <c r="H5" i="3"/>
  <c r="BL13" i="3"/>
  <c r="BR5" i="3"/>
  <c r="BI5" i="3"/>
  <c r="B68" i="43"/>
  <c r="B57" i="43"/>
  <c r="B79" i="43"/>
  <c r="B77" i="43"/>
  <c r="AA14" i="37"/>
  <c r="S14" i="37"/>
  <c r="AA37" i="39"/>
  <c r="S37" i="39"/>
  <c r="S40" i="34"/>
  <c r="AA40" i="34"/>
  <c r="AB36" i="33"/>
  <c r="W32" i="39"/>
  <c r="W32" i="33"/>
  <c r="AC15" i="21"/>
  <c r="AB35" i="37"/>
  <c r="U33" i="34"/>
  <c r="AA23" i="39"/>
  <c r="AZ313" i="3"/>
  <c r="AZ394" i="3"/>
  <c r="S31" i="40"/>
  <c r="AA31" i="40"/>
  <c r="AZ513" i="3"/>
  <c r="AZ575" i="3"/>
  <c r="AZ520" i="3"/>
  <c r="S44" i="34"/>
  <c r="AA44" i="34"/>
  <c r="S37" i="21"/>
  <c r="U30" i="40"/>
  <c r="AA39" i="39"/>
  <c r="S20" i="35"/>
  <c r="AC5" i="3"/>
  <c r="U31" i="37"/>
  <c r="AB31" i="37"/>
  <c r="S24" i="35"/>
  <c r="AA24" i="35"/>
  <c r="AB46" i="34"/>
  <c r="U46" i="34"/>
  <c r="U45" i="33"/>
  <c r="AB45" i="33"/>
  <c r="AC19" i="33"/>
  <c r="W19" i="33"/>
  <c r="S16" i="35"/>
  <c r="AA16" i="35"/>
  <c r="AA31" i="39"/>
  <c r="S31" i="39"/>
  <c r="AB36" i="39"/>
  <c r="U36" i="39"/>
  <c r="AA25" i="33"/>
  <c r="AC25" i="36"/>
  <c r="U41" i="39"/>
  <c r="W19" i="40"/>
  <c r="AC26" i="36"/>
  <c r="U30" i="33"/>
  <c r="AC33" i="34"/>
  <c r="W33" i="34"/>
  <c r="AA43" i="34"/>
  <c r="S43" i="34"/>
  <c r="AC27" i="40"/>
  <c r="W27" i="40"/>
  <c r="AB32" i="37"/>
  <c r="U32" i="37"/>
  <c r="AC17" i="34"/>
  <c r="AZ318" i="3"/>
  <c r="AZ390" i="3"/>
  <c r="AZ351" i="3"/>
  <c r="AZ341" i="3"/>
  <c r="AZ306" i="3"/>
  <c r="AC36" i="40"/>
  <c r="W36" i="40"/>
  <c r="U23" i="37"/>
  <c r="AB23" i="37"/>
  <c r="AZ502" i="3"/>
  <c r="AB29" i="34"/>
  <c r="U29" i="34"/>
  <c r="W31" i="33"/>
  <c r="AC31" i="33"/>
  <c r="AZ539" i="3"/>
  <c r="AZ529" i="3"/>
  <c r="AZ518" i="3"/>
  <c r="F25" i="35"/>
  <c r="J11" i="35"/>
  <c r="H30" i="34"/>
  <c r="H13" i="33"/>
  <c r="U13" i="33" s="1"/>
  <c r="H29" i="21"/>
  <c r="J44" i="21"/>
  <c r="AB12" i="36"/>
  <c r="S40" i="21"/>
  <c r="G586" i="3"/>
  <c r="BL585" i="3"/>
  <c r="AZ585" i="3" s="1"/>
  <c r="B72" i="43"/>
  <c r="C15" i="39"/>
  <c r="B75" i="43"/>
  <c r="AB35" i="33"/>
  <c r="H36" i="35"/>
  <c r="J12" i="36"/>
  <c r="J24" i="36"/>
  <c r="AB34" i="40"/>
  <c r="U34" i="40"/>
  <c r="F26" i="33"/>
  <c r="H26" i="33"/>
  <c r="J12" i="34"/>
  <c r="H12" i="34"/>
  <c r="H25" i="37"/>
  <c r="F25" i="37"/>
  <c r="U8" i="39"/>
  <c r="AB8" i="39"/>
  <c r="AZ443" i="3"/>
  <c r="AZ487" i="3"/>
  <c r="F36" i="35"/>
  <c r="W44" i="33"/>
  <c r="AC36" i="34"/>
  <c r="AC28" i="34"/>
  <c r="AZ519" i="3"/>
  <c r="AZ531" i="3"/>
  <c r="AZ573" i="3"/>
  <c r="AZ583" i="3"/>
  <c r="AZ576" i="3"/>
  <c r="J25" i="35"/>
  <c r="J46" i="34"/>
  <c r="F31" i="33"/>
  <c r="F44" i="21"/>
  <c r="F12" i="36"/>
  <c r="J33" i="36"/>
  <c r="AC33" i="36" s="1"/>
  <c r="H33" i="36"/>
  <c r="AB31" i="36"/>
  <c r="U31" i="36"/>
  <c r="S9" i="40"/>
  <c r="AA9" i="40"/>
  <c r="U21" i="40"/>
  <c r="AZ14" i="3"/>
  <c r="AZ345" i="3"/>
  <c r="AZ334" i="3"/>
  <c r="AZ372" i="3"/>
  <c r="AZ347" i="3"/>
  <c r="AZ337" i="3"/>
  <c r="AZ376" i="3"/>
  <c r="AZ309" i="3"/>
  <c r="AC12" i="37"/>
  <c r="W47" i="34"/>
  <c r="AZ515" i="3"/>
  <c r="AZ523" i="3"/>
  <c r="AZ547" i="3"/>
  <c r="AZ569" i="3"/>
  <c r="AZ571" i="3"/>
  <c r="AZ579" i="3"/>
  <c r="AZ516" i="3"/>
  <c r="AZ524" i="3"/>
  <c r="AB30" i="21"/>
  <c r="J13" i="21"/>
  <c r="J27" i="21"/>
  <c r="F27" i="21"/>
  <c r="F12" i="34"/>
  <c r="S12" i="34" s="1"/>
  <c r="F9" i="34"/>
  <c r="AA9" i="34" s="1"/>
  <c r="J9" i="34"/>
  <c r="W31" i="40"/>
  <c r="S31" i="35"/>
  <c r="F39" i="37"/>
  <c r="S39" i="37" s="1"/>
  <c r="J44" i="39"/>
  <c r="G587" i="3"/>
  <c r="J12" i="35"/>
  <c r="BA551" i="3"/>
  <c r="AZ551" i="3" s="1"/>
  <c r="BA550" i="3"/>
  <c r="BL548" i="3"/>
  <c r="AZ548" i="3" s="1"/>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G450" i="3"/>
  <c r="G451" i="3"/>
  <c r="BA454" i="3"/>
  <c r="AZ454" i="3" s="1"/>
  <c r="BA457" i="3"/>
  <c r="AZ457" i="3" s="1"/>
  <c r="BA459" i="3"/>
  <c r="AZ459" i="3" s="1"/>
  <c r="BA460" i="3"/>
  <c r="BA461" i="3"/>
  <c r="AZ461" i="3" s="1"/>
  <c r="BL464" i="3"/>
  <c r="AZ464" i="3" s="1"/>
  <c r="BL466" i="3"/>
  <c r="AZ466" i="3" s="1"/>
  <c r="G468" i="3"/>
  <c r="G469" i="3"/>
  <c r="BL476" i="3"/>
  <c r="BL477" i="3"/>
  <c r="BL478" i="3"/>
  <c r="G479" i="3"/>
  <c r="G480" i="3"/>
  <c r="BL480" i="3"/>
  <c r="G482" i="3"/>
  <c r="BA483" i="3"/>
  <c r="BL483" i="3"/>
  <c r="AZ483" i="3" s="1"/>
  <c r="BA486" i="3"/>
  <c r="BL489" i="3"/>
  <c r="BL491" i="3"/>
  <c r="BL492" i="3"/>
  <c r="G307" i="3"/>
  <c r="BA315" i="3"/>
  <c r="AZ315" i="3" s="1"/>
  <c r="BA333" i="3"/>
  <c r="BL346" i="3"/>
  <c r="AZ346" i="3" s="1"/>
  <c r="G349" i="3"/>
  <c r="G374" i="3"/>
  <c r="BL383" i="3"/>
  <c r="AZ383" i="3" s="1"/>
  <c r="G209" i="3"/>
  <c r="AZ270" i="3"/>
  <c r="U9" i="40"/>
  <c r="G585" i="3"/>
  <c r="BL587" i="3"/>
  <c r="AZ587" i="3" s="1"/>
  <c r="BL586" i="3"/>
  <c r="AZ586" i="3" s="1"/>
  <c r="G574" i="3"/>
  <c r="BL16" i="3"/>
  <c r="AZ16" i="3" s="1"/>
  <c r="BA401" i="3"/>
  <c r="AZ401" i="3" s="1"/>
  <c r="BA403" i="3"/>
  <c r="AZ403" i="3" s="1"/>
  <c r="BA404" i="3"/>
  <c r="BA405" i="3"/>
  <c r="AZ405" i="3" s="1"/>
  <c r="BL410" i="3"/>
  <c r="G412" i="3"/>
  <c r="G418" i="3"/>
  <c r="AZ444" i="3"/>
  <c r="AZ448" i="3"/>
  <c r="AZ476" i="3"/>
  <c r="AZ480" i="3"/>
  <c r="BA482" i="3"/>
  <c r="BA303" i="3"/>
  <c r="AZ303" i="3" s="1"/>
  <c r="BA307" i="3"/>
  <c r="AZ307" i="3" s="1"/>
  <c r="G311" i="3"/>
  <c r="BL314" i="3"/>
  <c r="AZ314" i="3" s="1"/>
  <c r="G315" i="3"/>
  <c r="BA332" i="3"/>
  <c r="BL332" i="3"/>
  <c r="G339" i="3"/>
  <c r="G364" i="3"/>
  <c r="BA367" i="3"/>
  <c r="AZ367" i="3" s="1"/>
  <c r="BA370" i="3"/>
  <c r="AZ370" i="3" s="1"/>
  <c r="BL381" i="3"/>
  <c r="AZ381" i="3" s="1"/>
  <c r="G212" i="3"/>
  <c r="AZ125" i="3"/>
  <c r="BA238"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BL173" i="3"/>
  <c r="AZ173"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AZ255" i="3" s="1"/>
  <c r="BL257" i="3"/>
  <c r="AZ257" i="3" s="1"/>
  <c r="BL258" i="3"/>
  <c r="BA262" i="3"/>
  <c r="AZ262" i="3" s="1"/>
  <c r="BL265" i="3"/>
  <c r="AZ265" i="3" s="1"/>
  <c r="BA273" i="3"/>
  <c r="BA278" i="3"/>
  <c r="AZ278" i="3" s="1"/>
  <c r="BA280" i="3"/>
  <c r="AZ280" i="3" s="1"/>
  <c r="BL283" i="3"/>
  <c r="AZ283" i="3" s="1"/>
  <c r="BL284" i="3"/>
  <c r="G288" i="3"/>
  <c r="BL292" i="3"/>
  <c r="BA294" i="3"/>
  <c r="BA386" i="3"/>
  <c r="AZ386" i="3" s="1"/>
  <c r="BA216" i="3"/>
  <c r="AZ216" i="3" s="1"/>
  <c r="BA218" i="3"/>
  <c r="AZ218" i="3" s="1"/>
  <c r="BL218" i="3"/>
  <c r="BL220" i="3"/>
  <c r="BL221" i="3"/>
  <c r="BL223" i="3"/>
  <c r="AZ223" i="3" s="1"/>
  <c r="BA227" i="3"/>
  <c r="AZ227" i="3" s="1"/>
  <c r="BA229" i="3"/>
  <c r="BL229" i="3"/>
  <c r="BL231" i="3"/>
  <c r="AZ231" i="3" s="1"/>
  <c r="BL233" i="3"/>
  <c r="AZ233" i="3" s="1"/>
  <c r="BL235" i="3"/>
  <c r="AZ235" i="3" s="1"/>
  <c r="BL236" i="3"/>
  <c r="BL238" i="3"/>
  <c r="BL243" i="3"/>
  <c r="AZ243" i="3" s="1"/>
  <c r="BA247" i="3"/>
  <c r="BL247" i="3"/>
  <c r="BA249" i="3"/>
  <c r="AZ249" i="3" s="1"/>
  <c r="BL249" i="3"/>
  <c r="BA251" i="3"/>
  <c r="BL251" i="3"/>
  <c r="BA253" i="3"/>
  <c r="BL260" i="3"/>
  <c r="G262" i="3"/>
  <c r="BL263" i="3"/>
  <c r="AZ263" i="3" s="1"/>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BL126" i="3"/>
  <c r="BA144" i="3"/>
  <c r="AZ144" i="3" s="1"/>
  <c r="G152" i="3"/>
  <c r="BL385" i="3"/>
  <c r="G392" i="3"/>
  <c r="BA397" i="3"/>
  <c r="AZ397" i="3" s="1"/>
  <c r="BL397" i="3"/>
  <c r="BA210" i="3"/>
  <c r="BL210" i="3"/>
  <c r="BL212" i="3"/>
  <c r="AZ212" i="3" s="1"/>
  <c r="G214" i="3"/>
  <c r="BL214" i="3"/>
  <c r="AZ214" i="3" s="1"/>
  <c r="G216" i="3"/>
  <c r="BL225" i="3"/>
  <c r="AZ225" i="3" s="1"/>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BA152" i="3"/>
  <c r="AZ152" i="3" s="1"/>
  <c r="BA154" i="3"/>
  <c r="AZ154" i="3" s="1"/>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G38" i="3"/>
  <c r="BA38" i="3"/>
  <c r="BA41" i="3"/>
  <c r="BA42" i="3"/>
  <c r="G46" i="3"/>
  <c r="G47" i="3"/>
  <c r="BL48" i="3"/>
  <c r="BA51" i="3"/>
  <c r="G55" i="3"/>
  <c r="BL56" i="3"/>
  <c r="BA58" i="3"/>
  <c r="AZ58" i="3" s="1"/>
  <c r="BL59" i="3"/>
  <c r="AZ59" i="3" s="1"/>
  <c r="BL60" i="3"/>
  <c r="BA61" i="3"/>
  <c r="AZ61" i="3" s="1"/>
  <c r="BL69" i="3"/>
  <c r="G70" i="3"/>
  <c r="BL70" i="3"/>
  <c r="BL71" i="3"/>
  <c r="BL72" i="3"/>
  <c r="AZ72" i="3" s="1"/>
  <c r="G74" i="3"/>
  <c r="BA75" i="3"/>
  <c r="BA87" i="3"/>
  <c r="AZ108" i="3"/>
  <c r="AB21" i="37"/>
  <c r="U21" i="37"/>
  <c r="T44" i="71"/>
  <c r="P65" i="71"/>
  <c r="P66" i="71"/>
  <c r="AA28" i="71"/>
  <c r="C36" i="71"/>
  <c r="D35" i="71"/>
  <c r="Y35" i="71"/>
  <c r="Z35" i="71" s="1"/>
  <c r="S80" i="71"/>
  <c r="B79" i="71"/>
  <c r="B78" i="71" s="1"/>
  <c r="V24" i="71"/>
  <c r="E23" i="71"/>
  <c r="E22" i="71" s="1"/>
  <c r="E21" i="71" s="1"/>
  <c r="E20" i="71" s="1"/>
  <c r="AA3" i="71"/>
  <c r="BL40" i="3"/>
  <c r="BL41" i="3"/>
  <c r="BL45" i="3"/>
  <c r="BA48" i="3"/>
  <c r="BA49" i="3"/>
  <c r="AZ70" i="3"/>
  <c r="U21" i="33"/>
  <c r="AB21" i="33"/>
  <c r="C52" i="71"/>
  <c r="D51" i="71"/>
  <c r="F66" i="71"/>
  <c r="Q67" i="71"/>
  <c r="X25" i="71"/>
  <c r="BL177" i="3"/>
  <c r="AZ177" i="3" s="1"/>
  <c r="BL183" i="3"/>
  <c r="AZ183" i="3" s="1"/>
  <c r="BA186" i="3"/>
  <c r="AZ186" i="3" s="1"/>
  <c r="BA190" i="3"/>
  <c r="BA197" i="3"/>
  <c r="AZ197" i="3" s="1"/>
  <c r="BL201" i="3"/>
  <c r="AZ201" i="3" s="1"/>
  <c r="BL203" i="3"/>
  <c r="AZ203" i="3" s="1"/>
  <c r="BA204" i="3"/>
  <c r="AZ204" i="3" s="1"/>
  <c r="BA18" i="3"/>
  <c r="AZ18" i="3" s="1"/>
  <c r="G21" i="3"/>
  <c r="BL21" i="3"/>
  <c r="G23" i="3"/>
  <c r="G29" i="3"/>
  <c r="BL29" i="3"/>
  <c r="G33" i="3"/>
  <c r="G34" i="3"/>
  <c r="BA37" i="3"/>
  <c r="G39" i="3"/>
  <c r="BL39" i="3"/>
  <c r="G43" i="3"/>
  <c r="G44" i="3"/>
  <c r="BA45" i="3"/>
  <c r="AZ45" i="3" s="1"/>
  <c r="BA46" i="3"/>
  <c r="G51" i="3"/>
  <c r="BA52" i="3"/>
  <c r="AZ52" i="3" s="1"/>
  <c r="BA53" i="3"/>
  <c r="BA54" i="3"/>
  <c r="BL57" i="3"/>
  <c r="G62" i="3"/>
  <c r="BL62" i="3"/>
  <c r="BL63" i="3"/>
  <c r="G67" i="3"/>
  <c r="BL68" i="3"/>
  <c r="AZ68" i="3" s="1"/>
  <c r="BA69" i="3"/>
  <c r="BA73" i="3"/>
  <c r="G78" i="3"/>
  <c r="G79" i="3"/>
  <c r="BA80" i="3"/>
  <c r="BL84" i="3"/>
  <c r="BA91" i="3"/>
  <c r="AZ91" i="3" s="1"/>
  <c r="BL93" i="3"/>
  <c r="BA109" i="3"/>
  <c r="T32" i="71"/>
  <c r="D32" i="71"/>
  <c r="AB34" i="71"/>
  <c r="C47" i="71"/>
  <c r="D47" i="71" s="1"/>
  <c r="D46" i="71"/>
  <c r="C67" i="71"/>
  <c r="T68" i="71"/>
  <c r="O68" i="71"/>
  <c r="T76" i="71"/>
  <c r="D76" i="71"/>
  <c r="C75" i="71"/>
  <c r="Y27" i="71"/>
  <c r="Z27" i="71" s="1"/>
  <c r="Y26" i="71"/>
  <c r="Z26" i="71" s="1"/>
  <c r="C23" i="71"/>
  <c r="B22" i="71"/>
  <c r="B21" i="71" s="1"/>
  <c r="B20" i="71" s="1"/>
  <c r="BL167" i="3"/>
  <c r="AZ167" i="3" s="1"/>
  <c r="BL178" i="3"/>
  <c r="BA180" i="3"/>
  <c r="AZ180" i="3" s="1"/>
  <c r="BL182" i="3"/>
  <c r="AZ182" i="3" s="1"/>
  <c r="BA185" i="3"/>
  <c r="BL191" i="3"/>
  <c r="AZ191" i="3" s="1"/>
  <c r="BA193" i="3"/>
  <c r="AZ193" i="3" s="1"/>
  <c r="BA196" i="3"/>
  <c r="AZ196" i="3" s="1"/>
  <c r="G203" i="3"/>
  <c r="BA205" i="3"/>
  <c r="AZ205" i="3" s="1"/>
  <c r="BL20" i="3"/>
  <c r="BA21" i="3"/>
  <c r="AZ21" i="3" s="1"/>
  <c r="BA25" i="3"/>
  <c r="AZ25" i="3" s="1"/>
  <c r="BA26" i="3"/>
  <c r="BL28" i="3"/>
  <c r="BA29" i="3"/>
  <c r="AZ29" i="3" s="1"/>
  <c r="BA36" i="3"/>
  <c r="BL38" i="3"/>
  <c r="BA39" i="3"/>
  <c r="AZ39" i="3" s="1"/>
  <c r="AZ62" i="3"/>
  <c r="AZ64" i="3"/>
  <c r="BA68" i="3"/>
  <c r="BL74" i="3"/>
  <c r="AZ74" i="3" s="1"/>
  <c r="BL75" i="3"/>
  <c r="BL86" i="3"/>
  <c r="AZ86" i="3" s="1"/>
  <c r="F40" i="69"/>
  <c r="C40" i="69"/>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4" i="71" s="1"/>
  <c r="D63" i="71"/>
  <c r="G103" i="3"/>
  <c r="BA103" i="3"/>
  <c r="AZ103" i="3" s="1"/>
  <c r="BA104" i="3"/>
  <c r="BA106" i="3"/>
  <c r="BL108" i="3"/>
  <c r="BL111" i="3"/>
  <c r="AA27" i="71"/>
  <c r="S28" i="71"/>
  <c r="C83" i="71"/>
  <c r="C79" i="71"/>
  <c r="C71" i="71"/>
  <c r="C39" i="71"/>
  <c r="Y28" i="71"/>
  <c r="Z28" i="71" s="1"/>
  <c r="Y30" i="71"/>
  <c r="Z30" i="71" s="1"/>
  <c r="X28" i="71"/>
  <c r="X32" i="71"/>
  <c r="AB38" i="71"/>
  <c r="F75" i="71"/>
  <c r="F74" i="71" s="1"/>
  <c r="BL49" i="3"/>
  <c r="BL50" i="3"/>
  <c r="AZ50" i="3" s="1"/>
  <c r="BL51" i="3"/>
  <c r="G53" i="3"/>
  <c r="BL53" i="3"/>
  <c r="BA56" i="3"/>
  <c r="AZ56" i="3" s="1"/>
  <c r="BA57" i="3"/>
  <c r="BL58" i="3"/>
  <c r="G60" i="3"/>
  <c r="BA60" i="3"/>
  <c r="AZ60" i="3"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L81" i="3"/>
  <c r="BA82" i="3"/>
  <c r="AZ82" i="3" s="1"/>
  <c r="BL83" i="3"/>
  <c r="G86" i="3"/>
  <c r="G87" i="3"/>
  <c r="BA90" i="3"/>
  <c r="AZ90" i="3" s="1"/>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20"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3" i="6"/>
  <c r="P11" i="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L48" i="67"/>
  <c r="J15" i="67"/>
  <c r="F43" i="67"/>
  <c r="M6" i="67"/>
  <c r="F42" i="67"/>
  <c r="L47" i="67"/>
  <c r="F40" i="67"/>
  <c r="F26" i="15"/>
  <c r="F9" i="15"/>
  <c r="M24" i="15"/>
  <c r="F8" i="15"/>
  <c r="F38" i="15"/>
  <c r="C76" i="15"/>
  <c r="F38" i="67"/>
  <c r="M22" i="67"/>
  <c r="M28" i="67"/>
  <c r="M29" i="67"/>
  <c r="M24" i="67"/>
  <c r="M23" i="67"/>
  <c r="M29" i="15"/>
  <c r="F16" i="15"/>
  <c r="M28" i="15"/>
  <c r="L47" i="15"/>
  <c r="M22" i="15"/>
  <c r="M8" i="15"/>
  <c r="L48" i="15"/>
  <c r="D4" i="73"/>
  <c r="F6" i="67"/>
  <c r="F8" i="67"/>
  <c r="F9" i="67"/>
  <c r="F37" i="67"/>
  <c r="M9" i="67"/>
  <c r="M23" i="15"/>
  <c r="M9" i="15"/>
  <c r="F6" i="15"/>
  <c r="F43" i="15"/>
  <c r="F36" i="15"/>
  <c r="D3" i="73"/>
  <c r="F7" i="67"/>
  <c r="M8" i="67"/>
  <c r="C76" i="67"/>
  <c r="M26" i="67"/>
  <c r="F16" i="67"/>
  <c r="F26" i="67"/>
  <c r="F36" i="67"/>
  <c r="J15" i="15"/>
  <c r="F13" i="15"/>
  <c r="F37" i="15"/>
  <c r="F42" i="15"/>
  <c r="F7" i="15"/>
  <c r="D5" i="73"/>
  <c r="M26" i="15"/>
  <c r="F13" i="67"/>
  <c r="F40" i="15"/>
  <c r="M6" i="15"/>
  <c r="D7" i="73"/>
  <c r="AA11" i="39" l="1"/>
  <c r="AA27" i="39"/>
  <c r="W27" i="39"/>
  <c r="W25" i="39"/>
  <c r="U21" i="39"/>
  <c r="AB11" i="39"/>
  <c r="U11" i="39"/>
  <c r="AB14" i="39"/>
  <c r="U14" i="39"/>
  <c r="AA17" i="39"/>
  <c r="S17" i="39"/>
  <c r="AB17" i="39"/>
  <c r="U17" i="39"/>
  <c r="S13" i="39"/>
  <c r="AA13" i="39"/>
  <c r="U13" i="39"/>
  <c r="AB13" i="39"/>
  <c r="C30" i="11"/>
  <c r="F68" i="67"/>
  <c r="F64" i="67"/>
  <c r="L58" i="67"/>
  <c r="Q60" i="67" s="1"/>
  <c r="M59" i="67"/>
  <c r="L59" i="67" s="1"/>
  <c r="Q74" i="67" s="1"/>
  <c r="N59" i="67"/>
  <c r="C27" i="67"/>
  <c r="F65" i="67"/>
  <c r="F51" i="67"/>
  <c r="F71" i="67"/>
  <c r="Q71" i="67"/>
  <c r="C6" i="67"/>
  <c r="C32" i="67" s="1"/>
  <c r="F66" i="67"/>
  <c r="J57" i="67"/>
  <c r="J55" i="67" s="1"/>
  <c r="J58" i="67" s="1"/>
  <c r="Q50" i="67" s="1"/>
  <c r="L56" i="67"/>
  <c r="I54" i="67"/>
  <c r="J53" i="67"/>
  <c r="F1" i="67" s="1"/>
  <c r="F50" i="67"/>
  <c r="M7" i="67"/>
  <c r="J6" i="67" s="1"/>
  <c r="J18" i="67" s="1"/>
  <c r="F64" i="15"/>
  <c r="J53" i="15"/>
  <c r="L56" i="15" s="1"/>
  <c r="J57" i="15"/>
  <c r="J55" i="15" s="1"/>
  <c r="J58" i="15" s="1"/>
  <c r="Q50" i="15" s="1"/>
  <c r="I54" i="15"/>
  <c r="Q71" i="15"/>
  <c r="M7" i="15"/>
  <c r="J6" i="15" s="1"/>
  <c r="J18" i="15" s="1"/>
  <c r="F50" i="15"/>
  <c r="F66" i="15"/>
  <c r="F71" i="15"/>
  <c r="F51" i="15"/>
  <c r="F65" i="15"/>
  <c r="C6" i="15"/>
  <c r="C32" i="15" s="1"/>
  <c r="L58" i="15"/>
  <c r="Q60" i="15" s="1"/>
  <c r="M59" i="15"/>
  <c r="L59" i="15"/>
  <c r="Q61" i="15" s="1"/>
  <c r="N59" i="15"/>
  <c r="F68" i="15"/>
  <c r="C27" i="15"/>
  <c r="E15" i="6"/>
  <c r="E64" i="39" s="1"/>
  <c r="H16" i="1"/>
  <c r="E10" i="6"/>
  <c r="P6" i="1"/>
  <c r="C13" i="12" s="1"/>
  <c r="E11" i="6"/>
  <c r="E60" i="39" s="1"/>
  <c r="E28" i="6"/>
  <c r="K14" i="1" s="1"/>
  <c r="K16" i="1" s="1"/>
  <c r="E14" i="6"/>
  <c r="E63" i="39" s="1"/>
  <c r="F26" i="43"/>
  <c r="N370" i="46"/>
  <c r="E26" i="43"/>
  <c r="H26" i="43"/>
  <c r="C70" i="71"/>
  <c r="D70" i="71" s="1"/>
  <c r="D71" i="71"/>
  <c r="C26" i="71"/>
  <c r="D26" i="71" s="1"/>
  <c r="D27" i="71"/>
  <c r="C22" i="71"/>
  <c r="D23" i="71"/>
  <c r="D67" i="71"/>
  <c r="C66" i="71"/>
  <c r="O67" i="71"/>
  <c r="AZ190" i="3"/>
  <c r="T52" i="71"/>
  <c r="D52" i="71"/>
  <c r="AZ49" i="3"/>
  <c r="AZ28" i="3"/>
  <c r="AZ5" i="3" s="1"/>
  <c r="AZ130" i="3"/>
  <c r="AZ244" i="3"/>
  <c r="AZ239" i="3"/>
  <c r="AZ118" i="3"/>
  <c r="AZ121" i="3"/>
  <c r="AZ332" i="3"/>
  <c r="AA27" i="21"/>
  <c r="S27" i="21"/>
  <c r="AA44" i="21"/>
  <c r="S44" i="21"/>
  <c r="S36" i="35"/>
  <c r="AA36" i="35"/>
  <c r="W12" i="34"/>
  <c r="AC12" i="34"/>
  <c r="AC44" i="21"/>
  <c r="W44" i="21"/>
  <c r="W11" i="35"/>
  <c r="AC11" i="35"/>
  <c r="G26" i="43"/>
  <c r="T64" i="71"/>
  <c r="G5" i="3"/>
  <c r="B3" i="3" s="1"/>
  <c r="AZ142" i="3"/>
  <c r="AZ253" i="3"/>
  <c r="AZ215" i="3"/>
  <c r="D79" i="71"/>
  <c r="C78" i="71"/>
  <c r="D78" i="71" s="1"/>
  <c r="AZ38" i="3"/>
  <c r="AZ75" i="3"/>
  <c r="AZ178" i="3"/>
  <c r="AZ282" i="3"/>
  <c r="AZ210" i="3"/>
  <c r="AZ251" i="3"/>
  <c r="AZ247" i="3"/>
  <c r="AZ229" i="3"/>
  <c r="AZ126" i="3"/>
  <c r="AZ550" i="3"/>
  <c r="AC44" i="39"/>
  <c r="W44" i="39"/>
  <c r="AC9" i="34"/>
  <c r="W9" i="34"/>
  <c r="W27" i="21"/>
  <c r="AC27" i="21"/>
  <c r="U33" i="36"/>
  <c r="AB33" i="36"/>
  <c r="S31" i="33"/>
  <c r="AA31" i="33"/>
  <c r="AA25" i="37"/>
  <c r="S25" i="37"/>
  <c r="U26" i="33"/>
  <c r="AB26" i="33"/>
  <c r="AC24" i="36"/>
  <c r="W24" i="36"/>
  <c r="U29" i="21"/>
  <c r="AB29" i="21"/>
  <c r="S25" i="35"/>
  <c r="AA25" i="35"/>
  <c r="J7" i="36"/>
  <c r="N94" i="46"/>
  <c r="Q16" i="1"/>
  <c r="F27" i="69" s="1"/>
  <c r="C47" i="69" s="1"/>
  <c r="D45" i="69" s="1"/>
  <c r="AZ93" i="3"/>
  <c r="AZ37" i="3"/>
  <c r="AZ266" i="3"/>
  <c r="AZ57" i="3"/>
  <c r="D83" i="71"/>
  <c r="C82" i="71"/>
  <c r="D82" i="71" s="1"/>
  <c r="AZ69" i="3"/>
  <c r="AZ53" i="3"/>
  <c r="AZ51" i="3"/>
  <c r="AZ297" i="3"/>
  <c r="AZ241" i="3"/>
  <c r="AZ273" i="3"/>
  <c r="AZ404" i="3"/>
  <c r="AZ460" i="3"/>
  <c r="AC13" i="21"/>
  <c r="W13" i="21"/>
  <c r="W46" i="34"/>
  <c r="AC46" i="34"/>
  <c r="U25" i="37"/>
  <c r="AB25" i="37"/>
  <c r="AA26" i="33"/>
  <c r="S26" i="33"/>
  <c r="W12" i="36"/>
  <c r="AC12" i="36"/>
  <c r="C40" i="71"/>
  <c r="D39" i="71"/>
  <c r="C56" i="71"/>
  <c r="D55" i="71"/>
  <c r="B19" i="71"/>
  <c r="B18" i="71" s="1"/>
  <c r="B17" i="71" s="1"/>
  <c r="B16" i="71" s="1"/>
  <c r="S16" i="71" s="1"/>
  <c r="S20" i="71"/>
  <c r="D75" i="71"/>
  <c r="C74" i="71"/>
  <c r="D74" i="71" s="1"/>
  <c r="AZ41" i="3"/>
  <c r="AZ294" i="3"/>
  <c r="AZ238" i="3"/>
  <c r="W12" i="35"/>
  <c r="AC12" i="35"/>
  <c r="S12" i="36"/>
  <c r="AA12" i="36"/>
  <c r="AC25" i="35"/>
  <c r="W25" i="35"/>
  <c r="AB12" i="34"/>
  <c r="U12" i="34"/>
  <c r="AB36" i="35"/>
  <c r="U36" i="35"/>
  <c r="U30" i="34"/>
  <c r="AB30" i="34"/>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E240" i="3"/>
  <c r="E487" i="3"/>
  <c r="E219" i="3"/>
  <c r="W40" i="40"/>
  <c r="AC40" i="40"/>
  <c r="AC12" i="21"/>
  <c r="W12" i="21"/>
  <c r="AB12" i="21"/>
  <c r="U12" i="21"/>
  <c r="AA27" i="34"/>
  <c r="S27" i="34"/>
  <c r="AC26" i="37"/>
  <c r="W26" i="37"/>
  <c r="BL5" i="3"/>
  <c r="B15" i="71"/>
  <c r="B14" i="71" s="1"/>
  <c r="B13" i="71" s="1"/>
  <c r="B12" i="71" s="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F31" i="6"/>
  <c r="E51" i="40"/>
  <c r="E58" i="40"/>
  <c r="E62" i="39"/>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P29" i="43"/>
  <c r="P27" i="43"/>
  <c r="B70" i="39" s="1"/>
  <c r="M11" i="67"/>
  <c r="J10" i="67" s="1"/>
  <c r="F11" i="15"/>
  <c r="M11" i="15"/>
  <c r="J10" i="15" s="1"/>
  <c r="F11" i="67"/>
  <c r="AE11" i="1"/>
  <c r="AE6" i="1"/>
  <c r="AE9" i="1"/>
  <c r="AE8" i="1"/>
  <c r="AE12" i="1"/>
  <c r="AE10" i="1"/>
  <c r="G1" i="73"/>
  <c r="C16" i="15"/>
  <c r="C16" i="67"/>
  <c r="AE7" i="1"/>
  <c r="F41" i="67" s="1"/>
  <c r="Q61" i="67" l="1"/>
  <c r="J5" i="67"/>
  <c r="J24" i="67" s="1"/>
  <c r="Q52" i="67"/>
  <c r="J5" i="15"/>
  <c r="J24" i="15" s="1"/>
  <c r="F1" i="15"/>
  <c r="Q52" i="15"/>
  <c r="C49" i="67"/>
  <c r="Q74" i="15"/>
  <c r="Q73" i="67"/>
  <c r="C49" i="15"/>
  <c r="Q73" i="15"/>
  <c r="E16" i="6"/>
  <c r="D26" i="43"/>
  <c r="C25" i="43" s="1"/>
  <c r="C33" i="43" s="1"/>
  <c r="AC6" i="3"/>
  <c r="AA10" i="39"/>
  <c r="H6" i="3"/>
  <c r="E59" i="40"/>
  <c r="E56" i="40"/>
  <c r="F27" i="68"/>
  <c r="C47" i="68" s="1"/>
  <c r="D45" i="68" s="1"/>
  <c r="F28" i="12"/>
  <c r="C29" i="12" s="1"/>
  <c r="D28" i="12" s="1"/>
  <c r="M14" i="1"/>
  <c r="M16" i="1" s="1"/>
  <c r="F27" i="11"/>
  <c r="C29" i="11" s="1"/>
  <c r="D27" i="11" s="1"/>
  <c r="K26" i="6"/>
  <c r="M26" i="6" s="1"/>
  <c r="I26" i="6" s="1"/>
  <c r="S26" i="6" s="1"/>
  <c r="J10" i="39"/>
  <c r="W10" i="39" s="1"/>
  <c r="F10" i="40"/>
  <c r="S10" i="40" s="1"/>
  <c r="H10" i="39"/>
  <c r="U10" i="39" s="1"/>
  <c r="H10" i="40"/>
  <c r="AB10" i="40" s="1"/>
  <c r="J10" i="40"/>
  <c r="AC10" i="40" s="1"/>
  <c r="F45" i="69"/>
  <c r="C29" i="69"/>
  <c r="D27" i="69" s="1"/>
  <c r="AY6" i="3"/>
  <c r="AY441" i="3" s="1"/>
  <c r="E3" i="6"/>
  <c r="T40" i="71"/>
  <c r="D40" i="71"/>
  <c r="D22" i="71"/>
  <c r="C21" i="71"/>
  <c r="R36" i="36"/>
  <c r="D56" i="71"/>
  <c r="T56" i="71"/>
  <c r="O65" i="71"/>
  <c r="D66" i="71"/>
  <c r="O66" i="71"/>
  <c r="U7" i="3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M27" i="67"/>
  <c r="F41" i="15"/>
  <c r="C48" i="15" l="1"/>
  <c r="C66" i="15" s="1"/>
  <c r="C48" i="67"/>
  <c r="C60" i="67" s="1"/>
  <c r="AC10" i="39"/>
  <c r="AA10" i="40"/>
  <c r="O14" i="1"/>
  <c r="O16" i="1" s="1"/>
  <c r="W10" i="40"/>
  <c r="AY39" i="3"/>
  <c r="AY558" i="3"/>
  <c r="AY519" i="3"/>
  <c r="AY200" i="3"/>
  <c r="AY530" i="3"/>
  <c r="AY167" i="3"/>
  <c r="AY134" i="3"/>
  <c r="AY493" i="3"/>
  <c r="AY205" i="3"/>
  <c r="AY14" i="3"/>
  <c r="AY467" i="3"/>
  <c r="AY113" i="3"/>
  <c r="AY224" i="3"/>
  <c r="AY364" i="3"/>
  <c r="AY475" i="3"/>
  <c r="AY521" i="3"/>
  <c r="AY547" i="3"/>
  <c r="AY522" i="3"/>
  <c r="AY567" i="3"/>
  <c r="AY440" i="3"/>
  <c r="AY399" i="3"/>
  <c r="AY511" i="3"/>
  <c r="AY128" i="3"/>
  <c r="AY466" i="3"/>
  <c r="AY46" i="3"/>
  <c r="AY439" i="3"/>
  <c r="AY266" i="3"/>
  <c r="AY543" i="3"/>
  <c r="AY417" i="3"/>
  <c r="AY239" i="3"/>
  <c r="AY109" i="3"/>
  <c r="AB10" i="39"/>
  <c r="AY307" i="3"/>
  <c r="AY315" i="3"/>
  <c r="AY434" i="3"/>
  <c r="AY322" i="3"/>
  <c r="AY216" i="3"/>
  <c r="AY492" i="3"/>
  <c r="AY448" i="3"/>
  <c r="AY27" i="3"/>
  <c r="AY362" i="3"/>
  <c r="AY578" i="3"/>
  <c r="AY453" i="3"/>
  <c r="AY137" i="3"/>
  <c r="AY438" i="3"/>
  <c r="AY455" i="3"/>
  <c r="AY404" i="3"/>
  <c r="AY190" i="3"/>
  <c r="AY257" i="3"/>
  <c r="AY301" i="3"/>
  <c r="AY337" i="3"/>
  <c r="AY288" i="3"/>
  <c r="AY203" i="3"/>
  <c r="AY218" i="3"/>
  <c r="AY323" i="3"/>
  <c r="AY91" i="3"/>
  <c r="AY249" i="3"/>
  <c r="AY509" i="3"/>
  <c r="AY312" i="3"/>
  <c r="AY48" i="3"/>
  <c r="AY29" i="3"/>
  <c r="AY577" i="3"/>
  <c r="AY501" i="3"/>
  <c r="AY297" i="3"/>
  <c r="AY176" i="3"/>
  <c r="AY289" i="3"/>
  <c r="AY260" i="3"/>
  <c r="AY533" i="3"/>
  <c r="AY154" i="3"/>
  <c r="AY219" i="3"/>
  <c r="AY56" i="3"/>
  <c r="AY242" i="3"/>
  <c r="AY462" i="3"/>
  <c r="AY534" i="3"/>
  <c r="AY18" i="3"/>
  <c r="AY199" i="3"/>
  <c r="AY562" i="3"/>
  <c r="AY182" i="3"/>
  <c r="AY389" i="3"/>
  <c r="AY279" i="3"/>
  <c r="AY454" i="3"/>
  <c r="AY556" i="3"/>
  <c r="AY31" i="3"/>
  <c r="AY116" i="3"/>
  <c r="AY539" i="3"/>
  <c r="AY173" i="3"/>
  <c r="AY373" i="3"/>
  <c r="AY215" i="3"/>
  <c r="AY419"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188" i="3"/>
  <c r="AY209" i="3"/>
  <c r="AY372" i="3"/>
  <c r="AY97" i="3"/>
  <c r="AY283" i="3"/>
  <c r="AY397" i="3"/>
  <c r="AY202" i="3"/>
  <c r="AY333" i="3"/>
  <c r="AY398" i="3"/>
  <c r="AY571" i="3"/>
  <c r="AY75" i="3"/>
  <c r="AY244" i="3"/>
  <c r="BO6" i="3"/>
  <c r="AY126" i="3"/>
  <c r="BS6" i="3"/>
  <c r="AY226" i="3"/>
  <c r="AY400" i="3"/>
  <c r="AY351" i="3"/>
  <c r="AY293" i="3"/>
  <c r="AY54" i="3"/>
  <c r="AY500" i="3"/>
  <c r="AY359" i="3"/>
  <c r="AY172" i="3"/>
  <c r="BP6" i="3"/>
  <c r="AY538" i="3"/>
  <c r="AY476" i="3"/>
  <c r="AY361" i="3"/>
  <c r="AY153" i="3"/>
  <c r="AY15" i="3"/>
  <c r="AY339" i="3"/>
  <c r="AY136" i="3"/>
  <c r="AY576" i="3"/>
  <c r="AY482" i="3"/>
  <c r="AY233" i="3"/>
  <c r="AY47" i="3"/>
  <c r="AY537" i="3"/>
  <c r="AY431" i="3"/>
  <c r="AY336" i="3"/>
  <c r="AY235" i="3"/>
  <c r="AY32" i="3"/>
  <c r="BD6" i="3"/>
  <c r="AY459" i="3"/>
  <c r="AY354" i="3"/>
  <c r="AY241" i="3"/>
  <c r="AY159" i="3"/>
  <c r="AY38" i="3"/>
  <c r="BL6" i="3"/>
  <c r="AY405" i="3"/>
  <c r="AY469" i="3"/>
  <c r="AY378" i="3"/>
  <c r="AY280" i="3"/>
  <c r="AY156" i="3"/>
  <c r="AY63" i="3"/>
  <c r="AY531" i="3"/>
  <c r="AY565" i="3"/>
  <c r="AY506" i="3"/>
  <c r="AY410" i="3"/>
  <c r="AY468" i="3"/>
  <c r="AY344" i="3"/>
  <c r="AY369" i="3"/>
  <c r="AY251" i="3"/>
  <c r="AY158" i="3"/>
  <c r="AY80" i="3"/>
  <c r="AY582" i="3"/>
  <c r="AY520" i="3"/>
  <c r="AY324" i="3"/>
  <c r="AY88" i="3"/>
  <c r="AY193" i="3"/>
  <c r="AY478" i="3"/>
  <c r="AY147" i="3"/>
  <c r="AY518" i="3"/>
  <c r="AY340" i="3"/>
  <c r="AY302" i="3"/>
  <c r="AY355" i="3"/>
  <c r="BG6" i="3"/>
  <c r="AY348" i="3"/>
  <c r="AY360" i="3"/>
  <c r="AY44" i="3"/>
  <c r="AY473" i="3"/>
  <c r="BT6" i="3"/>
  <c r="AY443" i="3"/>
  <c r="AY386" i="3"/>
  <c r="AY143" i="3"/>
  <c r="AY71" i="3"/>
  <c r="AY408" i="3"/>
  <c r="AY248" i="3"/>
  <c r="AY19" i="3"/>
  <c r="AY545" i="3"/>
  <c r="AY415" i="3"/>
  <c r="AY479" i="3"/>
  <c r="AY396" i="3"/>
  <c r="AY21" i="3"/>
  <c r="AY413" i="3"/>
  <c r="AY375" i="3"/>
  <c r="AY195" i="3"/>
  <c r="AY528" i="3"/>
  <c r="AY330" i="3"/>
  <c r="AY120" i="3"/>
  <c r="AY110" i="3"/>
  <c r="AY575" i="3"/>
  <c r="AY450" i="3"/>
  <c r="AY321" i="3"/>
  <c r="AY298" i="3"/>
  <c r="AY586" i="3"/>
  <c r="AY550" i="3"/>
  <c r="AY490" i="3"/>
  <c r="AY391" i="3"/>
  <c r="AY273" i="3"/>
  <c r="AY148" i="3"/>
  <c r="AY55" i="3"/>
  <c r="AY512" i="3"/>
  <c r="AY437" i="3"/>
  <c r="AY346" i="3"/>
  <c r="AY221" i="3"/>
  <c r="AY285" i="3"/>
  <c r="AY192" i="3"/>
  <c r="AY94" i="3"/>
  <c r="AY570" i="3"/>
  <c r="AY524" i="3"/>
  <c r="AY579" i="3"/>
  <c r="AY426" i="3"/>
  <c r="AY471" i="3"/>
  <c r="AY313" i="3"/>
  <c r="AY380" i="3"/>
  <c r="AY287" i="3"/>
  <c r="AY189" i="3"/>
  <c r="AY65" i="3"/>
  <c r="AY494" i="3"/>
  <c r="AY536" i="3"/>
  <c r="AY341" i="3"/>
  <c r="AY227" i="3"/>
  <c r="AY84" i="3"/>
  <c r="AY343" i="3"/>
  <c r="AY191" i="3"/>
  <c r="BN6" i="3"/>
  <c r="AY150" i="3"/>
  <c r="AY36" i="3"/>
  <c r="AY486" i="3"/>
  <c r="AY585" i="3"/>
  <c r="AY259" i="3"/>
  <c r="AY247" i="3"/>
  <c r="AY549" i="3"/>
  <c r="AY50" i="3"/>
  <c r="AY566" i="3"/>
  <c r="AY477" i="3"/>
  <c r="AY240" i="3"/>
  <c r="AY164"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31" i="3"/>
  <c r="AY232" i="3"/>
  <c r="AY135" i="3"/>
  <c r="AY35" i="3"/>
  <c r="AY99" i="3"/>
  <c r="AY542" i="3"/>
  <c r="D3" i="6"/>
  <c r="D15" i="6" s="1"/>
  <c r="AY407" i="3"/>
  <c r="AY458" i="3"/>
  <c r="AY487" i="3"/>
  <c r="AY329" i="3"/>
  <c r="AY234" i="3"/>
  <c r="AY129" i="3"/>
  <c r="AY194" i="3"/>
  <c r="AY101" i="3"/>
  <c r="AY584" i="3"/>
  <c r="AY580" i="3"/>
  <c r="AY161" i="3"/>
  <c r="AY270" i="3"/>
  <c r="AY100" i="3"/>
  <c r="AY497" i="3"/>
  <c r="AY112" i="3"/>
  <c r="AY525" i="3"/>
  <c r="AY93" i="3"/>
  <c r="AY53" i="3"/>
  <c r="AY387" i="3"/>
  <c r="AY411" i="3"/>
  <c r="AY295" i="3"/>
  <c r="AY278" i="3"/>
  <c r="AY310" i="3"/>
  <c r="AY335" i="3"/>
  <c r="E6" i="3"/>
  <c r="F45" i="68"/>
  <c r="C29" i="68"/>
  <c r="D27" i="68" s="1"/>
  <c r="AY480" i="3"/>
  <c r="AY275" i="3"/>
  <c r="AY507" i="3"/>
  <c r="AY286" i="3"/>
  <c r="AY20" i="3"/>
  <c r="AY573" i="3"/>
  <c r="AY212" i="3"/>
  <c r="AY350" i="3"/>
  <c r="AY49" i="3"/>
  <c r="AY508" i="3"/>
  <c r="AY435" i="3"/>
  <c r="AY356" i="3"/>
  <c r="AY40" i="3"/>
  <c r="AY222" i="3"/>
  <c r="AY146" i="3"/>
  <c r="AY89" i="3"/>
  <c r="AY481" i="3"/>
  <c r="AY425" i="3"/>
  <c r="AY90" i="3"/>
  <c r="AY495" i="3"/>
  <c r="BQ6" i="3"/>
  <c r="AY472" i="3"/>
  <c r="AY353" i="3"/>
  <c r="AY166" i="3"/>
  <c r="BH6" i="3"/>
  <c r="AY230" i="3"/>
  <c r="AY133" i="3"/>
  <c r="AY61" i="3"/>
  <c r="AY420" i="3"/>
  <c r="AY26" i="3"/>
  <c r="AY261"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430" i="3"/>
  <c r="AY316" i="3"/>
  <c r="AY388" i="3"/>
  <c r="AY145" i="3"/>
  <c r="AY73" i="3"/>
  <c r="AY374" i="3"/>
  <c r="AY262" i="3"/>
  <c r="AY125" i="3"/>
  <c r="AY185" i="3"/>
  <c r="AY76" i="3"/>
  <c r="BE6" i="3"/>
  <c r="AY401" i="3"/>
  <c r="AY327" i="3"/>
  <c r="AY300" i="3"/>
  <c r="AY460" i="3"/>
  <c r="AY284" i="3"/>
  <c r="AY160" i="3"/>
  <c r="AY371" i="3"/>
  <c r="AY58" i="3"/>
  <c r="AY59" i="3"/>
  <c r="AY23" i="3"/>
  <c r="AY225" i="3"/>
  <c r="AY276" i="3"/>
  <c r="AY115" i="3"/>
  <c r="AY66" i="3"/>
  <c r="AY165" i="3"/>
  <c r="AY33" i="3"/>
  <c r="AY92" i="3"/>
  <c r="AY544" i="3"/>
  <c r="AY463" i="3"/>
  <c r="AY217" i="3"/>
  <c r="AY529" i="3"/>
  <c r="AY319" i="3"/>
  <c r="AY183" i="3"/>
  <c r="AY103" i="3"/>
  <c r="AY268" i="3"/>
  <c r="AY131" i="3"/>
  <c r="AY155" i="3"/>
  <c r="AY83" i="3"/>
  <c r="D116" i="43"/>
  <c r="U10" i="40"/>
  <c r="F25" i="12"/>
  <c r="C26" i="12" s="1"/>
  <c r="D25" i="12" s="1"/>
  <c r="D21" i="71"/>
  <c r="C20"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24" i="6"/>
  <c r="D8" i="6"/>
  <c r="D10" i="6"/>
  <c r="D19" i="6"/>
  <c r="D12" i="6"/>
  <c r="E61" i="40"/>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15"/>
  <c r="C17" i="67"/>
  <c r="C66" i="67" l="1"/>
  <c r="D28" i="6"/>
  <c r="D5" i="6"/>
  <c r="H22" i="6"/>
  <c r="D9" i="6"/>
  <c r="D16" i="6" s="1"/>
  <c r="D26" i="6"/>
  <c r="D21" i="6"/>
  <c r="D13" i="6"/>
  <c r="D23" i="6"/>
  <c r="D29" i="6"/>
  <c r="D6" i="6"/>
  <c r="M19" i="9"/>
  <c r="C118" i="9" s="1"/>
  <c r="B2" i="74" s="1"/>
  <c r="D22" i="6"/>
  <c r="D27" i="6" s="1"/>
  <c r="D31" i="6" s="1"/>
  <c r="H26" i="6"/>
  <c r="D11" i="6"/>
  <c r="C18" i="4"/>
  <c r="L19" i="9"/>
  <c r="D14" i="6"/>
  <c r="D20" i="6"/>
  <c r="H24" i="6"/>
  <c r="R24" i="6" s="1"/>
  <c r="R11" i="1" s="1"/>
  <c r="H21" i="6"/>
  <c r="R21" i="6" s="1"/>
  <c r="R8" i="1" s="1"/>
  <c r="D30" i="6"/>
  <c r="H25" i="6"/>
  <c r="R25" i="6" s="1"/>
  <c r="R12" i="1" s="1"/>
  <c r="C44" i="11"/>
  <c r="D41" i="11" s="1"/>
  <c r="C26" i="11"/>
  <c r="D22" i="11" s="1"/>
  <c r="C26" i="68"/>
  <c r="D22" i="68" s="1"/>
  <c r="F41" i="68"/>
  <c r="C19" i="71"/>
  <c r="T20" i="71"/>
  <c r="D20" i="71"/>
  <c r="U20" i="71" s="1"/>
  <c r="C25" i="11"/>
  <c r="C24" i="11"/>
  <c r="C44" i="69"/>
  <c r="D41" i="69" s="1"/>
  <c r="C26" i="69"/>
  <c r="D22" i="69"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R22" i="6" l="1"/>
  <c r="R9" i="1" s="1"/>
  <c r="R23" i="6"/>
  <c r="R10" i="1" s="1"/>
  <c r="E2" i="70"/>
  <c r="C18" i="71"/>
  <c r="D19" i="71"/>
  <c r="C22" i="11"/>
  <c r="C31" i="11" s="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M21" i="67"/>
  <c r="F35" i="67"/>
  <c r="M21" i="15"/>
  <c r="T16" i="71" l="1"/>
  <c r="D16" i="71"/>
  <c r="U16" i="71" s="1"/>
  <c r="C15"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5"/>
  <c r="D2" i="34"/>
  <c r="D8" i="12" l="1"/>
  <c r="C4" i="12" s="1"/>
  <c r="D12" i="71"/>
  <c r="U12" i="71" s="1"/>
  <c r="C11" i="71"/>
  <c r="T12" i="71"/>
  <c r="Q57" i="67"/>
  <c r="Q62" i="67" s="1"/>
  <c r="Q66" i="67"/>
  <c r="Q75" i="67" s="1"/>
  <c r="B3" i="67"/>
  <c r="D6" i="12"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9" i="1"/>
  <c r="AO12" i="1"/>
  <c r="AO10" i="1"/>
  <c r="AO8" i="1"/>
  <c r="AO6" i="1"/>
  <c r="AO11" i="1"/>
  <c r="R48" i="39" l="1"/>
  <c r="C48" i="39" s="1"/>
  <c r="C31" i="12"/>
  <c r="C23" i="12"/>
  <c r="C30" i="12" s="1"/>
  <c r="C28" i="12" s="1"/>
  <c r="C10" i="71"/>
  <c r="D11" i="71"/>
  <c r="L46" i="15"/>
  <c r="B2" i="15" s="1"/>
  <c r="B3" i="15" s="1"/>
  <c r="Q66" i="15"/>
  <c r="Q75" i="15" s="1"/>
  <c r="Q62" i="15"/>
  <c r="B9" i="70"/>
  <c r="B11" i="70"/>
  <c r="B7" i="70"/>
  <c r="B10" i="70"/>
  <c r="B12" i="70"/>
  <c r="B6" i="70"/>
  <c r="B8" i="70"/>
  <c r="G51" i="39"/>
  <c r="H51" i="39" s="1"/>
  <c r="G52" i="39"/>
  <c r="H52" i="39" s="1"/>
  <c r="I51" i="39"/>
  <c r="J51" i="39" s="1"/>
  <c r="I52" i="39"/>
  <c r="J52" i="39" s="1"/>
  <c r="C47" i="39"/>
  <c r="E52" i="39"/>
  <c r="F52" i="39" s="1"/>
  <c r="E51" i="39"/>
  <c r="F51" i="39" s="1"/>
  <c r="U7" i="40"/>
  <c r="AB7" i="40"/>
  <c r="T42" i="40" s="1"/>
  <c r="G42" i="40" s="1"/>
  <c r="AA7" i="40"/>
  <c r="R42" i="40" s="1"/>
  <c r="S7" i="40"/>
  <c r="AC7" i="40"/>
  <c r="V42" i="40" s="1"/>
  <c r="I42" i="40" s="1"/>
  <c r="W7" i="40"/>
  <c r="C27" i="12" l="1"/>
  <c r="C25" i="12" s="1"/>
  <c r="C32" i="12" s="1"/>
  <c r="B2" i="12" s="1"/>
  <c r="D10" i="71"/>
  <c r="C9"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12"/>
  <c r="F65" i="39"/>
  <c r="B2" i="39" s="1"/>
  <c r="D9" i="71"/>
  <c r="C8" i="71"/>
  <c r="C42" i="40"/>
  <c r="C43" i="40"/>
  <c r="E47" i="40"/>
  <c r="F47" i="40" s="1"/>
  <c r="E46" i="40"/>
  <c r="F46" i="40" s="1"/>
  <c r="I47" i="40"/>
  <c r="J47" i="40" s="1"/>
  <c r="D20" i="9"/>
  <c r="D103" i="9" l="1"/>
  <c r="B3" i="39"/>
  <c r="C6" i="68"/>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6" i="71"/>
  <c r="D7" i="71"/>
  <c r="C23" i="68" l="1"/>
  <c r="C20" i="68"/>
  <c r="C5" i="71"/>
  <c r="D5" i="71" s="1"/>
  <c r="M24" i="43" s="1"/>
  <c r="D6" i="71"/>
  <c r="C28" i="68" l="1"/>
  <c r="C27" i="68" s="1"/>
  <c r="C25" i="68"/>
  <c r="C22" i="68" s="1"/>
  <c r="C31" i="68" s="1"/>
  <c r="C52" i="68" s="1"/>
  <c r="B2" i="68" l="1"/>
  <c r="C57" i="68"/>
  <c r="C56" i="68" s="1"/>
  <c r="C19" i="9"/>
  <c r="C102" i="9" l="1"/>
  <c r="G19" i="9"/>
  <c r="D22" i="9"/>
  <c r="C21" i="9"/>
  <c r="B3" i="68"/>
  <c r="D35" i="9"/>
  <c r="C20" i="9"/>
  <c r="D34" i="9"/>
  <c r="G21" i="9" l="1"/>
  <c r="D14" i="74"/>
  <c r="G14" i="74" s="1"/>
  <c r="B6" i="74" s="1"/>
  <c r="D6" i="74" s="1"/>
  <c r="G20" i="9"/>
  <c r="C32" i="9" s="1"/>
  <c r="C103" i="9"/>
  <c r="F14" i="74" l="1"/>
  <c r="E14" i="74"/>
  <c r="B5" i="74"/>
  <c r="D5" i="74" s="1"/>
  <c r="C35" i="9"/>
  <c r="C34" i="9" s="1"/>
  <c r="D118" i="9" s="1"/>
  <c r="H118" i="9"/>
  <c r="C104" i="9" s="1"/>
  <c r="F118" i="9" l="1"/>
  <c r="G118" i="9" s="1"/>
  <c r="G4" i="52" s="1"/>
  <c r="B52" i="72" s="1"/>
  <c r="H4" i="52"/>
  <c r="D119" i="9"/>
  <c r="D5" i="52" s="1"/>
  <c r="B49" i="72" s="1"/>
  <c r="D4" i="52"/>
  <c r="B47" i="72" s="1"/>
  <c r="H119" i="9"/>
  <c r="H5" i="52" s="1"/>
  <c r="H101" i="9"/>
  <c r="I118" i="9"/>
  <c r="F119" i="9" l="1"/>
  <c r="F5" i="52" s="1"/>
  <c r="B53" i="72" s="1"/>
  <c r="F4" i="52"/>
  <c r="B51" i="72" s="1"/>
  <c r="C105" i="9"/>
  <c r="E118" i="9"/>
  <c r="E4" i="52" s="1"/>
  <c r="B48" i="72" s="1"/>
  <c r="I4" i="52"/>
  <c r="H102" i="9"/>
  <c r="D45" i="9"/>
  <c r="D5" i="53"/>
  <c r="M48" i="9"/>
  <c r="H107" i="9"/>
  <c r="D122" i="9" l="1"/>
  <c r="M49" i="9"/>
  <c r="H108" i="9"/>
  <c r="D13" i="53"/>
  <c r="C5" i="74"/>
  <c r="D7" i="53"/>
  <c r="B21" i="72" s="1"/>
  <c r="D6" i="53"/>
  <c r="B22" i="72" s="1"/>
  <c r="B20" i="72"/>
  <c r="D52" i="9"/>
  <c r="C78" i="9"/>
  <c r="C73" i="9" s="1"/>
  <c r="C93" i="9"/>
  <c r="C86" i="9" s="1"/>
  <c r="D53" i="9"/>
  <c r="D48" i="9" s="1"/>
  <c r="M52" i="9" s="1"/>
  <c r="D55" i="9"/>
  <c r="M53" i="9" s="1"/>
  <c r="C72" i="9"/>
  <c r="C85" i="9"/>
  <c r="C64" i="9"/>
  <c r="C63" i="9" s="1"/>
  <c r="C67" i="9" s="1"/>
  <c r="C79" i="9" l="1"/>
  <c r="D59" i="9"/>
  <c r="M55" i="9" s="1"/>
  <c r="C68" i="9"/>
  <c r="D54" i="9" s="1"/>
  <c r="D14" i="53"/>
  <c r="B32" i="72" s="1"/>
  <c r="B30" i="72"/>
  <c r="D15" i="53"/>
  <c r="B31" i="72" s="1"/>
  <c r="C6" i="74"/>
  <c r="C95" i="9"/>
  <c r="C80" i="9"/>
  <c r="E80" i="9" s="1"/>
  <c r="E81" i="9" s="1"/>
  <c r="L64" i="9"/>
  <c r="M64" i="9" s="1"/>
  <c r="L66" i="9"/>
  <c r="M66" i="9" s="1"/>
  <c r="L63" i="9"/>
  <c r="M63" i="9" s="1"/>
  <c r="L65" i="9"/>
  <c r="M65" i="9" s="1"/>
  <c r="L68" i="9"/>
  <c r="M68" i="9" s="1"/>
  <c r="L67" i="9"/>
  <c r="M67" i="9" s="1"/>
  <c r="D123" i="9"/>
  <c r="D9" i="52" s="1"/>
  <c r="D8" i="52"/>
  <c r="M69" i="9" l="1"/>
  <c r="N69" i="9" s="1"/>
  <c r="C81" i="9"/>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<sst xmlns="http://schemas.openxmlformats.org/spreadsheetml/2006/main" count="12925" uniqueCount="3671">
  <si>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</si>
  <si>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</si>
  <si>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</si>
  <si>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</si>
  <si>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</si>
  <si>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</si>
  <si>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</si>
  <si>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</si>
  <si>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</si>
  <si>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</si>
  <si>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</si>
  <si>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</si>
  <si>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</si>
  <si>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</si>
  <si>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</si>
  <si>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</si>
  <si>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</si>
  <si>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</si>
  <si>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</si>
  <si>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</si>
  <si>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</si>
  <si>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</si>
  <si>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</si>
  <si>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</si>
  <si>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</si>
  <si>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</si>
  <si>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</si>
  <si>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</si>
  <si>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</si>
  <si>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</si>
  <si>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</si>
  <si>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</si>
  <si>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</si>
  <si>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</si>
  <si>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</si>
  <si>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</si>
  <si>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</si>
  <si>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</si>
  <si>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</si>
  <si>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</si>
  <si>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</si>
  <si>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</si>
  <si>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</si>
  <si>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</si>
  <si>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</si>
  <si>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</si>
  <si>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</si>
  <si>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</si>
  <si>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</si>
  <si>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</si>
  <si>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</si>
  <si>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</si>
  <si>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</si>
  <si>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</si>
  <si>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</si>
  <si>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</si>
  <si>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</si>
  <si>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</si>
  <si>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</si>
  <si>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</si>
  <si>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</si>
  <si>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</si>
  <si>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</si>
  <si>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</si>
  <si>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</si>
  <si>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</si>
  <si>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</si>
  <si>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</si>
  <si>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</si>
  <si>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</si>
  <si>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</si>
  <si>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</si>
  <si>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</si>
  <si>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</si>
  <si>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</si>
  <si>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</si>
  <si>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</si>
  <si>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</si>
  <si>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</si>
  <si>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</si>
  <si>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</si>
  <si>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</si>
  <si>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</si>
  <si>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</si>
  <si>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</si>
  <si>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</si>
  <si>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</si>
  <si>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</si>
  <si>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</si>
  <si>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</si>
  <si>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</si>
  <si>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</si>
  <si>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</si>
  <si>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</si>
  <si>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</si>
  <si>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</si>
  <si>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</si>
  <si>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</si>
  <si>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</si>
  <si>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</si>
  <si>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</si>
  <si>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</si>
  <si>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</si>
  <si>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</si>
  <si>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</si>
  <si>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</si>
  <si>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</si>
  <si>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</si>
  <si>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</si>
  <si>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</si>
  <si>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</si>
  <si>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</si>
  <si>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</si>
  <si>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</si>
  <si>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</si>
  <si>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</si>
  <si>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</si>
  <si>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</si>
  <si>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</si>
  <si>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</si>
  <si>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</si>
  <si>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</si>
  <si>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</si>
  <si>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</si>
  <si>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</si>
  <si>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</si>
  <si>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</si>
  <si>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</si>
  <si>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</si>
  <si>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</si>
  <si>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</si>
  <si>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</si>
  <si>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</si>
  <si>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</si>
  <si>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</si>
  <si>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</si>
  <si>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</si>
  <si>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</si>
  <si>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</si>
  <si>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</si>
  <si>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</si>
  <si>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</si>
  <si>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</si>
  <si>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</si>
  <si>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</si>
  <si>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</si>
  <si>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</si>
  <si>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</si>
  <si>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</si>
  <si>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</si>
  <si>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</si>
  <si>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</si>
  <si>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</si>
  <si>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</si>
  <si>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</si>
  <si>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</si>
  <si>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</si>
  <si>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</si>
  <si>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</si>
  <si>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</si>
  <si>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</si>
  <si>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</si>
  <si>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</si>
  <si>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</si>
  <si>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</si>
  <si>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</si>
  <si>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</si>
  <si>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</si>
  <si>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</si>
  <si>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</si>
  <si>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</si>
  <si>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</si>
  <si>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</si>
  <si>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</si>
  <si>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</si>
  <si>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</si>
  <si>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</si>
  <si>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</si>
  <si>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</si>
  <si>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</si>
  <si>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</si>
  <si>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</si>
  <si>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</si>
  <si>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</si>
  <si>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</si>
  <si>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</si>
  <si>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</si>
  <si>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</si>
  <si>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</si>
  <si>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</si>
  <si>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</si>
  <si>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</si>
  <si>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</si>
  <si>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</si>
  <si>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</si>
  <si>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</si>
  <si>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</si>
  <si>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</si>
  <si>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</si>
  <si>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</si>
  <si>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</si>
  <si>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</si>
  <si>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</si>
  <si>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</si>
  <si>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</si>
  <si>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</si>
  <si>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</si>
  <si>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</si>
  <si>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</si>
  <si>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</si>
  <si>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</si>
  <si>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</si>
  <si>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</si>
  <si>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</si>
  <si>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</si>
  <si>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</si>
  <si>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</si>
  <si>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</si>
  <si>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</si>
  <si>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</si>
  <si>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</si>
  <si>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</si>
  <si>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</si>
  <si>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</si>
  <si>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</si>
  <si>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</si>
  <si>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</si>
  <si>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</si>
  <si>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</si>
  <si>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</si>
  <si>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</si>
  <si>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</si>
  <si>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</si>
  <si>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</si>
  <si>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</si>
  <si>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</si>
  <si>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</si>
  <si>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</si>
  <si>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</si>
  <si>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</si>
  <si>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</si>
  <si>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</si>
  <si>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</si>
  <si>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</si>
  <si>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</si>
  <si>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</si>
  <si>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</si>
  <si>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</si>
  <si>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</si>
  <si>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</si>
  <si>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</si>
  <si>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</si>
  <si>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</si>
  <si>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</si>
  <si>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</si>
  <si>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</si>
  <si>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</si>
  <si>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</si>
  <si>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</si>
  <si>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</si>
  <si>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</si>
  <si>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</si>
  <si>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</si>
  <si>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</si>
  <si>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</si>
  <si>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</si>
  <si>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</si>
  <si>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</si>
  <si>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</si>
  <si>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</si>
  <si>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</si>
  <si>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</si>
  <si>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</si>
  <si>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</si>
  <si>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</si>
  <si>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</si>
  <si>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</si>
  <si>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</si>
  <si>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</si>
  <si>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</si>
  <si>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</si>
  <si>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</si>
  <si>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</si>
  <si>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</si>
  <si>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</si>
  <si>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</si>
  <si>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</si>
  <si>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</si>
  <si>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</si>
  <si>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</si>
  <si>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</si>
  <si>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</si>
  <si>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</si>
  <si>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</si>
  <si>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</si>
  <si>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</si>
  <si>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</si>
  <si>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</si>
  <si>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</si>
  <si>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</si>
  <si>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</si>
  <si>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</si>
  <si>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</si>
  <si>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</si>
  <si>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</si>
  <si>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</si>
  <si>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</si>
  <si>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</si>
  <si>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</si>
  <si>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</si>
  <si>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</si>
  <si>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</si>
  <si>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</si>
  <si>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</si>
  <si>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</si>
  <si>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</si>
  <si>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</si>
  <si>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</si>
  <si>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</si>
  <si>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</si>
  <si>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</si>
  <si>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</si>
  <si>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</si>
  <si>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</si>
  <si>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</si>
  <si>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</si>
  <si>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</si>
  <si>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</si>
  <si>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</si>
  <si>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</si>
  <si>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</si>
  <si>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</si>
  <si>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</si>
  <si>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</si>
  <si>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</si>
  <si>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</si>
  <si>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</si>
  <si>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</si>
  <si>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</si>
  <si>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</si>
  <si>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</si>
  <si>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</si>
  <si>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</si>
  <si>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</si>
  <si>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</si>
  <si>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</si>
  <si>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</si>
  <si>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</si>
  <si>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</si>
  <si>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</si>
  <si>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</si>
  <si>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</si>
  <si>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</si>
  <si>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</si>
  <si>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</si>
  <si>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</si>
  <si>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</si>
  <si>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</si>
  <si>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</si>
  <si>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</si>
  <si>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</si>
  <si>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</si>
  <si>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</si>
  <si>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</si>
  <si>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</si>
  <si>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</si>
  <si>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</si>
  <si>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</si>
  <si>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</si>
  <si>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</si>
  <si>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</si>
  <si>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</si>
  <si>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</si>
  <si>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</si>
  <si>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</si>
  <si>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</si>
  <si>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</si>
  <si>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</si>
  <si>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</si>
  <si>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</si>
  <si>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</si>
  <si>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</si>
  <si>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</si>
  <si>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</si>
  <si>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</si>
  <si>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</si>
  <si>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</si>
  <si>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</si>
  <si>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</si>
  <si>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</si>
  <si>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</si>
  <si>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</si>
  <si>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</si>
  <si>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</si>
  <si>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</si>
  <si>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</si>
  <si>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</si>
  <si>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</si>
  <si>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</si>
  <si>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</si>
  <si>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</si>
  <si>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</si>
  <si>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</si>
  <si>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</si>
  <si>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</si>
  <si>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</si>
  <si>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</si>
  <si>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</si>
  <si>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</si>
  <si>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</si>
  <si>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</si>
  <si>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</si>
  <si>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</si>
  <si>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</si>
  <si>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</si>
  <si>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</si>
  <si>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</si>
  <si>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</si>
  <si>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</si>
  <si>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</si>
  <si>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</si>
  <si>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</si>
  <si>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</si>
  <si>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</si>
  <si>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</si>
  <si>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</si>
  <si>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</si>
  <si>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</si>
  <si>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</si>
  <si>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</si>
  <si>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</si>
  <si>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</si>
  <si>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</si>
  <si>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</si>
  <si>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</si>
  <si>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</si>
  <si>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</si>
  <si>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</si>
  <si>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</si>
  <si>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</si>
  <si>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</si>
  <si>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</si>
  <si>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</si>
  <si>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</si>
  <si>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</si>
  <si>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</si>
  <si>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</si>
  <si>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</si>
  <si>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</si>
  <si>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</si>
  <si>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</si>
  <si>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</si>
  <si>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</si>
  <si>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</si>
  <si>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</si>
  <si>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</si>
  <si>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</si>
  <si>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</si>
  <si>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</si>
  <si>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</si>
  <si>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</si>
  <si>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</si>
  <si>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</si>
  <si>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</si>
  <si>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</si>
  <si>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</si>
  <si>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</si>
  <si>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</si>
  <si>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</si>
  <si>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</si>
  <si>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</si>
  <si>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</si>
  <si>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</si>
  <si>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</si>
  <si>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</si>
  <si>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</si>
  <si>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</si>
  <si>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</si>
  <si>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</si>
  <si>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</si>
  <si>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</si>
  <si>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</si>
  <si>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</si>
  <si>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</si>
  <si>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</si>
  <si>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</si>
  <si>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</si>
  <si>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</si>
  <si>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</si>
  <si>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</si>
  <si>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</si>
  <si>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</si>
  <si>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</si>
  <si>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</si>
  <si>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</si>
  <si>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</si>
  <si>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</si>
  <si>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</si>
  <si>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</si>
  <si>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</si>
  <si>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</si>
  <si>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</si>
  <si>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</si>
  <si>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</si>
  <si>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</si>
  <si>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</si>
  <si>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</si>
  <si>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</si>
  <si>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</si>
  <si>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</si>
  <si>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</si>
  <si>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</si>
  <si>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</si>
  <si>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</si>
  <si>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</si>
  <si>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</si>
  <si>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</si>
  <si>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</si>
  <si>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</si>
  <si>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</si>
  <si>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</si>
  <si>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</si>
  <si>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</si>
  <si>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</si>
  <si>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</si>
  <si>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</si>
  <si>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</si>
  <si>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</si>
  <si>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</si>
  <si>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</si>
  <si>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</si>
  <si>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</si>
  <si>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</si>
  <si>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</si>
  <si>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</si>
  <si>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</si>
  <si>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</si>
  <si>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</si>
  <si>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</si>
  <si>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</si>
  <si>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</si>
  <si>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</si>
  <si>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</si>
  <si>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</si>
  <si>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</si>
  <si>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</si>
  <si>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</si>
  <si>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</si>
  <si>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</si>
  <si>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</si>
  <si>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</si>
  <si>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</si>
  <si>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</si>
  <si>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</si>
  <si>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</si>
  <si>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</si>
  <si>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</si>
  <si>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</si>
  <si>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</si>
  <si>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</si>
  <si>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</si>
  <si>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</si>
  <si>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</si>
  <si>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</si>
  <si>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</si>
  <si>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</si>
  <si>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</si>
  <si>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</si>
  <si>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</si>
  <si>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</si>
  <si>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</si>
  <si>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</si>
  <si>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</si>
  <si>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</si>
  <si>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</si>
  <si>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</si>
  <si>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</si>
  <si>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</si>
  <si>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</si>
  <si>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</si>
  <si>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</si>
  <si>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</si>
  <si>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</si>
  <si>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</si>
  <si>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</si>
  <si>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</si>
  <si>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</si>
  <si>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</si>
  <si>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</si>
  <si>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</si>
  <si>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</si>
  <si>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</si>
  <si>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</si>
  <si>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</si>
  <si>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</si>
  <si>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</si>
  <si>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</si>
  <si>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</si>
  <si>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</si>
  <si>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</si>
  <si>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</si>
  <si>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</si>
  <si>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</si>
  <si>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</si>
  <si>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</si>
  <si>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</si>
  <si>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</si>
  <si>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</si>
  <si>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</si>
  <si>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</si>
  <si>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</si>
  <si>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</si>
  <si>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</si>
  <si>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</si>
  <si>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</si>
  <si>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</si>
  <si>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</si>
  <si>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</si>
  <si>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</si>
  <si>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</si>
  <si>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</si>
  <si>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</si>
  <si>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</si>
  <si>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</si>
  <si>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</si>
  <si>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</si>
  <si>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</si>
  <si>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</si>
  <si>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</si>
  <si>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</si>
  <si>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</si>
  <si>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</si>
  <si>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</si>
  <si>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</si>
  <si>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</si>
  <si>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</si>
  <si>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</si>
  <si>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</si>
  <si>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</si>
  <si>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</si>
  <si>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</si>
  <si>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</si>
  <si>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</si>
  <si>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</si>
  <si>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</si>
  <si>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</si>
  <si>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</si>
  <si>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</si>
  <si>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</si>
  <si>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</si>
  <si>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</si>
  <si>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</si>
  <si>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</si>
  <si>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</si>
  <si>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</si>
  <si>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</si>
  <si>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</si>
  <si>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</si>
  <si>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</si>
  <si>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</si>
  <si>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</si>
  <si>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</si>
  <si>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</si>
  <si>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</si>
  <si>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</si>
  <si>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</si>
  <si>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</si>
  <si>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</si>
  <si>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</si>
  <si>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</si>
  <si>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</si>
  <si>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</si>
  <si>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</si>
  <si>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</si>
  <si>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</si>
  <si>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</si>
  <si>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</si>
  <si>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</si>
  <si>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</si>
  <si>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</si>
  <si>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</si>
  <si>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</si>
  <si>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</si>
  <si>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</si>
  <si>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</si>
  <si>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</si>
  <si>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</si>
  <si>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</si>
  <si>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</si>
  <si>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</si>
  <si>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</si>
  <si>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</si>
  <si>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</si>
  <si>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</si>
  <si>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</si>
  <si>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</si>
  <si>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</si>
  <si>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</si>
  <si>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</si>
  <si>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</si>
  <si>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</si>
  <si>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</si>
  <si>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</si>
  <si>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</si>
  <si>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</si>
  <si>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</si>
  <si>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</si>
  <si>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</si>
  <si>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</si>
  <si>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</si>
  <si>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</si>
  <si>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</si>
  <si>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</si>
  <si>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</si>
  <si>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</si>
  <si>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</si>
  <si>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</si>
  <si>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</si>
  <si>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</si>
  <si>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</si>
  <si>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</si>
  <si>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</si>
  <si>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</si>
  <si>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</si>
  <si>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</si>
  <si>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</si>
  <si>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</si>
  <si>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</si>
  <si>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</si>
  <si>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</si>
  <si>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</si>
  <si>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</si>
  <si>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</si>
  <si>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</si>
  <si>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</si>
  <si>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</si>
  <si>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</si>
  <si>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</si>
  <si>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</si>
  <si>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</si>
  <si>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</si>
  <si>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</si>
  <si>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</si>
  <si>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</si>
  <si>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</si>
  <si>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</si>
  <si>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</si>
  <si>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</si>
  <si>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</si>
  <si>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</si>
  <si>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</si>
  <si>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</si>
  <si>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</si>
  <si>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</si>
  <si>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</si>
  <si>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</si>
  <si>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</si>
  <si>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</si>
  <si>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</si>
  <si>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</si>
  <si>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</si>
  <si>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</si>
  <si>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</si>
  <si>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</si>
  <si>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</si>
  <si>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</si>
  <si>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</si>
  <si>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</si>
  <si>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</si>
  <si>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</si>
  <si>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</si>
  <si>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</si>
  <si>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</si>
  <si>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</si>
  <si>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</si>
  <si>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</si>
  <si>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</si>
  <si>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</si>
  <si>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</si>
  <si>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</si>
  <si>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</si>
  <si>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</si>
  <si>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</si>
  <si>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</si>
  <si>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</si>
  <si>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</si>
  <si>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</si>
  <si>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</si>
  <si>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</si>
  <si>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</si>
  <si>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</si>
  <si>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</si>
  <si>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</si>
  <si>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</si>
  <si>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</si>
  <si>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</si>
  <si>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</si>
  <si>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</si>
  <si>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</si>
  <si>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</si>
  <si>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</si>
  <si>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</si>
  <si>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</si>
  <si>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</si>
  <si>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</si>
  <si>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</si>
  <si>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</si>
  <si>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</si>
  <si>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</si>
  <si>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</si>
  <si>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</si>
  <si>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</si>
  <si>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</si>
  <si>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</si>
  <si>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</si>
  <si>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</si>
  <si>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</si>
  <si>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</si>
  <si>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</si>
  <si>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</si>
  <si>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</si>
  <si>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</si>
  <si>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</si>
  <si>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</si>
  <si>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</si>
  <si>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</si>
  <si>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</si>
  <si>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</si>
  <si>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</si>
  <si>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</si>
  <si>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</si>
  <si>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</si>
  <si>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</si>
  <si>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</si>
  <si>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</si>
  <si>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</si>
  <si>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</si>
  <si>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</si>
  <si>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</si>
  <si>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</si>
  <si>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</si>
  <si>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</si>
  <si>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</si>
  <si>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</si>
  <si>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</si>
  <si>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</si>
  <si>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</si>
  <si>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</si>
  <si>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</si>
  <si>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</si>
  <si>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</si>
  <si>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</si>
  <si>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</si>
  <si>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</si>
  <si>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</si>
  <si>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</si>
  <si>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</si>
  <si>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</si>
  <si>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</si>
  <si>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</si>
  <si>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</si>
  <si>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</si>
  <si>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</si>
  <si>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</si>
  <si>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</si>
  <si>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</si>
  <si>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</si>
  <si>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</si>
  <si>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</si>
  <si>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</si>
  <si>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</si>
  <si>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</si>
  <si>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</si>
  <si>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</si>
  <si>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</si>
  <si>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</si>
  <si>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</si>
  <si>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</si>
  <si>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</si>
  <si>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</si>
  <si>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</si>
  <si>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</si>
  <si>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</si>
  <si>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</si>
  <si>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</si>
  <si>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</si>
  <si>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</si>
  <si>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</si>
  <si>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</si>
  <si>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</si>
  <si>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</si>
  <si>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</si>
  <si>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</si>
  <si>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</si>
  <si>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</si>
  <si>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</si>
  <si>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</si>
  <si>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</si>
  <si>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</si>
  <si>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</si>
  <si>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</si>
  <si>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</si>
  <si>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</si>
  <si>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</si>
  <si>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</si>
  <si>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</si>
  <si>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</si>
  <si>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</si>
  <si>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</si>
  <si>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</si>
  <si>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</si>
  <si>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</si>
  <si>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</si>
  <si>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</si>
  <si>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</si>
  <si>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</si>
  <si>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</si>
  <si>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</si>
  <si>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</si>
  <si>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</si>
  <si>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</si>
  <si>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</si>
  <si>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</si>
  <si>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</si>
  <si>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</si>
  <si>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</si>
  <si>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</si>
  <si>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</si>
  <si>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</si>
  <si>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</si>
  <si>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</si>
  <si>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</si>
  <si>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</si>
  <si>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</si>
  <si>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</si>
  <si>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</si>
  <si>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</si>
  <si>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</si>
  <si>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</si>
  <si>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</si>
  <si>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</si>
  <si>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</si>
  <si>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</si>
  <si>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</si>
  <si>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</si>
  <si>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</si>
  <si>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</si>
  <si>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</si>
  <si>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</si>
  <si>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</si>
  <si>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</si>
  <si>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</si>
  <si>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</si>
  <si>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</si>
  <si>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</si>
  <si>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</si>
  <si>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</si>
  <si>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</si>
  <si>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</si>
  <si>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</si>
  <si>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</si>
  <si>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</si>
  <si>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</si>
  <si>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</si>
  <si>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</si>
  <si>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</si>
  <si>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</si>
  <si>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</si>
  <si>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</si>
  <si>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</si>
  <si>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</si>
  <si>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</si>
  <si>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</si>
  <si>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</si>
  <si>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</si>
  <si>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</si>
  <si>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</si>
  <si>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</si>
  <si>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</si>
  <si>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</si>
  <si>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</si>
  <si>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</si>
  <si>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</si>
  <si>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</si>
  <si>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</si>
  <si>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</si>
  <si>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</si>
  <si>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</si>
  <si>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</si>
  <si>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</si>
  <si>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</si>
  <si>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</si>
  <si>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</si>
  <si>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</si>
  <si>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</si>
  <si>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</si>
  <si>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</si>
  <si>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</si>
  <si>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</si>
  <si>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</si>
  <si>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</si>
  <si>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</si>
  <si>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</si>
  <si>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</si>
  <si>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</si>
  <si>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</si>
  <si>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</si>
  <si>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</si>
  <si>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</si>
  <si>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</si>
  <si>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</si>
  <si>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</si>
  <si>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</si>
  <si>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</si>
  <si>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</si>
  <si>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</si>
  <si>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</si>
  <si>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</si>
  <si>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</si>
  <si>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</si>
  <si>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</si>
  <si>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</si>
  <si>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</si>
  <si>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</si>
  <si>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</si>
  <si>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</si>
  <si>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</si>
  <si>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</si>
  <si>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</si>
  <si>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</si>
  <si>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</si>
  <si>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</si>
  <si>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</si>
  <si>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</si>
  <si>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</si>
  <si>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</si>
  <si>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</si>
  <si>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</si>
  <si>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</si>
  <si>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</si>
  <si>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</si>
  <si>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</si>
  <si>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</si>
  <si>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</si>
  <si>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</si>
  <si>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</si>
  <si>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</si>
  <si>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</si>
  <si>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</si>
  <si>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</si>
  <si>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</si>
  <si>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</si>
  <si>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</si>
  <si>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</si>
  <si>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</si>
  <si>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</si>
  <si>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</si>
  <si>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</si>
  <si>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</si>
  <si>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</si>
  <si>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</si>
  <si>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</si>
  <si>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</si>
  <si>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</si>
  <si>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</si>
  <si>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</si>
  <si>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</si>
  <si>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</si>
  <si>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</si>
  <si>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</si>
  <si>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</si>
  <si>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</si>
  <si>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</si>
  <si>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</si>
  <si>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</si>
  <si>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</si>
  <si>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</si>
  <si>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</si>
  <si>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</si>
  <si>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</si>
  <si>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</si>
  <si>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</si>
  <si>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</si>
  <si>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</si>
  <si>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</si>
  <si>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</si>
  <si>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</si>
  <si>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</si>
  <si>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</si>
  <si>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</si>
  <si>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</si>
  <si>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</si>
  <si>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</si>
  <si>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</si>
  <si>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</si>
  <si>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</si>
  <si>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</si>
  <si>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</si>
  <si>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</si>
  <si>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</si>
  <si>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</si>
  <si>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</si>
  <si>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</si>
  <si>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</si>
  <si>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</si>
  <si>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</si>
  <si>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</si>
  <si>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</si>
  <si>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</si>
  <si>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</si>
  <si>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</si>
  <si>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</si>
  <si>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</si>
  <si>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</si>
  <si>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</si>
  <si>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</si>
  <si>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</si>
  <si>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</si>
  <si>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</si>
  <si>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</si>
  <si>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</si>
  <si>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</si>
  <si>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</si>
  <si>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</si>
  <si>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</si>
  <si>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</si>
  <si>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</si>
  <si>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</si>
  <si>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</si>
  <si>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</si>
  <si>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</si>
  <si>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</si>
  <si>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</si>
  <si>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</si>
  <si>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</si>
  <si>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</si>
  <si>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</si>
  <si>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</si>
  <si>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</si>
  <si>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</si>
  <si>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</si>
  <si>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</si>
  <si>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</si>
  <si>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</si>
  <si>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</si>
  <si>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</si>
  <si>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</si>
  <si>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</si>
  <si>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</si>
  <si>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</si>
  <si>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</si>
  <si>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</si>
  <si>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</si>
  <si>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</si>
  <si>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</si>
  <si>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</si>
  <si>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</si>
  <si>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</si>
  <si>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</si>
  <si>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</si>
  <si>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</si>
  <si>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</si>
  <si>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</si>
  <si>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</si>
  <si>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</si>
  <si>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</si>
  <si>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</si>
  <si>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</si>
  <si>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</si>
  <si>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</si>
  <si>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</si>
  <si>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</si>
  <si>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</si>
  <si>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</si>
  <si>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</si>
  <si>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</si>
  <si>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</si>
  <si>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</si>
  <si>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</si>
  <si>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</si>
  <si>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</si>
  <si>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</si>
  <si>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</si>
  <si>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</si>
  <si>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</si>
  <si>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</si>
  <si>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</si>
  <si>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</si>
  <si>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</si>
  <si>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</si>
  <si>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</si>
  <si>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</si>
  <si>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</si>
  <si>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</si>
  <si>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</si>
  <si>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</si>
  <si>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</si>
  <si>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</si>
  <si>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</si>
  <si>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</si>
  <si>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</si>
  <si>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</si>
  <si>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</si>
  <si>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</si>
  <si>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</si>
  <si>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</si>
  <si>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</si>
  <si>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</si>
  <si>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</si>
  <si>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</si>
  <si>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</si>
  <si>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</si>
  <si>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</si>
  <si>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</si>
  <si>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</si>
  <si>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</si>
  <si>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</si>
  <si>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</si>
  <si>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</si>
  <si>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</si>
  <si>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</si>
  <si>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</si>
  <si>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</si>
  <si>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</si>
  <si>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</si>
  <si>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</si>
  <si>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</si>
  <si>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</si>
  <si>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</si>
  <si>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</si>
  <si>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</si>
  <si>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</si>
  <si>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</si>
  <si>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</si>
  <si>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</si>
  <si>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</si>
  <si>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</si>
  <si>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</si>
  <si>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</si>
  <si>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</si>
  <si>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</si>
  <si>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</si>
  <si>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</si>
  <si>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</si>
  <si>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</si>
  <si>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</si>
  <si>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</si>
  <si>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</si>
  <si>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</si>
  <si>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</si>
  <si>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</si>
  <si>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</si>
  <si>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</si>
  <si>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</si>
  <si>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</si>
  <si>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</si>
  <si>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</si>
  <si>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</si>
  <si>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</si>
  <si>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</si>
  <si>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</si>
  <si>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</si>
  <si>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</si>
  <si>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</si>
  <si>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</si>
  <si>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</si>
  <si>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</si>
  <si>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</si>
  <si>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</si>
  <si>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</si>
  <si>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</si>
  <si>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</si>
  <si>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</si>
  <si>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</si>
  <si>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</si>
  <si>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</si>
  <si>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</si>
  <si>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</si>
  <si>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</si>
  <si>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</si>
  <si>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</si>
  <si>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</si>
  <si>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</si>
  <si>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</si>
  <si>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</si>
  <si>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</si>
  <si>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</si>
  <si>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</si>
  <si>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</si>
  <si>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</si>
  <si>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</si>
  <si>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</si>
  <si>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</si>
  <si>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</si>
  <si>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</si>
  <si>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</si>
  <si>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</si>
  <si>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</si>
  <si>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</si>
  <si>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</si>
  <si>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</si>
  <si>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</si>
  <si>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</si>
  <si>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</si>
  <si>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</si>
  <si>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</si>
  <si>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</si>
  <si>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</si>
  <si>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</si>
  <si>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</si>
  <si>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</si>
  <si>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</si>
  <si>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</si>
  <si>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</si>
  <si>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</si>
  <si>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</si>
  <si>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</si>
  <si>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</si>
  <si>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</si>
  <si>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</si>
  <si>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</si>
  <si>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</si>
  <si>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</si>
  <si>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</si>
  <si>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</si>
  <si>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</si>
  <si>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</si>
  <si>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</si>
  <si>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</si>
  <si>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</si>
  <si>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</si>
  <si>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</si>
  <si>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</si>
  <si>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</si>
  <si>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</si>
  <si>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</si>
  <si>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</si>
  <si>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</si>
  <si>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</si>
  <si>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</si>
  <si>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</si>
  <si>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</si>
  <si>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</si>
  <si>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</si>
  <si>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</si>
  <si>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</si>
  <si>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</si>
  <si>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</si>
  <si>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</si>
  <si>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</si>
  <si>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</si>
  <si>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</si>
  <si>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</si>
  <si>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</si>
  <si>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</si>
  <si>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</si>
  <si>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</si>
  <si>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</si>
  <si>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</si>
  <si>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</si>
  <si>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</si>
  <si>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</si>
  <si>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</si>
  <si>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</si>
  <si>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</si>
  <si>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</si>
  <si>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</si>
  <si>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</si>
  <si>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</si>
  <si>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</si>
  <si>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</si>
  <si>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</si>
  <si>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</si>
  <si>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</si>
  <si>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</si>
  <si>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</si>
  <si>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</si>
  <si>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</si>
  <si>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</si>
  <si>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</si>
  <si>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</si>
  <si>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</si>
  <si>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</si>
  <si>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</si>
  <si>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</si>
  <si>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</si>
  <si>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</si>
  <si>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</si>
  <si>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</si>
  <si>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</si>
  <si>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</si>
  <si>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</si>
  <si>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</si>
  <si>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</si>
  <si>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</si>
  <si>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</si>
  <si>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</si>
  <si>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</si>
  <si>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</si>
  <si>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</si>
  <si>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</si>
  <si>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</si>
  <si>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</si>
  <si>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</si>
  <si>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</si>
  <si>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</si>
  <si>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</si>
  <si>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</si>
  <si>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</si>
  <si>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</si>
  <si>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</si>
  <si>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</si>
  <si>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</si>
  <si>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</si>
  <si>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</si>
  <si>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</si>
  <si>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</si>
  <si>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</si>
  <si>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</si>
  <si>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</si>
  <si>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</si>
  <si>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</si>
  <si>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</si>
  <si>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</si>
  <si>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</si>
  <si>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</si>
  <si>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</si>
  <si>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</si>
  <si>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</si>
  <si>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</si>
  <si>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</si>
  <si>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</si>
  <si>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</si>
  <si>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</si>
  <si>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</si>
  <si>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</si>
  <si>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</si>
  <si>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</si>
  <si>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</si>
  <si>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</si>
  <si>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</si>
  <si>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</si>
  <si>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</si>
  <si>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</si>
  <si>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</si>
  <si>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</si>
  <si>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</si>
  <si>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</si>
  <si>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</si>
  <si>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</si>
  <si>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</si>
  <si>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</si>
  <si>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</si>
  <si>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</si>
  <si>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</si>
  <si>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</si>
  <si>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</si>
  <si>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</si>
  <si>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</si>
  <si>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</si>
  <si>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</si>
  <si>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</si>
  <si>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</si>
  <si>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</si>
  <si>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</si>
  <si>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</si>
  <si>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</si>
  <si>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</si>
  <si>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</si>
  <si>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</si>
  <si>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</si>
  <si>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</si>
  <si>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</si>
  <si>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</si>
  <si>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</si>
  <si>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</si>
  <si>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</si>
  <si>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</si>
  <si>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</si>
  <si>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</si>
  <si>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</si>
  <si>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</si>
  <si>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</si>
  <si>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</si>
  <si>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</si>
  <si>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</si>
  <si>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</si>
  <si>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</si>
  <si>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</si>
  <si>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</si>
  <si>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</si>
  <si>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</si>
  <si>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</si>
  <si>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</si>
  <si>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</si>
  <si>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</si>
  <si>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</si>
  <si>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</si>
  <si>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</si>
  <si>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</si>
  <si>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</si>
  <si>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</si>
  <si>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</si>
  <si>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</si>
  <si>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</si>
  <si>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</si>
  <si>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</si>
  <si>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</si>
  <si>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</si>
  <si>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</si>
  <si>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</si>
  <si>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</si>
  <si>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</si>
  <si>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</si>
  <si>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</si>
  <si>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</si>
  <si>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</si>
  <si>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</si>
  <si>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</si>
  <si>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</si>
  <si>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</si>
  <si>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</si>
  <si>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</si>
  <si>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</si>
  <si>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</si>
  <si>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</si>
  <si>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</si>
  <si>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</si>
  <si>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</si>
  <si>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</si>
  <si>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</si>
  <si>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</si>
  <si>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</si>
  <si>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</si>
  <si>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</si>
  <si>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</si>
  <si>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</si>
  <si>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</si>
  <si>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</si>
  <si>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</si>
  <si>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</si>
  <si>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</si>
  <si>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</si>
  <si>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</si>
  <si>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</si>
  <si>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</si>
  <si>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</si>
  <si>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</si>
  <si>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</si>
  <si>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</si>
  <si>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</si>
  <si>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</si>
  <si>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</si>
  <si>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</si>
  <si>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</si>
  <si>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</si>
  <si>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</si>
  <si>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</si>
  <si>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</si>
  <si>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</si>
  <si>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</si>
  <si>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</si>
  <si>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</si>
  <si>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</si>
  <si>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</si>
  <si>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</si>
  <si>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</si>
  <si>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</si>
  <si>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</si>
  <si>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</si>
  <si>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</si>
  <si>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</si>
  <si>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</si>
  <si>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</si>
  <si>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</si>
  <si>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</si>
  <si>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</si>
  <si>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</si>
  <si>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</si>
  <si>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</si>
  <si>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</si>
  <si>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</si>
  <si>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</si>
  <si>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</si>
  <si>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</si>
  <si>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</si>
  <si>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</si>
  <si>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</si>
  <si>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</si>
  <si>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</si>
  <si>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</si>
  <si>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</si>
  <si>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</si>
  <si>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</si>
  <si>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</si>
  <si>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</si>
  <si>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</si>
  <si>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</si>
  <si>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</si>
  <si>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</si>
  <si>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</si>
  <si>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</si>
  <si>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</si>
  <si>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</si>
  <si>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</si>
  <si>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</si>
  <si>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</si>
  <si>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</si>
  <si>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</si>
  <si>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</si>
  <si>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</si>
  <si>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</si>
  <si>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</si>
  <si>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</si>
  <si>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</si>
  <si>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</si>
  <si>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</si>
  <si>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</si>
  <si>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</si>
  <si>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</si>
  <si>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</si>
  <si>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</si>
  <si>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</si>
  <si>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</si>
  <si>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</si>
  <si>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</si>
  <si>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</si>
  <si>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</si>
  <si>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</si>
  <si>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</si>
  <si>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</si>
  <si>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</si>
  <si>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</si>
  <si>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</si>
  <si>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</si>
  <si>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</si>
  <si>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</si>
  <si>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</si>
  <si>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</si>
  <si>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</si>
  <si>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</si>
  <si>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</si>
  <si>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</si>
  <si>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</si>
  <si>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</si>
  <si>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</si>
  <si>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</si>
  <si>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</si>
  <si>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</si>
  <si>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</si>
  <si>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</si>
  <si>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</si>
  <si>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</si>
  <si>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</si>
  <si>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</si>
  <si>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</si>
  <si>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</si>
  <si>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</si>
  <si>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</si>
  <si>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</si>
  <si>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</si>
  <si>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</si>
  <si>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</si>
  <si>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</si>
  <si>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</si>
  <si>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</si>
  <si>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</si>
  <si>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</si>
  <si>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</si>
  <si>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</si>
  <si>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</si>
  <si>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</si>
  <si>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</si>
  <si>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</si>
  <si>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</si>
  <si>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</si>
  <si>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</si>
  <si>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</si>
  <si>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</si>
  <si>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</si>
  <si>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</si>
  <si>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</si>
  <si>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</si>
  <si>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</si>
  <si>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</si>
  <si>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</si>
  <si>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</si>
  <si>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</si>
  <si>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</si>
  <si>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</si>
  <si>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</si>
  <si>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</si>
  <si>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</si>
  <si>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</si>
  <si>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</si>
  <si>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</si>
  <si>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</si>
  <si>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</si>
  <si>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</si>
  <si>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</si>
  <si>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</si>
  <si>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</si>
  <si>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</si>
  <si>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</si>
  <si>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</si>
  <si>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</si>
  <si>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</si>
  <si>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</si>
  <si>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</si>
  <si>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</si>
  <si>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</si>
  <si>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</si>
  <si>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</si>
  <si>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</si>
  <si>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</si>
  <si>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</si>
  <si>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</si>
  <si>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</si>
  <si>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</si>
  <si>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</si>
  <si>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</si>
  <si>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</si>
  <si>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</si>
  <si>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</si>
  <si>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</si>
  <si>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</si>
  <si>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</si>
  <si>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</si>
  <si>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</si>
  <si>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</si>
  <si>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</si>
  <si>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</si>
  <si>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</si>
  <si>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</si>
  <si>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</si>
  <si>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</si>
  <si>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</si>
  <si>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</si>
  <si>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</si>
  <si>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</si>
  <si>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</si>
  <si>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</si>
  <si>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</si>
  <si>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</si>
  <si>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</si>
  <si>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</si>
  <si>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</si>
  <si>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</si>
  <si>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</si>
  <si>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</si>
  <si>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</si>
  <si>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</si>
  <si>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</si>
  <si>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</si>
  <si>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</si>
  <si>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</si>
  <si>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</si>
  <si>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</si>
  <si>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</si>
  <si>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</si>
  <si>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</si>
  <si>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</si>
  <si>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</si>
  <si>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</si>
  <si>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</si>
  <si>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</si>
  <si>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</si>
  <si>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</si>
  <si>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</si>
  <si>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</si>
  <si>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</si>
  <si>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</si>
  <si>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</si>
  <si>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</si>
  <si>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</si>
  <si>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</si>
  <si>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</si>
  <si>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</si>
  <si>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</si>
  <si>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</si>
  <si>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</si>
  <si>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</si>
  <si>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</si>
  <si>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</si>
  <si>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</si>
  <si>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</si>
  <si>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</si>
  <si>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</si>
  <si>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</si>
  <si>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</si>
  <si>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</si>
  <si>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</si>
  <si>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</si>
  <si>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</si>
  <si>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</si>
  <si>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</si>
  <si>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</si>
  <si>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</si>
  <si>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</si>
  <si>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</si>
  <si>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</si>
  <si>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</si>
  <si>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</si>
  <si>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</si>
  <si>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</si>
  <si>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</si>
  <si>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</si>
  <si>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</si>
  <si>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</si>
  <si>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</si>
  <si>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</si>
  <si>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</si>
  <si>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</si>
  <si>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</si>
  <si>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</si>
  <si>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</si>
  <si>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</si>
  <si>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</si>
  <si>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</si>
  <si>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</si>
  <si>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</si>
  <si>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</si>
  <si>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</si>
  <si>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</si>
  <si>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</si>
  <si>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</si>
  <si>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</si>
  <si>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</si>
  <si>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</si>
  <si>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</si>
  <si>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</si>
  <si>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</si>
  <si>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</si>
  <si>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</si>
  <si>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</si>
  <si>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</si>
  <si>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</si>
  <si>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</si>
  <si>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</si>
  <si>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</si>
  <si>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</si>
  <si>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</si>
  <si>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</si>
  <si>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</si>
  <si>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</si>
  <si>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</si>
  <si>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</si>
  <si>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</si>
  <si>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</si>
  <si>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</si>
  <si>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</si>
  <si>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</si>
  <si>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</si>
  <si>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</si>
  <si>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</si>
  <si>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</si>
  <si>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</si>
  <si>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</si>
  <si>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</si>
  <si>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</si>
  <si>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</si>
  <si>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</si>
  <si>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</si>
  <si>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</si>
  <si>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</si>
  <si>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</si>
  <si>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</si>
  <si>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</si>
  <si>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</si>
  <si>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</si>
  <si>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</si>
  <si>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</si>
  <si>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</si>
  <si>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</si>
  <si>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</si>
  <si>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</si>
  <si>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</si>
  <si>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</si>
  <si>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</si>
  <si>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</si>
  <si>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</si>
  <si>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</si>
  <si>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</si>
  <si>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</si>
  <si>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</si>
  <si>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</si>
  <si>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</si>
  <si>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</si>
  <si>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</si>
  <si>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</si>
  <si>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</si>
  <si>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</si>
  <si>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</si>
  <si>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</si>
  <si>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</si>
  <si>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</si>
  <si>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</si>
  <si>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</si>
  <si>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</si>
  <si>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</si>
  <si>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</si>
  <si>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</si>
  <si>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</si>
  <si>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</si>
  <si>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</si>
  <si>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</si>
  <si>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</si>
  <si>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</si>
  <si>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</si>
  <si>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</si>
  <si>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</si>
  <si>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</si>
  <si>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</si>
  <si>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</si>
  <si>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</si>
  <si>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</si>
  <si>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</si>
  <si>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</si>
  <si>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</si>
  <si>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</si>
  <si>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</si>
  <si>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</si>
  <si>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</si>
  <si>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</si>
  <si>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</si>
  <si>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</si>
  <si>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</si>
  <si>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</si>
  <si>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</si>
  <si>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</si>
  <si>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</si>
  <si>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</si>
  <si>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</si>
  <si>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</si>
  <si>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</si>
  <si>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</si>
  <si>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</si>
  <si>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</si>
  <si>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</si>
  <si>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</si>
  <si>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</si>
  <si>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</si>
  <si>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</si>
  <si>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</si>
  <si>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</si>
  <si>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</si>
  <si>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</si>
  <si>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</si>
  <si>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</si>
  <si>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</si>
  <si>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</si>
  <si>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</si>
  <si>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</si>
  <si>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</si>
  <si>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</si>
  <si>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</si>
  <si>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</si>
  <si>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</si>
  <si>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</si>
  <si>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</si>
  <si>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</si>
  <si>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</si>
  <si>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</si>
  <si>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</si>
  <si>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</si>
  <si>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</si>
  <si>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</si>
  <si>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</si>
  <si>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</si>
  <si>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</si>
  <si>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</si>
  <si>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</si>
  <si>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</si>
  <si>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</si>
  <si>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</si>
  <si>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</si>
  <si>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</si>
  <si>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</si>
  <si>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</si>
  <si>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</si>
  <si>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</si>
  <si>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</si>
  <si>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</si>
  <si>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</si>
  <si>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</si>
  <si>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</si>
  <si>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</si>
  <si>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</si>
  <si>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</si>
  <si>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</si>
  <si>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</si>
  <si>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</si>
  <si>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</si>
  <si>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</si>
  <si>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</si>
  <si>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</si>
  <si>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</si>
  <si>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</si>
  <si>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</si>
  <si>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</si>
  <si>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</si>
  <si>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</si>
  <si>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</si>
  <si>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</si>
  <si>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</si>
  <si>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</si>
  <si>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</si>
  <si>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</si>
  <si>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</si>
  <si>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</si>
  <si>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</si>
  <si>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</si>
  <si>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</si>
  <si>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</si>
  <si>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</si>
  <si>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</si>
  <si>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</si>
  <si>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</si>
  <si>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</si>
  <si>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</si>
  <si>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</si>
  <si>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</si>
  <si>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</si>
  <si>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</si>
  <si>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</si>
  <si>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</si>
  <si>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</si>
  <si>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</si>
  <si>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</si>
  <si>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</si>
  <si>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</si>
  <si>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</si>
  <si>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</si>
  <si>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</si>
  <si>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</si>
  <si>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</si>
  <si>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</si>
  <si>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</si>
  <si>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</si>
  <si>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</si>
  <si>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</si>
  <si>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</si>
  <si>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</si>
  <si>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</si>
  <si>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</si>
  <si>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</si>
  <si>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</si>
  <si>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</si>
  <si>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</si>
  <si>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</si>
  <si>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</si>
  <si>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</si>
  <si>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</si>
  <si>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</si>
  <si>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</si>
  <si>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</si>
  <si>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</si>
  <si>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</si>
  <si>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</si>
  <si>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</si>
  <si>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</si>
  <si>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</si>
  <si>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</si>
  <si>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</si>
  <si>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</si>
  <si>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</si>
  <si>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</si>
  <si>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</si>
  <si>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</si>
  <si>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</si>
  <si>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</si>
  <si>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</si>
  <si>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</si>
  <si>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</si>
  <si>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</si>
  <si>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</si>
  <si>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</si>
  <si>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</si>
  <si>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</si>
  <si>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</si>
  <si>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</si>
  <si>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</si>
  <si>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</si>
  <si>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</si>
  <si>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</si>
  <si>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</si>
  <si>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</si>
  <si>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</si>
  <si>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</si>
  <si>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</si>
  <si>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</si>
  <si>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</si>
  <si>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</si>
  <si>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</si>
  <si>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</si>
  <si>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</si>
  <si>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</si>
  <si>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</si>
  <si>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</si>
  <si>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</si>
  <si>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</si>
  <si>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</si>
  <si>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</si>
  <si>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</si>
  <si>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</si>
  <si>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</si>
  <si>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</si>
  <si>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</si>
  <si>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</si>
  <si>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</si>
  <si>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</si>
  <si>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</si>
  <si>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</si>
  <si>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</si>
  <si>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</si>
  <si>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</si>
  <si>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</si>
  <si>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</si>
  <si>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</si>
  <si>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</si>
  <si>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</si>
  <si>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</si>
  <si>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</si>
  <si>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</si>
  <si>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</si>
  <si>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</si>
  <si>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</si>
  <si>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</si>
  <si>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</si>
  <si>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</si>
  <si>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</si>
  <si>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</si>
  <si>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</si>
  <si>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</si>
  <si>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</si>
  <si>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</si>
  <si>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</si>
  <si>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</si>
  <si>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</si>
  <si>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</si>
  <si>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</si>
  <si>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</si>
  <si>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</si>
  <si>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</si>
  <si>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</si>
  <si>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</si>
  <si>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</si>
  <si>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</si>
  <si>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</si>
  <si>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</si>
  <si>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</si>
  <si>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</si>
  <si>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</si>
  <si>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</si>
  <si>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</si>
  <si>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</si>
  <si>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</si>
  <si>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</si>
  <si>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</si>
  <si>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</si>
  <si>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</si>
  <si>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</si>
  <si>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</si>
  <si>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</si>
  <si>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</si>
  <si>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</si>
  <si>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</si>
  <si>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</si>
  <si>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</si>
  <si>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</si>
  <si>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</si>
  <si>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</si>
  <si>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</si>
  <si>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</si>
  <si>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</si>
  <si>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</si>
  <si>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</si>
  <si>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</si>
  <si>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</si>
  <si>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</si>
  <si>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</si>
  <si>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</si>
  <si>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</si>
  <si>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</si>
  <si>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</si>
  <si>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</si>
  <si>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</si>
  <si>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</si>
  <si>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</si>
  <si>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</si>
  <si>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</si>
  <si>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</si>
  <si>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</si>
  <si>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</si>
  <si>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</si>
  <si>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</si>
  <si>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</si>
  <si>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</si>
  <si>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</si>
  <si>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</si>
  <si>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</si>
  <si>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</si>
  <si>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</si>
  <si>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</si>
  <si>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</si>
  <si>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</si>
  <si>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</si>
  <si>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</si>
  <si>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</si>
  <si>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</si>
  <si>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</si>
  <si>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</si>
  <si>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</si>
  <si>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</si>
  <si>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</si>
  <si>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</si>
  <si>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</si>
  <si>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</si>
  <si>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</si>
  <si>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</si>
  <si>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</si>
  <si>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</si>
  <si>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</si>
  <si>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</si>
  <si>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</si>
  <si>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</si>
  <si>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</si>
  <si>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</si>
  <si>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</si>
  <si>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</si>
  <si>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</si>
  <si>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</si>
  <si>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</si>
  <si>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</si>
  <si>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</si>
  <si>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</si>
  <si>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</si>
  <si>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</si>
  <si>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</si>
  <si>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</si>
  <si>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</si>
  <si>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</si>
  <si>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</si>
  <si>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</si>
  <si>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</si>
  <si>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</si>
  <si>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</si>
  <si>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</si>
  <si>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</si>
  <si>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</si>
  <si>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</si>
  <si>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</si>
  <si>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</si>
  <si>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</si>
  <si>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</si>
  <si>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</si>
  <si>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</si>
  <si>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</si>
  <si>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</si>
  <si>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</si>
  <si>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</si>
  <si>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</si>
  <si>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</si>
  <si>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</si>
  <si>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</si>
  <si>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</si>
  <si>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</si>
  <si>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</si>
  <si>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</si>
  <si>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</si>
  <si>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</si>
  <si>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</si>
  <si>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</si>
  <si>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</si>
  <si>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</si>
  <si>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</si>
  <si>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</si>
  <si>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</si>
  <si>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</si>
  <si>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</si>
  <si>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</si>
  <si>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</si>
  <si>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</si>
  <si>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</si>
  <si>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</si>
  <si>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</si>
  <si>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</si>
  <si>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</si>
  <si>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</si>
  <si>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</si>
  <si>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</si>
  <si>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</si>
  <si>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</si>
  <si>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</si>
  <si>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</si>
  <si>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</si>
  <si>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</si>
  <si>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</si>
  <si>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</si>
  <si>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</si>
  <si>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</si>
  <si>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</si>
  <si>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</si>
  <si>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</si>
  <si>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</si>
  <si>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</si>
  <si>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</si>
  <si>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</si>
  <si>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</si>
  <si>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</si>
  <si>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</si>
  <si>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</si>
  <si>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</si>
  <si>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</si>
  <si>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</si>
  <si>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</si>
  <si>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</si>
  <si>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</si>
  <si>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</si>
  <si>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</si>
  <si>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</si>
  <si>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</si>
  <si>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</si>
  <si>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</si>
  <si>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</si>
  <si>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</si>
  <si>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</si>
  <si>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</si>
  <si>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</si>
  <si>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</si>
  <si>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</si>
  <si>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</si>
  <si>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</si>
  <si>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</si>
  <si>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</si>
  <si>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</si>
  <si>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</si>
  <si>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</si>
  <si>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</si>
  <si>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</si>
  <si>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</si>
  <si>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</si>
  <si>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</si>
  <si>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</si>
  <si>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</si>
  <si>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</si>
  <si>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</si>
  <si>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</si>
  <si>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</si>
  <si>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</si>
  <si>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</si>
  <si>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</si>
  <si>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</si>
  <si>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</si>
  <si>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</si>
  <si>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</si>
  <si>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</si>
  <si>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</si>
  <si>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</si>
  <si>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</si>
  <si>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</si>
  <si>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</si>
  <si>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</si>
  <si>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</si>
  <si>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</si>
  <si>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</si>
  <si>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</si>
  <si>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</si>
  <si>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</si>
  <si>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</si>
  <si>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</si>
  <si>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</si>
  <si>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</si>
  <si>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</si>
  <si>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</si>
  <si>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</si>
  <si>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</si>
  <si>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</si>
  <si>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</si>
  <si>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</si>
  <si>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</si>
  <si>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</si>
  <si>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</si>
  <si>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</si>
  <si>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</si>
  <si>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</si>
  <si>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</si>
  <si>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</si>
  <si>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</si>
  <si>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</si>
  <si>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</si>
  <si>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</si>
  <si>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</si>
  <si>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</si>
  <si>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</si>
  <si>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</si>
  <si>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</si>
  <si>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</si>
  <si>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</si>
  <si>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</si>
  <si>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</si>
  <si>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</si>
  <si>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</si>
  <si>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</si>
  <si>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</si>
  <si>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</si>
  <si>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</si>
  <si>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</si>
  <si>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</si>
  <si>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</si>
  <si>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</si>
  <si>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</si>
  <si>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</si>
  <si>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</si>
  <si>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</si>
  <si>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</si>
  <si>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</si>
  <si>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</si>
  <si>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</si>
  <si>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</si>
  <si>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</si>
  <si>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</si>
  <si>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</si>
  <si>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</si>
  <si>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</si>
  <si>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</si>
  <si>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</si>
  <si>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</si>
  <si>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</si>
  <si>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</si>
  <si>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</si>
  <si>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</si>
  <si>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</si>
  <si>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</si>
  <si>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</si>
  <si>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</si>
  <si>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</si>
  <si>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</si>
  <si>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</si>
  <si>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</si>
  <si>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</si>
  <si>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</si>
  <si>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</si>
  <si>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</si>
  <si>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</si>
  <si>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</si>
  <si>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</si>
  <si>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</si>
  <si>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</si>
  <si>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</si>
  <si>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</si>
  <si>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</si>
  <si>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</si>
  <si>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</si>
  <si>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</si>
  <si>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</si>
  <si>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</si>
  <si>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</si>
  <si>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</si>
  <si>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</si>
  <si>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</si>
  <si>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</si>
  <si>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</si>
  <si>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</si>
  <si>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</si>
  <si>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</si>
  <si>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</si>
  <si>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</si>
  <si>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</si>
  <si>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</si>
  <si>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</si>
  <si>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</si>
  <si>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</si>
  <si>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</si>
  <si>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</si>
  <si>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</si>
  <si>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</si>
  <si>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</si>
  <si>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</si>
  <si>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</si>
  <si>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</si>
  <si>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</si>
  <si>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</si>
  <si>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</si>
  <si>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</si>
  <si>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</si>
  <si>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</si>
  <si>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</si>
  <si>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</si>
  <si>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</si>
  <si>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</si>
  <si>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</si>
  <si>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</si>
  <si>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</si>
  <si>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</si>
  <si>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</si>
  <si>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</si>
  <si>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</si>
  <si>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</si>
  <si>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</si>
  <si>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</si>
  <si>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</si>
  <si>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</si>
  <si>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</si>
  <si>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</si>
  <si>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</si>
  <si>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</si>
  <si>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</si>
  <si>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</si>
  <si>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</si>
  <si>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</si>
  <si>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</si>
  <si>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</si>
  <si>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</si>
  <si>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</si>
  <si>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</si>
  <si>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</si>
  <si>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</si>
  <si>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</si>
  <si>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</si>
  <si>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</si>
  <si>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</si>
  <si>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</si>
  <si>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</si>
  <si>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</si>
  <si>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</si>
  <si>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</si>
  <si>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</si>
  <si>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</si>
  <si>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</si>
  <si>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</si>
  <si>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</si>
  <si>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</si>
  <si>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</si>
  <si>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</si>
  <si>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</si>
  <si>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</si>
  <si>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</si>
  <si>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</si>
  <si>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</si>
  <si>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</si>
  <si>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</si>
  <si>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</si>
  <si>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</si>
  <si>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</si>
  <si>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</si>
  <si>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</si>
  <si>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</si>
  <si>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</si>
  <si>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</si>
  <si>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</si>
  <si>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</si>
  <si>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</si>
  <si>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</si>
  <si>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</si>
  <si>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</si>
  <si>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</si>
  <si>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</si>
  <si>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</si>
  <si>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</si>
  <si>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</si>
  <si>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</si>
  <si>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</si>
  <si>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</si>
  <si>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</si>
  <si>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</si>
  <si>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</si>
  <si>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</si>
  <si>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</si>
  <si>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</si>
  <si>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</si>
  <si>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</si>
  <si>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</si>
  <si>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</si>
  <si>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</si>
  <si>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</si>
  <si>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</si>
  <si>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</si>
  <si>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</si>
  <si>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</si>
  <si>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</si>
  <si>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</si>
  <si>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</si>
  <si>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</si>
  <si>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</si>
  <si>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</si>
  <si>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</si>
  <si>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</si>
  <si>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</si>
  <si>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</si>
  <si>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</si>
  <si>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</si>
  <si>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</si>
  <si>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</si>
  <si>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</si>
  <si>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</si>
  <si>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</si>
  <si>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</si>
  <si>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</si>
  <si>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</si>
  <si>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</si>
  <si>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</si>
  <si>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</si>
  <si>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</si>
  <si>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</si>
  <si>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</si>
  <si>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</si>
  <si>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</si>
  <si>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</si>
  <si>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</si>
  <si>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</si>
  <si>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</si>
  <si>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</si>
  <si>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</si>
  <si>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</si>
  <si>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</si>
  <si>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</si>
  <si>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</si>
  <si>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</si>
  <si>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</si>
  <si>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</si>
  <si>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</si>
  <si>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</si>
  <si>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</si>
  <si>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</si>
  <si>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</si>
  <si>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</si>
  <si>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</si>
  <si>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</si>
  <si>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</si>
  <si>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</si>
  <si>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</si>
  <si>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</si>
  <si>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</si>
  <si>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</si>
  <si>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</si>
  <si>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</si>
  <si>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</si>
  <si>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</si>
  <si>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</si>
  <si>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</si>
  <si>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</si>
  <si>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</si>
  <si>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</si>
  <si>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</si>
  <si>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</si>
  <si>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</si>
  <si>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</si>
  <si>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</si>
  <si>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</si>
  <si>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</si>
  <si>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</si>
  <si>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</si>
  <si>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</si>
  <si>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</si>
  <si>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</si>
  <si>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</si>
  <si>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</si>
  <si>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</si>
  <si>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</si>
  <si>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</si>
  <si>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</si>
  <si>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</si>
  <si>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</si>
  <si>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</si>
  <si>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</si>
  <si>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</si>
  <si>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</si>
  <si>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</si>
  <si>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</si>
  <si>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</si>
  <si>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</si>
  <si>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</si>
  <si>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</si>
  <si>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</si>
  <si>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</si>
  <si>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</si>
  <si>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</si>
  <si>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</si>
  <si>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</si>
  <si>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</si>
  <si>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</si>
  <si>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</si>
  <si>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</si>
  <si>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</si>
  <si>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</si>
  <si>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</si>
  <si>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</si>
  <si>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</si>
  <si>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</si>
  <si>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</si>
  <si>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</si>
  <si>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</si>
  <si>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</si>
  <si>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</si>
  <si>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</si>
  <si>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</si>
  <si>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</si>
  <si>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</si>
  <si>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</si>
  <si>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</si>
  <si>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</si>
  <si>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</si>
  <si>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</si>
  <si>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</si>
  <si>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</si>
  <si>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</si>
  <si>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</si>
  <si>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</si>
  <si>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</si>
  <si>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</si>
  <si>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</si>
  <si>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</si>
  <si>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</si>
  <si>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</si>
  <si>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</si>
  <si>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</si>
  <si>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</si>
  <si>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</si>
  <si>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</si>
  <si>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</si>
  <si>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</si>
  <si>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</si>
  <si>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</si>
  <si>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</si>
  <si>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</si>
  <si>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</si>
  <si>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</si>
  <si>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</si>
  <si>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</si>
  <si>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</si>
  <si>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</si>
  <si>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</si>
  <si>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</si>
  <si>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</si>
  <si>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</si>
  <si>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</si>
  <si>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</si>
  <si>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</si>
  <si>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</si>
  <si>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</si>
  <si>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</si>
  <si>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</si>
  <si>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</si>
  <si>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</si>
  <si>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</si>
  <si>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</si>
  <si>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</si>
  <si>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</si>
  <si>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</si>
  <si>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</si>
  <si>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</si>
  <si>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</si>
  <si>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</si>
  <si>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</si>
  <si>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</si>
  <si>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</si>
  <si>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</si>
  <si>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</si>
  <si>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</si>
  <si>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</si>
  <si>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</si>
  <si>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</si>
  <si>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</si>
  <si>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</si>
  <si>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</si>
  <si>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</si>
  <si>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</si>
  <si>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</si>
  <si>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</si>
  <si>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</si>
  <si>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</si>
  <si>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</si>
  <si>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</si>
  <si>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</si>
  <si>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</si>
  <si>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</si>
  <si>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</si>
  <si>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</si>
  <si>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</si>
  <si>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</si>
  <si>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</si>
  <si>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</si>
  <si>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</si>
  <si>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</si>
  <si>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</si>
  <si>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</si>
  <si>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</si>
  <si>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</si>
  <si>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</si>
  <si>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</si>
  <si>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</si>
  <si>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</si>
  <si>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</si>
  <si>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</si>
  <si>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</si>
  <si>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</si>
  <si>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</si>
  <si>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</si>
  <si>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</si>
  <si>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</si>
  <si>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</si>
  <si>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</si>
  <si>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</si>
  <si>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</si>
  <si>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</si>
  <si>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</si>
  <si>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</si>
  <si>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</si>
  <si>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</si>
  <si>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</si>
  <si>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</si>
  <si>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</si>
  <si>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</si>
  <si>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</si>
  <si>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</si>
  <si>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</si>
  <si>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</si>
  <si>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</si>
  <si>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</si>
  <si>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</si>
  <si>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</si>
  <si>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</si>
  <si>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</si>
  <si>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</si>
  <si>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</si>
  <si>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</si>
  <si>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</si>
  <si>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</si>
  <si>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</si>
  <si>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</si>
  <si>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</si>
  <si>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</si>
  <si>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</si>
  <si>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</si>
  <si>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</si>
  <si>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</si>
  <si>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</si>
  <si>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</si>
  <si>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</si>
  <si>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</si>
  <si>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</si>
  <si>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</si>
  <si>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</si>
  <si>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</si>
  <si>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</si>
  <si>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</si>
  <si>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</si>
  <si>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</si>
  <si>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</si>
  <si>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</si>
  <si>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</si>
  <si>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</si>
  <si>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</si>
  <si>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</si>
  <si>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</si>
  <si>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</si>
  <si>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</si>
  <si>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</si>
  <si>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</si>
  <si>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</si>
  <si>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</si>
  <si>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</si>
  <si>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</si>
  <si>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</si>
  <si>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</si>
  <si>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</si>
  <si>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</si>
  <si>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</si>
  <si>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</si>
  <si>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</si>
  <si>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</si>
  <si>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</si>
  <si>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</si>
  <si>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</si>
  <si>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</si>
  <si>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</si>
  <si>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</si>
  <si>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</si>
  <si>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</si>
  <si>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</si>
  <si>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</si>
  <si>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</si>
  <si>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</si>
  <si>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</si>
  <si>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</si>
  <si>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</si>
  <si>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</si>
  <si>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</si>
  <si>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</si>
  <si>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</si>
  <si>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</si>
  <si>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</si>
  <si>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</si>
  <si>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</si>
  <si>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</si>
  <si>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</si>
  <si>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</si>
  <si>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</si>
  <si>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</si>
  <si>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</si>
  <si>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</si>
  <si>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</si>
  <si>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</si>
  <si>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</si>
  <si>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</si>
  <si>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</si>
  <si>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</si>
  <si>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</si>
  <si>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</si>
  <si>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</si>
  <si>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</si>
  <si>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</si>
  <si>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</si>
  <si>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</si>
  <si>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</si>
  <si>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</si>
  <si>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</si>
  <si>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</si>
  <si>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</si>
  <si>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</si>
  <si>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</si>
  <si>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</si>
  <si>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</si>
  <si>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</si>
  <si>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</si>
  <si>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</si>
  <si>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</si>
  <si>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</si>
  <si>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</si>
  <si>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</si>
  <si>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</si>
  <si>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</si>
  <si>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</si>
  <si>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</si>
  <si>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</si>
  <si>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</si>
  <si>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</si>
  <si>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</si>
  <si>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</si>
  <si>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</si>
  <si>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</si>
  <si>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</si>
  <si>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</si>
  <si>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</si>
  <si>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</si>
  <si>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</si>
  <si>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</si>
  <si>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</si>
  <si>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</si>
  <si>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</si>
  <si>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</si>
  <si>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</si>
  <si>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</si>
  <si>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</si>
  <si>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</si>
  <si>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</si>
  <si>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</si>
  <si>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</si>
  <si>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</si>
  <si>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</si>
  <si>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</si>
  <si>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</si>
  <si>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</si>
  <si>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</si>
  <si>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</si>
  <si>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</si>
  <si>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</si>
  <si>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</si>
  <si>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</si>
  <si>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</si>
  <si>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</si>
  <si>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</si>
  <si>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</si>
  <si>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</si>
  <si>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</si>
  <si>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</si>
  <si>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</si>
  <si>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</si>
  <si>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</si>
  <si>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</si>
  <si>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</si>
  <si>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</si>
  <si>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</si>
  <si>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</si>
  <si>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</si>
  <si>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</si>
  <si>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</si>
  <si>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</si>
  <si>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</si>
  <si>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</si>
  <si>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</si>
  <si>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</si>
  <si>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</si>
  <si>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</si>
  <si>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</si>
  <si>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</si>
  <si>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</si>
  <si>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</si>
  <si>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</si>
  <si>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</si>
  <si>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</si>
  <si>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</si>
  <si>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</si>
  <si>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</si>
  <si>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</si>
  <si>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</si>
  <si>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</si>
  <si>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</si>
  <si>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</si>
  <si>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</si>
  <si>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</si>
  <si>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</si>
  <si>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</si>
  <si>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</si>
  <si>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</si>
  <si>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</si>
  <si>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</si>
  <si>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</si>
  <si>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</si>
  <si>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</si>
  <si>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</si>
  <si>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</si>
  <si>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</si>
  <si>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</si>
  <si>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</si>
  <si>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</si>
  <si>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</si>
  <si>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</si>
  <si>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</si>
  <si>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</si>
  <si>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</si>
  <si>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</si>
  <si>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</si>
  <si>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</si>
  <si>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</si>
  <si>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</si>
  <si>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</si>
  <si>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</si>
  <si>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</si>
  <si>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</si>
  <si>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</si>
  <si>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</si>
  <si>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</si>
  <si>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</si>
  <si>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</si>
  <si>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</si>
  <si>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</si>
  <si>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</si>
  <si>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</si>
  <si>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</si>
  <si>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</si>
  <si>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</si>
  <si>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</si>
  <si>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</si>
  <si>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</si>
  <si>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</si>
  <si>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</si>
  <si>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</si>
  <si>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</si>
  <si>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</si>
  <si>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</si>
  <si>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</si>
  <si>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</si>
  <si>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</si>
  <si>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</si>
  <si>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</si>
  <si>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</si>
  <si>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</si>
  <si>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</si>
  <si>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</si>
  <si>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</si>
  <si>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</si>
  <si>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</si>
  <si>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</si>
  <si>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</si>
  <si>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</si>
  <si>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</si>
  <si>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</si>
  <si>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</si>
  <si>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</si>
  <si>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</si>
  <si>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</si>
  <si>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</si>
  <si>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</si>
  <si>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</si>
  <si>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</si>
  <si>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</si>
  <si>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</si>
  <si>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</si>
  <si>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</si>
  <si>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</si>
  <si>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</si>
  <si>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</si>
  <si>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</si>
  <si>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</si>
  <si>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</si>
  <si>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</si>
  <si>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</si>
  <si>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</si>
  <si>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</si>
  <si>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</si>
  <si>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</si>
  <si>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</si>
  <si>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</si>
  <si>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</si>
  <si>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</si>
  <si>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</si>
  <si>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</si>
  <si>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</si>
  <si>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</si>
  <si>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</si>
  <si>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</si>
  <si>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</si>
  <si>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</si>
  <si>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</si>
  <si>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</si>
  <si>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</si>
  <si>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</si>
  <si>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</si>
  <si>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</si>
  <si>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</si>
  <si>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</si>
  <si>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</si>
  <si>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</si>
  <si>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</si>
  <si>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</si>
  <si>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</si>
  <si>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</si>
  <si>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</si>
  <si>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</si>
  <si>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</si>
  <si>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</si>
  <si>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</si>
  <si>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</si>
  <si>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</si>
  <si>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</si>
  <si>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</si>
  <si>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</si>
  <si>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</si>
  <si>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</si>
  <si>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</si>
  <si>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</si>
  <si>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</si>
  <si>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</si>
  <si>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</si>
  <si>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</si>
  <si>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</si>
  <si>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</si>
  <si>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</si>
  <si>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</si>
  <si>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</si>
  <si>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</si>
  <si>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</si>
  <si>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</si>
  <si>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</si>
  <si>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</si>
  <si>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</si>
  <si>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</si>
  <si>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</si>
  <si>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</si>
  <si>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</si>
  <si>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</si>
  <si>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</si>
  <si>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</si>
  <si>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</si>
  <si>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</si>
  <si>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</si>
  <si>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</si>
  <si>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</si>
  <si>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</si>
  <si>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</si>
  <si>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</si>
  <si>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</si>
  <si>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</si>
  <si>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</si>
  <si>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</si>
  <si>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</si>
  <si>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</si>
  <si>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</si>
  <si>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</si>
  <si>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</si>
  <si>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</si>
  <si>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</si>
  <si>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</si>
  <si>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</si>
  <si>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</si>
  <si>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</si>
  <si>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</si>
  <si>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</si>
  <si>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</si>
  <si>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</si>
  <si>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</si>
  <si>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</si>
  <si>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</si>
  <si>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</si>
  <si>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</si>
  <si>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</si>
  <si>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</si>
  <si>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</si>
  <si>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</si>
  <si>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</si>
  <si>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</si>
  <si>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</si>
  <si>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</si>
  <si>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</si>
  <si>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</si>
  <si>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</si>
  <si>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</si>
  <si>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</si>
  <si>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</si>
  <si>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</si>
  <si>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</si>
  <si>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</si>
  <si>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</si>
  <si>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</si>
  <si>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</si>
  <si>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</si>
  <si>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</si>
  <si>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</si>
  <si>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</si>
  <si>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</si>
  <si>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</si>
  <si>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</si>
  <si>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</si>
  <si>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</si>
  <si>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</si>
  <si>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</si>
  <si>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</si>
  <si>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</si>
  <si>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</si>
  <si>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</si>
  <si>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</si>
  <si>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</si>
  <si>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</si>
  <si>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</si>
  <si>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</si>
  <si>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</si>
  <si>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</si>
  <si>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</si>
  <si>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</si>
  <si>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</si>
  <si>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</si>
  <si>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</si>
  <si>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</si>
  <si>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</si>
  <si>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</si>
  <si>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</si>
  <si>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</si>
  <si>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</si>
  <si>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</si>
  <si>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</si>
  <si>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</si>
  <si>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</si>
  <si>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</si>
  <si>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</si>
  <si>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</si>
  <si>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</si>
  <si>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</si>
  <si>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</si>
  <si>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</si>
  <si>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</si>
  <si>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</si>
  <si>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</si>
  <si>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</si>
  <si>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</si>
  <si>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</si>
  <si>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</si>
  <si>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</si>
  <si>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</si>
  <si>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</si>
  <si>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</si>
  <si>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</si>
  <si>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</si>
  <si>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</si>
  <si>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</si>
  <si>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</si>
  <si>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</si>
  <si>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</si>
  <si>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</si>
  <si>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</si>
  <si>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</si>
  <si>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</si>
  <si>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</si>
  <si>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</si>
  <si>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</si>
  <si>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</si>
  <si>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</si>
  <si>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</si>
  <si>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</si>
  <si>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</si>
  <si>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</si>
  <si>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</si>
  <si>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</si>
  <si>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</si>
  <si>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</si>
  <si>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</si>
  <si>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</si>
  <si>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</si>
  <si>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</si>
  <si>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</si>
  <si>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</si>
  <si>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</si>
  <si>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</si>
  <si>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</si>
  <si>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</si>
  <si>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</si>
  <si>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</si>
  <si>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</si>
  <si>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</si>
  <si>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</si>
  <si>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</si>
  <si>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</si>
  <si>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</si>
  <si>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</si>
  <si>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</si>
  <si>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</si>
  <si>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</si>
  <si>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</si>
  <si>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</si>
  <si>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</si>
  <si>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</si>
  <si>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</si>
  <si>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</si>
  <si>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</si>
  <si>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</si>
  <si>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</si>
  <si>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</si>
  <si>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</si>
  <si>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</si>
  <si>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</si>
  <si>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</si>
  <si>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</si>
  <si>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</si>
  <si>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</si>
  <si>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</si>
  <si>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</si>
  <si>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</si>
  <si>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</si>
  <si>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</si>
  <si>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</si>
  <si>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</si>
  <si>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</si>
  <si>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</si>
  <si>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</si>
  <si>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</si>
  <si>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</si>
  <si>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</si>
  <si>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</si>
  <si>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</si>
  <si>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</si>
  <si>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</si>
  <si>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</si>
  <si>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</si>
  <si>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</si>
  <si>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</si>
  <si>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</si>
  <si>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</si>
  <si>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</si>
  <si>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</si>
  <si>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</si>
  <si>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</si>
  <si>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</si>
  <si>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</si>
  <si>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</si>
  <si>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</si>
  <si>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</si>
  <si>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</si>
  <si>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</si>
  <si>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</si>
  <si>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</si>
  <si>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</si>
  <si>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</si>
  <si>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</si>
  <si>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</si>
  <si>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</si>
  <si>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</si>
  <si>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</si>
  <si>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</si>
  <si>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</si>
  <si>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</si>
  <si>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</si>
  <si>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</si>
  <si>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</si>
  <si>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</si>
  <si>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</si>
  <si>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</si>
  <si>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</si>
  <si>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</si>
  <si>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</si>
  <si>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</si>
  <si>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</si>
  <si>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</si>
  <si>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</si>
  <si>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</si>
  <si>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</si>
  <si>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</si>
  <si>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</si>
  <si>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</si>
  <si>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</si>
  <si>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</si>
  <si>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</si>
  <si>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</si>
  <si>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</si>
  <si>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</si>
  <si>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</si>
  <si>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</si>
  <si>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</si>
  <si>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</si>
  <si>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</si>
  <si>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</si>
  <si>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住宅</t>
    <phoneticPr fontId="3" type="noConversion"/>
  </si>
  <si>
    <t>商业</t>
    <phoneticPr fontId="3" type="noConversion"/>
  </si>
  <si>
    <t>地下仓储</t>
  </si>
  <si>
    <t>地下仓储</t>
    <phoneticPr fontId="3" type="noConversion"/>
  </si>
  <si>
    <t>机械车位</t>
  </si>
  <si>
    <t>机械车位</t>
    <phoneticPr fontId="3" type="noConversion"/>
  </si>
  <si>
    <t>是</t>
  </si>
  <si>
    <t>地上</t>
  </si>
  <si>
    <t>地下</t>
  </si>
  <si>
    <r>
      <rPr>
        <sz val="10"/>
        <color rgb="FF000000"/>
        <rFont val="华文细黑"/>
        <family val="3"/>
        <charset val="134"/>
      </rPr>
      <t>序号</t>
    </r>
  </si>
  <si>
    <r>
      <rPr>
        <sz val="10"/>
        <color rgb="FF000000"/>
        <rFont val="华文细黑"/>
        <family val="3"/>
        <charset val="134"/>
      </rPr>
      <t>楼号</t>
    </r>
  </si>
  <si>
    <r>
      <rPr>
        <sz val="10"/>
        <color rgb="FF000000"/>
        <rFont val="华文细黑"/>
        <family val="3"/>
        <charset val="134"/>
      </rPr>
      <t>抵押部位</t>
    </r>
  </si>
  <si>
    <r>
      <rPr>
        <sz val="10"/>
        <color rgb="FF000000"/>
        <rFont val="华文细黑"/>
        <family val="3"/>
        <charset val="134"/>
      </rPr>
      <t>建筑面积</t>
    </r>
  </si>
  <si>
    <r>
      <rPr>
        <sz val="10"/>
        <color rgb="FF000000"/>
        <rFont val="华文细黑"/>
        <family val="3"/>
        <charset val="134"/>
      </rPr>
      <t>分摊土地面积</t>
    </r>
  </si>
  <si>
    <r>
      <rPr>
        <sz val="10"/>
        <color rgb="FF000000"/>
        <rFont val="华文细黑"/>
        <family val="3"/>
        <charset val="134"/>
      </rPr>
      <t>用途</t>
    </r>
    <phoneticPr fontId="134" type="noConversion"/>
  </si>
  <si>
    <r>
      <t>1#</t>
    </r>
    <r>
      <rPr>
        <sz val="10"/>
        <color rgb="FF000000"/>
        <rFont val="华文细黑"/>
        <family val="3"/>
        <charset val="134"/>
      </rPr>
      <t>住宅楼</t>
    </r>
  </si>
  <si>
    <r>
      <t>1</t>
    </r>
    <r>
      <rPr>
        <sz val="10"/>
        <color rgb="FF000000"/>
        <rFont val="华文细黑"/>
        <family val="3"/>
        <charset val="134"/>
      </rPr>
      <t>单元</t>
    </r>
    <r>
      <rPr>
        <sz val="10"/>
        <color rgb="FF000000"/>
        <rFont val="Arial"/>
        <family val="2"/>
      </rPr>
      <t>1101</t>
    </r>
  </si>
  <si>
    <r>
      <t>1</t>
    </r>
    <r>
      <rPr>
        <sz val="10"/>
        <color rgb="FF000000"/>
        <rFont val="华文细黑"/>
        <family val="3"/>
        <charset val="134"/>
      </rPr>
      <t>单元</t>
    </r>
    <r>
      <rPr>
        <sz val="10"/>
        <color rgb="FF000000"/>
        <rFont val="Arial"/>
        <family val="2"/>
      </rPr>
      <t>1102</t>
    </r>
  </si>
  <si>
    <r>
      <t>2</t>
    </r>
    <r>
      <rPr>
        <sz val="10"/>
        <color rgb="FF000000"/>
        <rFont val="华文细黑"/>
        <family val="3"/>
        <charset val="134"/>
      </rPr>
      <t>单元</t>
    </r>
    <r>
      <rPr>
        <sz val="10"/>
        <color rgb="FF000000"/>
        <rFont val="Arial"/>
        <family val="2"/>
      </rPr>
      <t>101</t>
    </r>
  </si>
  <si>
    <r>
      <t>2</t>
    </r>
    <r>
      <rPr>
        <sz val="10"/>
        <color rgb="FF000000"/>
        <rFont val="华文细黑"/>
        <family val="3"/>
        <charset val="134"/>
      </rPr>
      <t>单元</t>
    </r>
    <r>
      <rPr>
        <sz val="10"/>
        <color rgb="FF000000"/>
        <rFont val="Arial"/>
        <family val="2"/>
      </rPr>
      <t>902</t>
    </r>
  </si>
  <si>
    <r>
      <t>2</t>
    </r>
    <r>
      <rPr>
        <sz val="10"/>
        <color rgb="FF000000"/>
        <rFont val="华文细黑"/>
        <family val="3"/>
        <charset val="134"/>
      </rPr>
      <t>单元</t>
    </r>
    <r>
      <rPr>
        <sz val="10"/>
        <color rgb="FF000000"/>
        <rFont val="Arial"/>
        <family val="2"/>
      </rPr>
      <t>1001</t>
    </r>
  </si>
  <si>
    <r>
      <t>2</t>
    </r>
    <r>
      <rPr>
        <sz val="10"/>
        <color rgb="FF000000"/>
        <rFont val="华文细黑"/>
        <family val="3"/>
        <charset val="134"/>
      </rPr>
      <t>单元</t>
    </r>
    <r>
      <rPr>
        <sz val="10"/>
        <color rgb="FF000000"/>
        <rFont val="Arial"/>
        <family val="2"/>
      </rPr>
      <t>1002</t>
    </r>
  </si>
  <si>
    <r>
      <t>2</t>
    </r>
    <r>
      <rPr>
        <sz val="10"/>
        <color rgb="FF000000"/>
        <rFont val="华文细黑"/>
        <family val="3"/>
        <charset val="134"/>
      </rPr>
      <t>单元</t>
    </r>
    <r>
      <rPr>
        <sz val="10"/>
        <color rgb="FF000000"/>
        <rFont val="Arial"/>
        <family val="2"/>
      </rPr>
      <t>1101</t>
    </r>
  </si>
  <si>
    <r>
      <t>2</t>
    </r>
    <r>
      <rPr>
        <sz val="10"/>
        <color rgb="FF000000"/>
        <rFont val="华文细黑"/>
        <family val="3"/>
        <charset val="134"/>
      </rPr>
      <t>单元</t>
    </r>
    <r>
      <rPr>
        <sz val="10"/>
        <color rgb="FF000000"/>
        <rFont val="Arial"/>
        <family val="2"/>
      </rPr>
      <t>1102</t>
    </r>
  </si>
  <si>
    <r>
      <t>3</t>
    </r>
    <r>
      <rPr>
        <sz val="10"/>
        <color rgb="FF000000"/>
        <rFont val="华文细黑"/>
        <family val="3"/>
        <charset val="134"/>
      </rPr>
      <t>单元</t>
    </r>
    <r>
      <rPr>
        <sz val="10"/>
        <color rgb="FF000000"/>
        <rFont val="Arial"/>
        <family val="2"/>
      </rPr>
      <t>201</t>
    </r>
  </si>
  <si>
    <r>
      <t>3</t>
    </r>
    <r>
      <rPr>
        <sz val="10"/>
        <color rgb="FF000000"/>
        <rFont val="华文细黑"/>
        <family val="3"/>
        <charset val="134"/>
      </rPr>
      <t>单元</t>
    </r>
    <r>
      <rPr>
        <sz val="10"/>
        <color rgb="FF000000"/>
        <rFont val="Arial"/>
        <family val="2"/>
      </rPr>
      <t>501</t>
    </r>
  </si>
  <si>
    <r>
      <t>3</t>
    </r>
    <r>
      <rPr>
        <sz val="10"/>
        <color rgb="FF000000"/>
        <rFont val="华文细黑"/>
        <family val="3"/>
        <charset val="134"/>
      </rPr>
      <t>单元</t>
    </r>
    <r>
      <rPr>
        <sz val="10"/>
        <color rgb="FF000000"/>
        <rFont val="Arial"/>
        <family val="2"/>
      </rPr>
      <t>502</t>
    </r>
  </si>
  <si>
    <r>
      <t>3</t>
    </r>
    <r>
      <rPr>
        <sz val="10"/>
        <color rgb="FF000000"/>
        <rFont val="华文细黑"/>
        <family val="3"/>
        <charset val="134"/>
      </rPr>
      <t>单元</t>
    </r>
    <r>
      <rPr>
        <sz val="10"/>
        <color rgb="FF000000"/>
        <rFont val="Arial"/>
        <family val="2"/>
      </rPr>
      <t>602</t>
    </r>
  </si>
  <si>
    <r>
      <t>3</t>
    </r>
    <r>
      <rPr>
        <sz val="10"/>
        <color rgb="FF000000"/>
        <rFont val="华文细黑"/>
        <family val="3"/>
        <charset val="134"/>
      </rPr>
      <t>单元</t>
    </r>
    <r>
      <rPr>
        <sz val="10"/>
        <color rgb="FF000000"/>
        <rFont val="Arial"/>
        <family val="2"/>
      </rPr>
      <t>702</t>
    </r>
  </si>
  <si>
    <r>
      <t>3</t>
    </r>
    <r>
      <rPr>
        <sz val="10"/>
        <color rgb="FF000000"/>
        <rFont val="华文细黑"/>
        <family val="3"/>
        <charset val="134"/>
      </rPr>
      <t>单元</t>
    </r>
    <r>
      <rPr>
        <sz val="10"/>
        <color rgb="FF000000"/>
        <rFont val="Arial"/>
        <family val="2"/>
      </rPr>
      <t>802</t>
    </r>
  </si>
  <si>
    <r>
      <t>2#</t>
    </r>
    <r>
      <rPr>
        <sz val="10"/>
        <color rgb="FF000000"/>
        <rFont val="华文细黑"/>
        <family val="3"/>
        <charset val="134"/>
      </rPr>
      <t>住宅楼</t>
    </r>
  </si>
  <si>
    <r>
      <t>1</t>
    </r>
    <r>
      <rPr>
        <sz val="10"/>
        <color rgb="FF000000"/>
        <rFont val="华文细黑"/>
        <family val="3"/>
        <charset val="134"/>
      </rPr>
      <t>单元</t>
    </r>
    <r>
      <rPr>
        <sz val="10"/>
        <color rgb="FF000000"/>
        <rFont val="Arial"/>
        <family val="2"/>
      </rPr>
      <t>501</t>
    </r>
  </si>
  <si>
    <r>
      <t>1</t>
    </r>
    <r>
      <rPr>
        <sz val="10"/>
        <color rgb="FF000000"/>
        <rFont val="华文细黑"/>
        <family val="3"/>
        <charset val="134"/>
      </rPr>
      <t>单元</t>
    </r>
    <r>
      <rPr>
        <sz val="10"/>
        <color rgb="FF000000"/>
        <rFont val="Arial"/>
        <family val="2"/>
      </rPr>
      <t>701</t>
    </r>
  </si>
  <si>
    <r>
      <t>1</t>
    </r>
    <r>
      <rPr>
        <sz val="10"/>
        <color rgb="FF000000"/>
        <rFont val="华文细黑"/>
        <family val="3"/>
        <charset val="134"/>
      </rPr>
      <t>单元</t>
    </r>
    <r>
      <rPr>
        <sz val="10"/>
        <color rgb="FF000000"/>
        <rFont val="Arial"/>
        <family val="2"/>
      </rPr>
      <t>902</t>
    </r>
  </si>
  <si>
    <r>
      <t>1</t>
    </r>
    <r>
      <rPr>
        <sz val="10"/>
        <color rgb="FF000000"/>
        <rFont val="华文细黑"/>
        <family val="3"/>
        <charset val="134"/>
      </rPr>
      <t>单元</t>
    </r>
    <r>
      <rPr>
        <sz val="10"/>
        <color rgb="FF000000"/>
        <rFont val="Arial"/>
        <family val="2"/>
      </rPr>
      <t>1002</t>
    </r>
  </si>
  <si>
    <r>
      <t>2</t>
    </r>
    <r>
      <rPr>
        <sz val="10"/>
        <color rgb="FF000000"/>
        <rFont val="华文细黑"/>
        <family val="3"/>
        <charset val="134"/>
      </rPr>
      <t>单元</t>
    </r>
    <r>
      <rPr>
        <sz val="10"/>
        <color rgb="FF000000"/>
        <rFont val="Arial"/>
        <family val="2"/>
      </rPr>
      <t>802</t>
    </r>
  </si>
  <si>
    <r>
      <t>3</t>
    </r>
    <r>
      <rPr>
        <sz val="10"/>
        <color rgb="FF000000"/>
        <rFont val="华文细黑"/>
        <family val="3"/>
        <charset val="134"/>
      </rPr>
      <t>单元</t>
    </r>
    <r>
      <rPr>
        <sz val="10"/>
        <color rgb="FF000000"/>
        <rFont val="Arial"/>
        <family val="2"/>
      </rPr>
      <t>101</t>
    </r>
  </si>
  <si>
    <r>
      <t>3</t>
    </r>
    <r>
      <rPr>
        <sz val="10"/>
        <color rgb="FF000000"/>
        <rFont val="华文细黑"/>
        <family val="3"/>
        <charset val="134"/>
      </rPr>
      <t>单元</t>
    </r>
    <r>
      <rPr>
        <sz val="10"/>
        <color rgb="FF000000"/>
        <rFont val="Arial"/>
        <family val="2"/>
      </rPr>
      <t>302</t>
    </r>
  </si>
  <si>
    <r>
      <t>3</t>
    </r>
    <r>
      <rPr>
        <sz val="10"/>
        <color rgb="FF000000"/>
        <rFont val="华文细黑"/>
        <family val="3"/>
        <charset val="134"/>
      </rPr>
      <t>单元</t>
    </r>
    <r>
      <rPr>
        <sz val="10"/>
        <color rgb="FF000000"/>
        <rFont val="Arial"/>
        <family val="2"/>
      </rPr>
      <t>701</t>
    </r>
  </si>
  <si>
    <r>
      <t>3#</t>
    </r>
    <r>
      <rPr>
        <sz val="10"/>
        <color rgb="FF000000"/>
        <rFont val="华文细黑"/>
        <family val="3"/>
        <charset val="134"/>
      </rPr>
      <t>住宅楼</t>
    </r>
  </si>
  <si>
    <r>
      <t>1</t>
    </r>
    <r>
      <rPr>
        <sz val="10"/>
        <color rgb="FF000000"/>
        <rFont val="华文细黑"/>
        <family val="3"/>
        <charset val="134"/>
      </rPr>
      <t>单元</t>
    </r>
    <r>
      <rPr>
        <sz val="10"/>
        <color rgb="FF000000"/>
        <rFont val="Arial"/>
        <family val="2"/>
      </rPr>
      <t>101</t>
    </r>
  </si>
  <si>
    <r>
      <t>1</t>
    </r>
    <r>
      <rPr>
        <sz val="10"/>
        <color rgb="FF000000"/>
        <rFont val="华文细黑"/>
        <family val="3"/>
        <charset val="134"/>
      </rPr>
      <t>单元</t>
    </r>
    <r>
      <rPr>
        <sz val="10"/>
        <color rgb="FF000000"/>
        <rFont val="Arial"/>
        <family val="2"/>
      </rPr>
      <t>102</t>
    </r>
  </si>
  <si>
    <r>
      <t>1</t>
    </r>
    <r>
      <rPr>
        <sz val="10"/>
        <color rgb="FF000000"/>
        <rFont val="华文细黑"/>
        <family val="3"/>
        <charset val="134"/>
      </rPr>
      <t>单元</t>
    </r>
    <r>
      <rPr>
        <sz val="10"/>
        <color rgb="FF000000"/>
        <rFont val="Arial"/>
        <family val="2"/>
      </rPr>
      <t>801</t>
    </r>
  </si>
  <si>
    <r>
      <t>1</t>
    </r>
    <r>
      <rPr>
        <sz val="10"/>
        <color rgb="FF000000"/>
        <rFont val="华文细黑"/>
        <family val="3"/>
        <charset val="134"/>
      </rPr>
      <t>单元</t>
    </r>
    <r>
      <rPr>
        <sz val="10"/>
        <color rgb="FF000000"/>
        <rFont val="Arial"/>
        <family val="2"/>
      </rPr>
      <t>1201</t>
    </r>
  </si>
  <si>
    <r>
      <t>1</t>
    </r>
    <r>
      <rPr>
        <sz val="10"/>
        <color rgb="FF000000"/>
        <rFont val="华文细黑"/>
        <family val="3"/>
        <charset val="134"/>
      </rPr>
      <t>单元</t>
    </r>
    <r>
      <rPr>
        <sz val="10"/>
        <color rgb="FF000000"/>
        <rFont val="Arial"/>
        <family val="2"/>
      </rPr>
      <t>1202</t>
    </r>
  </si>
  <si>
    <r>
      <t>1</t>
    </r>
    <r>
      <rPr>
        <sz val="10"/>
        <color rgb="FF000000"/>
        <rFont val="华文细黑"/>
        <family val="3"/>
        <charset val="134"/>
      </rPr>
      <t>单元</t>
    </r>
    <r>
      <rPr>
        <sz val="10"/>
        <color rgb="FF000000"/>
        <rFont val="Arial"/>
        <family val="2"/>
      </rPr>
      <t>1301</t>
    </r>
  </si>
  <si>
    <r>
      <t>1</t>
    </r>
    <r>
      <rPr>
        <sz val="10"/>
        <color rgb="FF000000"/>
        <rFont val="华文细黑"/>
        <family val="3"/>
        <charset val="134"/>
      </rPr>
      <t>单元</t>
    </r>
    <r>
      <rPr>
        <sz val="10"/>
        <color rgb="FF000000"/>
        <rFont val="Arial"/>
        <family val="2"/>
      </rPr>
      <t>1302</t>
    </r>
  </si>
  <si>
    <r>
      <t>1</t>
    </r>
    <r>
      <rPr>
        <sz val="10"/>
        <color rgb="FF000000"/>
        <rFont val="华文细黑"/>
        <family val="3"/>
        <charset val="134"/>
      </rPr>
      <t>单元</t>
    </r>
    <r>
      <rPr>
        <sz val="10"/>
        <color rgb="FF000000"/>
        <rFont val="Arial"/>
        <family val="2"/>
      </rPr>
      <t>1401</t>
    </r>
  </si>
  <si>
    <r>
      <t>1</t>
    </r>
    <r>
      <rPr>
        <sz val="10"/>
        <color rgb="FF000000"/>
        <rFont val="华文细黑"/>
        <family val="3"/>
        <charset val="134"/>
      </rPr>
      <t>单元</t>
    </r>
    <r>
      <rPr>
        <sz val="10"/>
        <color rgb="FF000000"/>
        <rFont val="Arial"/>
        <family val="2"/>
      </rPr>
      <t>1402</t>
    </r>
  </si>
  <si>
    <r>
      <t>1</t>
    </r>
    <r>
      <rPr>
        <sz val="10"/>
        <color rgb="FF000000"/>
        <rFont val="华文细黑"/>
        <family val="3"/>
        <charset val="134"/>
      </rPr>
      <t>单元</t>
    </r>
    <r>
      <rPr>
        <sz val="10"/>
        <color rgb="FF000000"/>
        <rFont val="Arial"/>
        <family val="2"/>
      </rPr>
      <t>1501</t>
    </r>
  </si>
  <si>
    <r>
      <t>1</t>
    </r>
    <r>
      <rPr>
        <sz val="10"/>
        <color rgb="FF000000"/>
        <rFont val="华文细黑"/>
        <family val="3"/>
        <charset val="134"/>
      </rPr>
      <t>单元</t>
    </r>
    <r>
      <rPr>
        <sz val="10"/>
        <color rgb="FF000000"/>
        <rFont val="Arial"/>
        <family val="2"/>
      </rPr>
      <t>1502</t>
    </r>
  </si>
  <si>
    <r>
      <t>2</t>
    </r>
    <r>
      <rPr>
        <sz val="10"/>
        <color rgb="FF000000"/>
        <rFont val="华文细黑"/>
        <family val="3"/>
        <charset val="134"/>
      </rPr>
      <t>单元</t>
    </r>
    <r>
      <rPr>
        <sz val="10"/>
        <color rgb="FF000000"/>
        <rFont val="Arial"/>
        <family val="2"/>
      </rPr>
      <t>102</t>
    </r>
  </si>
  <si>
    <r>
      <t>2</t>
    </r>
    <r>
      <rPr>
        <sz val="10"/>
        <color rgb="FF000000"/>
        <rFont val="华文细黑"/>
        <family val="3"/>
        <charset val="134"/>
      </rPr>
      <t>单元</t>
    </r>
    <r>
      <rPr>
        <sz val="10"/>
        <color rgb="FF000000"/>
        <rFont val="Arial"/>
        <family val="2"/>
      </rPr>
      <t>201</t>
    </r>
  </si>
  <si>
    <r>
      <t>2</t>
    </r>
    <r>
      <rPr>
        <sz val="10"/>
        <color rgb="FF000000"/>
        <rFont val="华文细黑"/>
        <family val="3"/>
        <charset val="134"/>
      </rPr>
      <t>单元</t>
    </r>
    <r>
      <rPr>
        <sz val="10"/>
        <color rgb="FF000000"/>
        <rFont val="Arial"/>
        <family val="2"/>
      </rPr>
      <t>202</t>
    </r>
  </si>
  <si>
    <r>
      <t>2</t>
    </r>
    <r>
      <rPr>
        <sz val="10"/>
        <color rgb="FF000000"/>
        <rFont val="华文细黑"/>
        <family val="3"/>
        <charset val="134"/>
      </rPr>
      <t>单元</t>
    </r>
    <r>
      <rPr>
        <sz val="10"/>
        <color rgb="FF000000"/>
        <rFont val="Arial"/>
        <family val="2"/>
      </rPr>
      <t>1201</t>
    </r>
  </si>
  <si>
    <r>
      <t>2</t>
    </r>
    <r>
      <rPr>
        <sz val="10"/>
        <color rgb="FF000000"/>
        <rFont val="华文细黑"/>
        <family val="3"/>
        <charset val="134"/>
      </rPr>
      <t>单元</t>
    </r>
    <r>
      <rPr>
        <sz val="10"/>
        <color rgb="FF000000"/>
        <rFont val="Arial"/>
        <family val="2"/>
      </rPr>
      <t>1202</t>
    </r>
  </si>
  <si>
    <r>
      <t>2</t>
    </r>
    <r>
      <rPr>
        <sz val="10"/>
        <color rgb="FF000000"/>
        <rFont val="华文细黑"/>
        <family val="3"/>
        <charset val="134"/>
      </rPr>
      <t>单元</t>
    </r>
    <r>
      <rPr>
        <sz val="10"/>
        <color rgb="FF000000"/>
        <rFont val="Arial"/>
        <family val="2"/>
      </rPr>
      <t>1301</t>
    </r>
  </si>
  <si>
    <r>
      <t>2</t>
    </r>
    <r>
      <rPr>
        <sz val="10"/>
        <color rgb="FF000000"/>
        <rFont val="华文细黑"/>
        <family val="3"/>
        <charset val="134"/>
      </rPr>
      <t>单元</t>
    </r>
    <r>
      <rPr>
        <sz val="10"/>
        <color rgb="FF000000"/>
        <rFont val="Arial"/>
        <family val="2"/>
      </rPr>
      <t>1302</t>
    </r>
  </si>
  <si>
    <r>
      <t>2</t>
    </r>
    <r>
      <rPr>
        <sz val="10"/>
        <color rgb="FF000000"/>
        <rFont val="华文细黑"/>
        <family val="3"/>
        <charset val="134"/>
      </rPr>
      <t>单元</t>
    </r>
    <r>
      <rPr>
        <sz val="10"/>
        <color rgb="FF000000"/>
        <rFont val="Arial"/>
        <family val="2"/>
      </rPr>
      <t>1401</t>
    </r>
  </si>
  <si>
    <r>
      <t>2</t>
    </r>
    <r>
      <rPr>
        <sz val="10"/>
        <color rgb="FF000000"/>
        <rFont val="华文细黑"/>
        <family val="3"/>
        <charset val="134"/>
      </rPr>
      <t>单元</t>
    </r>
    <r>
      <rPr>
        <sz val="10"/>
        <color rgb="FF000000"/>
        <rFont val="Arial"/>
        <family val="2"/>
      </rPr>
      <t>1402</t>
    </r>
  </si>
  <si>
    <r>
      <t>2</t>
    </r>
    <r>
      <rPr>
        <sz val="10"/>
        <color rgb="FF000000"/>
        <rFont val="华文细黑"/>
        <family val="3"/>
        <charset val="134"/>
      </rPr>
      <t>单元</t>
    </r>
    <r>
      <rPr>
        <sz val="10"/>
        <color rgb="FF000000"/>
        <rFont val="Arial"/>
        <family val="2"/>
      </rPr>
      <t>1501</t>
    </r>
  </si>
  <si>
    <r>
      <t>2</t>
    </r>
    <r>
      <rPr>
        <sz val="10"/>
        <color rgb="FF000000"/>
        <rFont val="华文细黑"/>
        <family val="3"/>
        <charset val="134"/>
      </rPr>
      <t>单元</t>
    </r>
    <r>
      <rPr>
        <sz val="10"/>
        <color rgb="FF000000"/>
        <rFont val="Arial"/>
        <family val="2"/>
      </rPr>
      <t>1502</t>
    </r>
  </si>
  <si>
    <r>
      <t>3</t>
    </r>
    <r>
      <rPr>
        <sz val="10"/>
        <color rgb="FF000000"/>
        <rFont val="华文细黑"/>
        <family val="3"/>
        <charset val="134"/>
      </rPr>
      <t>单元</t>
    </r>
    <r>
      <rPr>
        <sz val="10"/>
        <color rgb="FF000000"/>
        <rFont val="Arial"/>
        <family val="2"/>
      </rPr>
      <t>901</t>
    </r>
  </si>
  <si>
    <r>
      <t>4#</t>
    </r>
    <r>
      <rPr>
        <sz val="10"/>
        <color rgb="FF000000"/>
        <rFont val="华文细黑"/>
        <family val="3"/>
        <charset val="134"/>
      </rPr>
      <t>住宅楼</t>
    </r>
  </si>
  <si>
    <r>
      <t>1</t>
    </r>
    <r>
      <rPr>
        <sz val="10"/>
        <color rgb="FF000000"/>
        <rFont val="华文细黑"/>
        <family val="3"/>
        <charset val="134"/>
      </rPr>
      <t>单元</t>
    </r>
    <r>
      <rPr>
        <sz val="10"/>
        <color rgb="FF000000"/>
        <rFont val="Arial"/>
        <family val="2"/>
      </rPr>
      <t>201</t>
    </r>
  </si>
  <si>
    <r>
      <t>1</t>
    </r>
    <r>
      <rPr>
        <sz val="10"/>
        <color rgb="FF000000"/>
        <rFont val="华文细黑"/>
        <family val="3"/>
        <charset val="134"/>
      </rPr>
      <t>单元</t>
    </r>
    <r>
      <rPr>
        <sz val="10"/>
        <color rgb="FF000000"/>
        <rFont val="Arial"/>
        <family val="2"/>
      </rPr>
      <t>202</t>
    </r>
  </si>
  <si>
    <r>
      <t>1</t>
    </r>
    <r>
      <rPr>
        <sz val="10"/>
        <color rgb="FF000000"/>
        <rFont val="华文细黑"/>
        <family val="3"/>
        <charset val="134"/>
      </rPr>
      <t>单元</t>
    </r>
    <r>
      <rPr>
        <sz val="10"/>
        <color rgb="FF000000"/>
        <rFont val="Arial"/>
        <family val="2"/>
      </rPr>
      <t>301</t>
    </r>
  </si>
  <si>
    <r>
      <t>1</t>
    </r>
    <r>
      <rPr>
        <sz val="10"/>
        <color rgb="FF000000"/>
        <rFont val="华文细黑"/>
        <family val="3"/>
        <charset val="134"/>
      </rPr>
      <t>单元</t>
    </r>
    <r>
      <rPr>
        <sz val="10"/>
        <color rgb="FF000000"/>
        <rFont val="Arial"/>
        <family val="2"/>
      </rPr>
      <t>302</t>
    </r>
  </si>
  <si>
    <r>
      <t>1</t>
    </r>
    <r>
      <rPr>
        <sz val="10"/>
        <color rgb="FF000000"/>
        <rFont val="华文细黑"/>
        <family val="3"/>
        <charset val="134"/>
      </rPr>
      <t>单元</t>
    </r>
    <r>
      <rPr>
        <sz val="10"/>
        <color rgb="FF000000"/>
        <rFont val="Arial"/>
        <family val="2"/>
      </rPr>
      <t>401</t>
    </r>
  </si>
  <si>
    <r>
      <t>1</t>
    </r>
    <r>
      <rPr>
        <sz val="10"/>
        <color rgb="FF000000"/>
        <rFont val="华文细黑"/>
        <family val="3"/>
        <charset val="134"/>
      </rPr>
      <t>单元</t>
    </r>
    <r>
      <rPr>
        <sz val="10"/>
        <color rgb="FF000000"/>
        <rFont val="Arial"/>
        <family val="2"/>
      </rPr>
      <t>402</t>
    </r>
  </si>
  <si>
    <r>
      <t>1</t>
    </r>
    <r>
      <rPr>
        <sz val="10"/>
        <color rgb="FF000000"/>
        <rFont val="华文细黑"/>
        <family val="3"/>
        <charset val="134"/>
      </rPr>
      <t>单元</t>
    </r>
    <r>
      <rPr>
        <sz val="10"/>
        <color rgb="FF000000"/>
        <rFont val="Arial"/>
        <family val="2"/>
      </rPr>
      <t>502</t>
    </r>
  </si>
  <si>
    <r>
      <t>1</t>
    </r>
    <r>
      <rPr>
        <sz val="10"/>
        <color rgb="FF000000"/>
        <rFont val="华文细黑"/>
        <family val="3"/>
        <charset val="134"/>
      </rPr>
      <t>单元</t>
    </r>
    <r>
      <rPr>
        <sz val="10"/>
        <color rgb="FF000000"/>
        <rFont val="Arial"/>
        <family val="2"/>
      </rPr>
      <t>601</t>
    </r>
  </si>
  <si>
    <r>
      <t>1</t>
    </r>
    <r>
      <rPr>
        <sz val="10"/>
        <color rgb="FF000000"/>
        <rFont val="华文细黑"/>
        <family val="3"/>
        <charset val="134"/>
      </rPr>
      <t>单元</t>
    </r>
    <r>
      <rPr>
        <sz val="10"/>
        <color rgb="FF000000"/>
        <rFont val="Arial"/>
        <family val="2"/>
      </rPr>
      <t>602</t>
    </r>
  </si>
  <si>
    <r>
      <t>1</t>
    </r>
    <r>
      <rPr>
        <sz val="10"/>
        <color rgb="FF000000"/>
        <rFont val="华文细黑"/>
        <family val="3"/>
        <charset val="134"/>
      </rPr>
      <t>单元</t>
    </r>
    <r>
      <rPr>
        <sz val="10"/>
        <color rgb="FF000000"/>
        <rFont val="Arial"/>
        <family val="2"/>
      </rPr>
      <t>702</t>
    </r>
  </si>
  <si>
    <r>
      <t>1</t>
    </r>
    <r>
      <rPr>
        <sz val="10"/>
        <color rgb="FF000000"/>
        <rFont val="华文细黑"/>
        <family val="3"/>
        <charset val="134"/>
      </rPr>
      <t>单元</t>
    </r>
    <r>
      <rPr>
        <sz val="10"/>
        <color rgb="FF000000"/>
        <rFont val="Arial"/>
        <family val="2"/>
      </rPr>
      <t>802</t>
    </r>
  </si>
  <si>
    <r>
      <t>1</t>
    </r>
    <r>
      <rPr>
        <sz val="10"/>
        <color rgb="FF000000"/>
        <rFont val="华文细黑"/>
        <family val="3"/>
        <charset val="134"/>
      </rPr>
      <t>单元</t>
    </r>
    <r>
      <rPr>
        <sz val="10"/>
        <color rgb="FF000000"/>
        <rFont val="Arial"/>
        <family val="2"/>
      </rPr>
      <t>901</t>
    </r>
  </si>
  <si>
    <r>
      <t>1</t>
    </r>
    <r>
      <rPr>
        <sz val="10"/>
        <color rgb="FF000000"/>
        <rFont val="华文细黑"/>
        <family val="3"/>
        <charset val="134"/>
      </rPr>
      <t>单元</t>
    </r>
    <r>
      <rPr>
        <sz val="10"/>
        <color rgb="FF000000"/>
        <rFont val="Arial"/>
        <family val="2"/>
      </rPr>
      <t>1001</t>
    </r>
  </si>
  <si>
    <r>
      <t>2</t>
    </r>
    <r>
      <rPr>
        <sz val="10"/>
        <color rgb="FF000000"/>
        <rFont val="华文细黑"/>
        <family val="3"/>
        <charset val="134"/>
      </rPr>
      <t>单元</t>
    </r>
    <r>
      <rPr>
        <sz val="10"/>
        <color rgb="FF000000"/>
        <rFont val="Arial"/>
        <family val="2"/>
      </rPr>
      <t>301</t>
    </r>
  </si>
  <si>
    <r>
      <t>2</t>
    </r>
    <r>
      <rPr>
        <sz val="10"/>
        <color rgb="FF000000"/>
        <rFont val="华文细黑"/>
        <family val="3"/>
        <charset val="134"/>
      </rPr>
      <t>单元</t>
    </r>
    <r>
      <rPr>
        <sz val="10"/>
        <color rgb="FF000000"/>
        <rFont val="Arial"/>
        <family val="2"/>
      </rPr>
      <t>302</t>
    </r>
  </si>
  <si>
    <r>
      <t>2</t>
    </r>
    <r>
      <rPr>
        <sz val="10"/>
        <color rgb="FF000000"/>
        <rFont val="华文细黑"/>
        <family val="3"/>
        <charset val="134"/>
      </rPr>
      <t>单元</t>
    </r>
    <r>
      <rPr>
        <sz val="10"/>
        <color rgb="FF000000"/>
        <rFont val="Arial"/>
        <family val="2"/>
      </rPr>
      <t>501</t>
    </r>
  </si>
  <si>
    <r>
      <t>2</t>
    </r>
    <r>
      <rPr>
        <sz val="10"/>
        <color rgb="FF000000"/>
        <rFont val="华文细黑"/>
        <family val="3"/>
        <charset val="134"/>
      </rPr>
      <t>单元</t>
    </r>
    <r>
      <rPr>
        <sz val="10"/>
        <color rgb="FF000000"/>
        <rFont val="Arial"/>
        <family val="2"/>
      </rPr>
      <t>502</t>
    </r>
  </si>
  <si>
    <r>
      <t>2</t>
    </r>
    <r>
      <rPr>
        <sz val="10"/>
        <color rgb="FF000000"/>
        <rFont val="华文细黑"/>
        <family val="3"/>
        <charset val="134"/>
      </rPr>
      <t>单元</t>
    </r>
    <r>
      <rPr>
        <sz val="10"/>
        <color rgb="FF000000"/>
        <rFont val="Arial"/>
        <family val="2"/>
      </rPr>
      <t>601</t>
    </r>
  </si>
  <si>
    <r>
      <t>2</t>
    </r>
    <r>
      <rPr>
        <sz val="10"/>
        <color rgb="FF000000"/>
        <rFont val="华文细黑"/>
        <family val="3"/>
        <charset val="134"/>
      </rPr>
      <t>单元</t>
    </r>
    <r>
      <rPr>
        <sz val="10"/>
        <color rgb="FF000000"/>
        <rFont val="Arial"/>
        <family val="2"/>
      </rPr>
      <t>602</t>
    </r>
  </si>
  <si>
    <r>
      <t>2</t>
    </r>
    <r>
      <rPr>
        <sz val="10"/>
        <color rgb="FF000000"/>
        <rFont val="华文细黑"/>
        <family val="3"/>
        <charset val="134"/>
      </rPr>
      <t>单元</t>
    </r>
    <r>
      <rPr>
        <sz val="10"/>
        <color rgb="FF000000"/>
        <rFont val="Arial"/>
        <family val="2"/>
      </rPr>
      <t>701</t>
    </r>
  </si>
  <si>
    <r>
      <t>2</t>
    </r>
    <r>
      <rPr>
        <sz val="10"/>
        <color rgb="FF000000"/>
        <rFont val="华文细黑"/>
        <family val="3"/>
        <charset val="134"/>
      </rPr>
      <t>单元</t>
    </r>
    <r>
      <rPr>
        <sz val="10"/>
        <color rgb="FF000000"/>
        <rFont val="Arial"/>
        <family val="2"/>
      </rPr>
      <t>702</t>
    </r>
  </si>
  <si>
    <r>
      <t>2</t>
    </r>
    <r>
      <rPr>
        <sz val="10"/>
        <color rgb="FF000000"/>
        <rFont val="华文细黑"/>
        <family val="3"/>
        <charset val="134"/>
      </rPr>
      <t>单元</t>
    </r>
    <r>
      <rPr>
        <sz val="10"/>
        <color rgb="FF000000"/>
        <rFont val="Arial"/>
        <family val="2"/>
      </rPr>
      <t>801</t>
    </r>
  </si>
  <si>
    <r>
      <t>2</t>
    </r>
    <r>
      <rPr>
        <sz val="10"/>
        <color rgb="FF000000"/>
        <rFont val="华文细黑"/>
        <family val="3"/>
        <charset val="134"/>
      </rPr>
      <t>单元</t>
    </r>
    <r>
      <rPr>
        <sz val="10"/>
        <color rgb="FF000000"/>
        <rFont val="Arial"/>
        <family val="2"/>
      </rPr>
      <t>901</t>
    </r>
  </si>
  <si>
    <r>
      <t>3</t>
    </r>
    <r>
      <rPr>
        <sz val="10"/>
        <color rgb="FF000000"/>
        <rFont val="华文细黑"/>
        <family val="3"/>
        <charset val="134"/>
      </rPr>
      <t>单元</t>
    </r>
    <r>
      <rPr>
        <sz val="10"/>
        <color rgb="FF000000"/>
        <rFont val="Arial"/>
        <family val="2"/>
      </rPr>
      <t>102</t>
    </r>
  </si>
  <si>
    <r>
      <t>3</t>
    </r>
    <r>
      <rPr>
        <sz val="10"/>
        <color rgb="FF000000"/>
        <rFont val="华文细黑"/>
        <family val="3"/>
        <charset val="134"/>
      </rPr>
      <t>单元</t>
    </r>
    <r>
      <rPr>
        <sz val="10"/>
        <color rgb="FF000000"/>
        <rFont val="Arial"/>
        <family val="2"/>
      </rPr>
      <t>202</t>
    </r>
  </si>
  <si>
    <r>
      <t>3</t>
    </r>
    <r>
      <rPr>
        <sz val="10"/>
        <color rgb="FF000000"/>
        <rFont val="华文细黑"/>
        <family val="3"/>
        <charset val="134"/>
      </rPr>
      <t>单元</t>
    </r>
    <r>
      <rPr>
        <sz val="10"/>
        <color rgb="FF000000"/>
        <rFont val="Arial"/>
        <family val="2"/>
      </rPr>
      <t>301</t>
    </r>
  </si>
  <si>
    <r>
      <t>3</t>
    </r>
    <r>
      <rPr>
        <sz val="10"/>
        <color rgb="FF000000"/>
        <rFont val="华文细黑"/>
        <family val="3"/>
        <charset val="134"/>
      </rPr>
      <t>单元</t>
    </r>
    <r>
      <rPr>
        <sz val="10"/>
        <color rgb="FF000000"/>
        <rFont val="Arial"/>
        <family val="2"/>
      </rPr>
      <t>401</t>
    </r>
  </si>
  <si>
    <r>
      <t>3</t>
    </r>
    <r>
      <rPr>
        <sz val="10"/>
        <color rgb="FF000000"/>
        <rFont val="华文细黑"/>
        <family val="3"/>
        <charset val="134"/>
      </rPr>
      <t>单元</t>
    </r>
    <r>
      <rPr>
        <sz val="10"/>
        <color rgb="FF000000"/>
        <rFont val="Arial"/>
        <family val="2"/>
      </rPr>
      <t>402</t>
    </r>
  </si>
  <si>
    <r>
      <t>3</t>
    </r>
    <r>
      <rPr>
        <sz val="10"/>
        <color rgb="FF000000"/>
        <rFont val="华文细黑"/>
        <family val="3"/>
        <charset val="134"/>
      </rPr>
      <t>单元</t>
    </r>
    <r>
      <rPr>
        <sz val="10"/>
        <color rgb="FF000000"/>
        <rFont val="Arial"/>
        <family val="2"/>
      </rPr>
      <t>601</t>
    </r>
  </si>
  <si>
    <r>
      <t>3</t>
    </r>
    <r>
      <rPr>
        <sz val="10"/>
        <color rgb="FF000000"/>
        <rFont val="华文细黑"/>
        <family val="3"/>
        <charset val="134"/>
      </rPr>
      <t>单元</t>
    </r>
    <r>
      <rPr>
        <sz val="10"/>
        <color rgb="FF000000"/>
        <rFont val="Arial"/>
        <family val="2"/>
      </rPr>
      <t>801</t>
    </r>
  </si>
  <si>
    <r>
      <t>3</t>
    </r>
    <r>
      <rPr>
        <sz val="10"/>
        <color rgb="FF000000"/>
        <rFont val="华文细黑"/>
        <family val="3"/>
        <charset val="134"/>
      </rPr>
      <t>单元</t>
    </r>
    <r>
      <rPr>
        <sz val="10"/>
        <color rgb="FF000000"/>
        <rFont val="Arial"/>
        <family val="2"/>
      </rPr>
      <t>902</t>
    </r>
  </si>
  <si>
    <r>
      <t>3</t>
    </r>
    <r>
      <rPr>
        <sz val="10"/>
        <color rgb="FF000000"/>
        <rFont val="华文细黑"/>
        <family val="3"/>
        <charset val="134"/>
      </rPr>
      <t>单元</t>
    </r>
    <r>
      <rPr>
        <sz val="10"/>
        <color rgb="FF000000"/>
        <rFont val="Arial"/>
        <family val="2"/>
      </rPr>
      <t>1001</t>
    </r>
  </si>
  <si>
    <r>
      <t>3</t>
    </r>
    <r>
      <rPr>
        <sz val="10"/>
        <color rgb="FF000000"/>
        <rFont val="华文细黑"/>
        <family val="3"/>
        <charset val="134"/>
      </rPr>
      <t>单元</t>
    </r>
    <r>
      <rPr>
        <sz val="10"/>
        <color rgb="FF000000"/>
        <rFont val="Arial"/>
        <family val="2"/>
      </rPr>
      <t>1002</t>
    </r>
  </si>
  <si>
    <r>
      <t>3</t>
    </r>
    <r>
      <rPr>
        <sz val="10"/>
        <color rgb="FF000000"/>
        <rFont val="华文细黑"/>
        <family val="3"/>
        <charset val="134"/>
      </rPr>
      <t>单元</t>
    </r>
    <r>
      <rPr>
        <sz val="10"/>
        <color rgb="FF000000"/>
        <rFont val="Arial"/>
        <family val="2"/>
      </rPr>
      <t>1101</t>
    </r>
  </si>
  <si>
    <r>
      <t>3</t>
    </r>
    <r>
      <rPr>
        <sz val="10"/>
        <color rgb="FF000000"/>
        <rFont val="华文细黑"/>
        <family val="3"/>
        <charset val="134"/>
      </rPr>
      <t>单元</t>
    </r>
    <r>
      <rPr>
        <sz val="10"/>
        <color rgb="FF000000"/>
        <rFont val="Arial"/>
        <family val="2"/>
      </rPr>
      <t>1102</t>
    </r>
  </si>
  <si>
    <r>
      <t>3</t>
    </r>
    <r>
      <rPr>
        <sz val="10"/>
        <color rgb="FF000000"/>
        <rFont val="华文细黑"/>
        <family val="3"/>
        <charset val="134"/>
      </rPr>
      <t>单元</t>
    </r>
    <r>
      <rPr>
        <sz val="10"/>
        <color rgb="FF000000"/>
        <rFont val="Arial"/>
        <family val="2"/>
      </rPr>
      <t>1201</t>
    </r>
  </si>
  <si>
    <r>
      <t>3</t>
    </r>
    <r>
      <rPr>
        <sz val="10"/>
        <color rgb="FF000000"/>
        <rFont val="华文细黑"/>
        <family val="3"/>
        <charset val="134"/>
      </rPr>
      <t>单元</t>
    </r>
    <r>
      <rPr>
        <sz val="10"/>
        <color rgb="FF000000"/>
        <rFont val="Arial"/>
        <family val="2"/>
      </rPr>
      <t>1202</t>
    </r>
  </si>
  <si>
    <r>
      <t>3</t>
    </r>
    <r>
      <rPr>
        <sz val="10"/>
        <color rgb="FF000000"/>
        <rFont val="华文细黑"/>
        <family val="3"/>
        <charset val="134"/>
      </rPr>
      <t>单元</t>
    </r>
    <r>
      <rPr>
        <sz val="10"/>
        <color rgb="FF000000"/>
        <rFont val="Arial"/>
        <family val="2"/>
      </rPr>
      <t>1301</t>
    </r>
  </si>
  <si>
    <r>
      <t>3</t>
    </r>
    <r>
      <rPr>
        <sz val="10"/>
        <color rgb="FF000000"/>
        <rFont val="华文细黑"/>
        <family val="3"/>
        <charset val="134"/>
      </rPr>
      <t>单元</t>
    </r>
    <r>
      <rPr>
        <sz val="10"/>
        <color rgb="FF000000"/>
        <rFont val="Arial"/>
        <family val="2"/>
      </rPr>
      <t>1302</t>
    </r>
  </si>
  <si>
    <r>
      <t>3</t>
    </r>
    <r>
      <rPr>
        <sz val="10"/>
        <color rgb="FF000000"/>
        <rFont val="华文细黑"/>
        <family val="3"/>
        <charset val="134"/>
      </rPr>
      <t>单元</t>
    </r>
    <r>
      <rPr>
        <sz val="10"/>
        <color rgb="FF000000"/>
        <rFont val="Arial"/>
        <family val="2"/>
      </rPr>
      <t>1401</t>
    </r>
  </si>
  <si>
    <r>
      <t>3</t>
    </r>
    <r>
      <rPr>
        <sz val="10"/>
        <color rgb="FF000000"/>
        <rFont val="华文细黑"/>
        <family val="3"/>
        <charset val="134"/>
      </rPr>
      <t>单元</t>
    </r>
    <r>
      <rPr>
        <sz val="10"/>
        <color rgb="FF000000"/>
        <rFont val="Arial"/>
        <family val="2"/>
      </rPr>
      <t>1402</t>
    </r>
  </si>
  <si>
    <r>
      <t>3</t>
    </r>
    <r>
      <rPr>
        <sz val="10"/>
        <color rgb="FF000000"/>
        <rFont val="华文细黑"/>
        <family val="3"/>
        <charset val="134"/>
      </rPr>
      <t>单元</t>
    </r>
    <r>
      <rPr>
        <sz val="10"/>
        <color rgb="FF000000"/>
        <rFont val="Arial"/>
        <family val="2"/>
      </rPr>
      <t>1501</t>
    </r>
  </si>
  <si>
    <r>
      <t>3</t>
    </r>
    <r>
      <rPr>
        <sz val="10"/>
        <color rgb="FF000000"/>
        <rFont val="华文细黑"/>
        <family val="3"/>
        <charset val="134"/>
      </rPr>
      <t>单元</t>
    </r>
    <r>
      <rPr>
        <sz val="10"/>
        <color rgb="FF000000"/>
        <rFont val="Arial"/>
        <family val="2"/>
      </rPr>
      <t>1502</t>
    </r>
  </si>
  <si>
    <r>
      <t>5#</t>
    </r>
    <r>
      <rPr>
        <sz val="10"/>
        <color rgb="FF000000"/>
        <rFont val="华文细黑"/>
        <family val="3"/>
        <charset val="134"/>
      </rPr>
      <t>住宅楼</t>
    </r>
  </si>
  <si>
    <r>
      <t>2</t>
    </r>
    <r>
      <rPr>
        <sz val="10"/>
        <color rgb="FF000000"/>
        <rFont val="华文细黑"/>
        <family val="3"/>
        <charset val="134"/>
      </rPr>
      <t>单元</t>
    </r>
    <r>
      <rPr>
        <sz val="10"/>
        <color rgb="FF000000"/>
        <rFont val="Arial"/>
        <family val="2"/>
      </rPr>
      <t>401</t>
    </r>
  </si>
  <si>
    <r>
      <t>2</t>
    </r>
    <r>
      <rPr>
        <sz val="10"/>
        <color rgb="FF000000"/>
        <rFont val="华文细黑"/>
        <family val="3"/>
        <charset val="134"/>
      </rPr>
      <t>单元</t>
    </r>
    <r>
      <rPr>
        <sz val="10"/>
        <color rgb="FF000000"/>
        <rFont val="Arial"/>
        <family val="2"/>
      </rPr>
      <t>402</t>
    </r>
  </si>
  <si>
    <r>
      <t>6#</t>
    </r>
    <r>
      <rPr>
        <sz val="10"/>
        <color rgb="FF000000"/>
        <rFont val="华文细黑"/>
        <family val="3"/>
        <charset val="134"/>
      </rPr>
      <t>住宅楼</t>
    </r>
  </si>
  <si>
    <r>
      <t>7#</t>
    </r>
    <r>
      <rPr>
        <sz val="10"/>
        <color rgb="FF000000"/>
        <rFont val="华文细黑"/>
        <family val="3"/>
        <charset val="134"/>
      </rPr>
      <t>住宅楼</t>
    </r>
  </si>
  <si>
    <r>
      <t>4</t>
    </r>
    <r>
      <rPr>
        <sz val="10"/>
        <color rgb="FF000000"/>
        <rFont val="华文细黑"/>
        <family val="3"/>
        <charset val="134"/>
      </rPr>
      <t>单元</t>
    </r>
    <r>
      <rPr>
        <sz val="10"/>
        <color rgb="FF000000"/>
        <rFont val="Arial"/>
        <family val="2"/>
      </rPr>
      <t>101</t>
    </r>
  </si>
  <si>
    <r>
      <t>4</t>
    </r>
    <r>
      <rPr>
        <sz val="10"/>
        <color rgb="FF000000"/>
        <rFont val="华文细黑"/>
        <family val="3"/>
        <charset val="134"/>
      </rPr>
      <t>单元</t>
    </r>
    <r>
      <rPr>
        <sz val="10"/>
        <color rgb="FF000000"/>
        <rFont val="Arial"/>
        <family val="2"/>
      </rPr>
      <t>102</t>
    </r>
  </si>
  <si>
    <r>
      <t>4</t>
    </r>
    <r>
      <rPr>
        <sz val="10"/>
        <color rgb="FF000000"/>
        <rFont val="华文细黑"/>
        <family val="3"/>
        <charset val="134"/>
      </rPr>
      <t>单元</t>
    </r>
    <r>
      <rPr>
        <sz val="10"/>
        <color rgb="FF000000"/>
        <rFont val="Arial"/>
        <family val="2"/>
      </rPr>
      <t>201</t>
    </r>
  </si>
  <si>
    <r>
      <t>4</t>
    </r>
    <r>
      <rPr>
        <sz val="10"/>
        <color rgb="FF000000"/>
        <rFont val="华文细黑"/>
        <family val="3"/>
        <charset val="134"/>
      </rPr>
      <t>单元</t>
    </r>
    <r>
      <rPr>
        <sz val="10"/>
        <color rgb="FF000000"/>
        <rFont val="Arial"/>
        <family val="2"/>
      </rPr>
      <t>502</t>
    </r>
  </si>
  <si>
    <r>
      <t>4</t>
    </r>
    <r>
      <rPr>
        <sz val="10"/>
        <color rgb="FF000000"/>
        <rFont val="华文细黑"/>
        <family val="3"/>
        <charset val="134"/>
      </rPr>
      <t>单元</t>
    </r>
    <r>
      <rPr>
        <sz val="10"/>
        <color rgb="FF000000"/>
        <rFont val="Arial"/>
        <family val="2"/>
      </rPr>
      <t>801</t>
    </r>
  </si>
  <si>
    <r>
      <t>4</t>
    </r>
    <r>
      <rPr>
        <sz val="10"/>
        <color rgb="FF000000"/>
        <rFont val="华文细黑"/>
        <family val="3"/>
        <charset val="134"/>
      </rPr>
      <t>单元</t>
    </r>
    <r>
      <rPr>
        <sz val="10"/>
        <color rgb="FF000000"/>
        <rFont val="Arial"/>
        <family val="2"/>
      </rPr>
      <t>901</t>
    </r>
  </si>
  <si>
    <r>
      <t>4</t>
    </r>
    <r>
      <rPr>
        <sz val="10"/>
        <color rgb="FF000000"/>
        <rFont val="华文细黑"/>
        <family val="3"/>
        <charset val="134"/>
      </rPr>
      <t>单元</t>
    </r>
    <r>
      <rPr>
        <sz val="10"/>
        <color rgb="FF000000"/>
        <rFont val="Arial"/>
        <family val="2"/>
      </rPr>
      <t>1001</t>
    </r>
  </si>
  <si>
    <r>
      <t>4</t>
    </r>
    <r>
      <rPr>
        <sz val="10"/>
        <color rgb="FF000000"/>
        <rFont val="华文细黑"/>
        <family val="3"/>
        <charset val="134"/>
      </rPr>
      <t>单元</t>
    </r>
    <r>
      <rPr>
        <sz val="10"/>
        <color rgb="FF000000"/>
        <rFont val="Arial"/>
        <family val="2"/>
      </rPr>
      <t>1101</t>
    </r>
  </si>
  <si>
    <r>
      <t>4</t>
    </r>
    <r>
      <rPr>
        <sz val="10"/>
        <color rgb="FF000000"/>
        <rFont val="华文细黑"/>
        <family val="3"/>
        <charset val="134"/>
      </rPr>
      <t>单元</t>
    </r>
    <r>
      <rPr>
        <sz val="10"/>
        <color rgb="FF000000"/>
        <rFont val="Arial"/>
        <family val="2"/>
      </rPr>
      <t>1102</t>
    </r>
  </si>
  <si>
    <r>
      <t>8#</t>
    </r>
    <r>
      <rPr>
        <sz val="10"/>
        <color rgb="FF000000"/>
        <rFont val="华文细黑"/>
        <family val="3"/>
        <charset val="134"/>
      </rPr>
      <t>住宅楼</t>
    </r>
  </si>
  <si>
    <r>
      <t>9#</t>
    </r>
    <r>
      <rPr>
        <sz val="10"/>
        <color rgb="FF000000"/>
        <rFont val="华文细黑"/>
        <family val="3"/>
        <charset val="134"/>
      </rPr>
      <t>住宅楼</t>
    </r>
  </si>
  <si>
    <r>
      <t>10#</t>
    </r>
    <r>
      <rPr>
        <sz val="10"/>
        <color rgb="FF000000"/>
        <rFont val="华文细黑"/>
        <family val="3"/>
        <charset val="134"/>
      </rPr>
      <t>住宅楼</t>
    </r>
  </si>
  <si>
    <r>
      <t>11#</t>
    </r>
    <r>
      <rPr>
        <sz val="10"/>
        <color rgb="FF000000"/>
        <rFont val="华文细黑"/>
        <family val="3"/>
        <charset val="134"/>
      </rPr>
      <t>住宅楼</t>
    </r>
  </si>
  <si>
    <r>
      <t>12#</t>
    </r>
    <r>
      <rPr>
        <sz val="10"/>
        <color rgb="FF000000"/>
        <rFont val="华文细黑"/>
        <family val="3"/>
        <charset val="134"/>
      </rPr>
      <t>住宅楼</t>
    </r>
  </si>
  <si>
    <r>
      <t>13#</t>
    </r>
    <r>
      <rPr>
        <sz val="10"/>
        <color rgb="FF000000"/>
        <rFont val="华文细黑"/>
        <family val="3"/>
        <charset val="134"/>
      </rPr>
      <t>配套楼</t>
    </r>
  </si>
  <si>
    <r>
      <t>17#</t>
    </r>
    <r>
      <rPr>
        <sz val="10"/>
        <color rgb="FF000000"/>
        <rFont val="华文细黑"/>
        <family val="3"/>
        <charset val="134"/>
      </rPr>
      <t>地下车库</t>
    </r>
  </si>
  <si>
    <r>
      <rPr>
        <sz val="10"/>
        <color rgb="FF000000"/>
        <rFont val="华文细黑"/>
        <family val="3"/>
        <charset val="134"/>
      </rPr>
      <t>总计</t>
    </r>
  </si>
  <si>
    <r>
      <rPr>
        <sz val="10"/>
        <color rgb="FF000000"/>
        <rFont val="华文细黑"/>
        <family val="3"/>
        <charset val="134"/>
      </rPr>
      <t>住宅</t>
    </r>
    <phoneticPr fontId="134" type="noConversion"/>
  </si>
  <si>
    <r>
      <rPr>
        <sz val="10"/>
        <color rgb="FF000000"/>
        <rFont val="华文细黑"/>
        <family val="3"/>
        <charset val="134"/>
      </rPr>
      <t>社区商业服务网点</t>
    </r>
    <phoneticPr fontId="134" type="noConversion"/>
  </si>
  <si>
    <r>
      <rPr>
        <sz val="10"/>
        <color rgb="FF000000"/>
        <rFont val="华文细黑"/>
        <family val="3"/>
        <charset val="134"/>
      </rPr>
      <t>小型商服（便利店）</t>
    </r>
    <phoneticPr fontId="134" type="noConversion"/>
  </si>
  <si>
    <r>
      <rPr>
        <sz val="10"/>
        <color rgb="FF000000"/>
        <rFont val="华文细黑"/>
        <family val="3"/>
        <charset val="134"/>
      </rPr>
      <t>总计</t>
    </r>
    <phoneticPr fontId="134" type="noConversion"/>
  </si>
  <si>
    <t>地下仓储</t>
    <phoneticPr fontId="134" type="noConversion"/>
  </si>
  <si>
    <t>地下车位</t>
  </si>
  <si>
    <t>地下车位</t>
    <phoneticPr fontId="134" type="noConversion"/>
  </si>
  <si>
    <t>机械车位</t>
    <phoneticPr fontId="134" type="noConversion"/>
  </si>
  <si>
    <t>建筑面积</t>
    <phoneticPr fontId="134" type="noConversion"/>
  </si>
  <si>
    <t>分摊土地面积</t>
    <phoneticPr fontId="134" type="noConversion"/>
  </si>
  <si>
    <t>地下商业</t>
    <phoneticPr fontId="134" type="noConversion"/>
  </si>
  <si>
    <t>地下车库</t>
    <phoneticPr fontId="134" type="noConversion"/>
  </si>
  <si>
    <t>地下车位</t>
    <phoneticPr fontId="3" type="noConversion"/>
  </si>
  <si>
    <t>工程进度</t>
  </si>
  <si>
    <r>
      <t>1</t>
    </r>
    <r>
      <rPr>
        <sz val="11"/>
        <color theme="1"/>
        <rFont val="宋体"/>
        <family val="3"/>
        <charset val="134"/>
        <scheme val="minor"/>
      </rPr>
      <t>#</t>
    </r>
    <phoneticPr fontId="134"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</si>
  <si>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</si>
  <si>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</si>
  <si>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</si>
  <si>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</si>
  <si>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</si>
  <si>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</si>
  <si>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</si>
  <si>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</si>
  <si>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</si>
  <si>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</si>
  <si>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</si>
  <si>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</si>
  <si>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</si>
  <si>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</si>
  <si>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</si>
  <si>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</si>
  <si>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t>地上总楼层</t>
    <phoneticPr fontId="134" type="noConversion"/>
  </si>
  <si>
    <t>工程进度</t>
    <phoneticPr fontId="134" type="noConversion"/>
  </si>
  <si>
    <t>押一</t>
  </si>
  <si>
    <t>钢混</t>
  </si>
  <si>
    <t>非生产用房</t>
  </si>
  <si>
    <t>在建（套用方法）</t>
  </si>
  <si>
    <t>收益法 (元)</t>
  </si>
  <si>
    <t>已全部缴纳</t>
  </si>
  <si>
    <t>北京市房山区长阳镇FS00-0101-0002、0003地块R2二类居住用地、A33基础教育用地(托幼用地</t>
    <phoneticPr fontId="3" type="noConversion"/>
  </si>
  <si>
    <t>住宅</t>
    <phoneticPr fontId="30" type="noConversion"/>
  </si>
  <si>
    <t>正常</t>
  </si>
  <si>
    <t>较好</t>
  </si>
  <si>
    <t>一般</t>
  </si>
  <si>
    <t>七通</t>
  </si>
  <si>
    <t>七通</t>
    <phoneticPr fontId="30"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</si>
  <si>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</si>
  <si>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</si>
  <si>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</si>
  <si>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</si>
  <si>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</si>
  <si>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</si>
  <si>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</si>
  <si>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</si>
  <si>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</si>
  <si>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</si>
  <si>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</si>
  <si>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</si>
  <si>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</si>
  <si>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</si>
  <si>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</si>
  <si>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</si>
  <si>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</si>
  <si>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</si>
  <si>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</si>
  <si>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</si>
  <si>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北京市房山区良乡大学城拓展东区FS00-0125-0008地块二类城镇住宅用地、FS00-0125-0004地块幼儿园用地</t>
  </si>
  <si>
    <t>京土储挂(房)[2024]027号</t>
  </si>
  <si>
    <t>住宅用地</t>
  </si>
  <si>
    <t>0004:0.8,0008:2</t>
  </si>
  <si>
    <t>挂牌</t>
  </si>
  <si>
    <t>二类城镇住宅用地、幼儿园用地</t>
  </si>
  <si>
    <t>已成交</t>
  </si>
  <si>
    <t>北京城乡房屋建设开发有限责任公司</t>
  </si>
  <si>
    <t>北京市房山区长阳镇FS00-0101-0002、0003地块R2二类居住用地、A33基础教育用地(托幼用地)</t>
  </si>
  <si>
    <t>京土储挂(房)[2024]006号</t>
  </si>
  <si>
    <t>综合用地(含住宅)</t>
  </si>
  <si>
    <t>0002:2.8、0003:0.8</t>
  </si>
  <si>
    <t>二类居住用地(R2) A33基础教育用地(幼儿园)</t>
  </si>
  <si>
    <t>北京城建集团有限责任公司</t>
  </si>
  <si>
    <t>北京市房山区拱辰街道FS00-0110-0018、0028、0035地块基础教育、二类居住用地</t>
  </si>
  <si>
    <t>京土储挂(房)[2023]071号</t>
  </si>
  <si>
    <t>0018:0.8,0028:1.6,0035:1.5</t>
  </si>
  <si>
    <t>北京城建房地产开发有限公司</t>
  </si>
  <si>
    <t>北京市房山区长阳镇北广阳城棚户区改造二片区FS00-0105-0011、0023地块项目R2二类居住用地</t>
  </si>
  <si>
    <t>京土储挂(房)[2023]062号</t>
  </si>
  <si>
    <t>0011:1.7,0023:2.1</t>
  </si>
  <si>
    <t>R2二类居住用地</t>
  </si>
  <si>
    <t>北京市房山区拱辰街道FS00-0111-0005地块A33基础教育用地、FS00-0111-0006、0007地块R2二类居住用地</t>
  </si>
  <si>
    <t>京土储挂(房)[2023]048号</t>
  </si>
  <si>
    <t>0005容积率0.8、0006容积率1.8、0007容积率2.1</t>
  </si>
  <si>
    <t>R2二类居住用地、A33基础教育用地</t>
  </si>
  <si>
    <t>山西金汇海房地产开发有限公司</t>
  </si>
  <si>
    <t>北京市房山区阎村镇FS07-0104-0077地块R2二类居住用地</t>
  </si>
  <si>
    <t>京土储挂(房)[2023]043号</t>
  </si>
  <si>
    <t>城镇住宅-普通商品住房用地</t>
  </si>
  <si>
    <t>北京巨燕置业有限公司</t>
  </si>
  <si>
    <t>北京市房山区城关中心区FS00-0230-0018地块R2二类居住用地</t>
  </si>
  <si>
    <t>京土储挂(房)[2023]028号</t>
  </si>
  <si>
    <t>≤2.8</t>
  </si>
  <si>
    <t>北京建工地产有限责任公司</t>
  </si>
  <si>
    <t>北京市房山区良乡大学城主园区FS00-0120-0023地块R2二类居住用地</t>
  </si>
  <si>
    <t>京土储挂(房)[2022]077号</t>
  </si>
  <si>
    <t>2022年第5批次</t>
  </si>
  <si>
    <t>中建智地置业有限公司</t>
  </si>
  <si>
    <t>北京市房山区拱辰街道FS00-0110-0018、0028、0035地块基础教育、二类居住用地</t>
    <phoneticPr fontId="3" type="noConversion"/>
  </si>
  <si>
    <t>北京市房山区长阳镇北广阳城棚户区改造二片区FS00-0105-0011、0023地块项目R2二类居住用地</t>
    <phoneticPr fontId="3" type="noConversion"/>
  </si>
  <si>
    <t>规则</t>
    <phoneticPr fontId="30" type="noConversion"/>
  </si>
  <si>
    <t>较规则</t>
  </si>
  <si>
    <t>较规则</t>
    <phoneticPr fontId="30" type="noConversion"/>
  </si>
  <si>
    <t>较不规则</t>
    <phoneticPr fontId="30" type="noConversion"/>
  </si>
  <si>
    <t>不规则</t>
    <phoneticPr fontId="30" type="noConversion"/>
  </si>
  <si>
    <t>六通</t>
    <phoneticPr fontId="30" type="noConversion"/>
  </si>
  <si>
    <t>五通</t>
  </si>
  <si>
    <t>五通</t>
    <phoneticPr fontId="30" type="noConversion"/>
  </si>
  <si>
    <t>四通</t>
    <phoneticPr fontId="30" type="noConversion"/>
  </si>
  <si>
    <t>三通</t>
    <phoneticPr fontId="30" type="noConversion"/>
  </si>
  <si>
    <t>较好</t>
    <phoneticPr fontId="30" type="noConversion"/>
  </si>
  <si>
    <t>限价</t>
    <phoneticPr fontId="30" type="noConversion"/>
  </si>
  <si>
    <t>48000</t>
    <phoneticPr fontId="30" type="noConversion"/>
  </si>
  <si>
    <t>45000</t>
    <phoneticPr fontId="30" type="noConversion"/>
  </si>
  <si>
    <t>未包含在土地购买价格中</t>
  </si>
  <si>
    <t>全部缴纳</t>
  </si>
  <si>
    <t>已包含在土地取得成本中</t>
  </si>
  <si>
    <t>成本法</t>
  </si>
  <si>
    <t>假设开发法</t>
  </si>
  <si>
    <t>总价</t>
  </si>
  <si>
    <t>成本比率</t>
  </si>
  <si>
    <t>情况3</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</si>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</sst>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rgb="FF000000"/>
      <name val="Times New Roman"/>
      <family val="1"/>
    </font>
    <font>
      <sz val="10"/>
      <color rgb="FF000000"/>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cellStyleXfs>
  <cellXfs count="35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163" fillId="0" borderId="0" xfId="19" applyFont="1" applyAlignment="1">
      <alignment horizontal="left" vertical="top"/>
    </xf>
    <xf numFmtId="0" fontId="164" fillId="0" borderId="0" xfId="19" applyFont="1" applyAlignment="1">
      <alignment horizontal="left" vertical="top"/>
    </xf>
    <xf numFmtId="9" fontId="0" fillId="0" borderId="0" xfId="0" applyNumberFormat="1">
      <alignment vertical="center"/>
    </xf>
    <xf numFmtId="9" fontId="0" fillId="0" borderId="0" xfId="17" applyFont="1">
      <alignment vertical="center"/>
    </xf>
    <xf numFmtId="2" fontId="44" fillId="0" borderId="1" xfId="0" applyNumberFormat="1" applyFont="1" applyBorder="1" applyAlignment="1" applyProtection="1">
      <alignment horizontal="center" vertical="center" wrapText="1"/>
      <protection locked="0"/>
    </xf>
    <xf numFmtId="2" fontId="44" fillId="0" borderId="5" xfId="0" applyNumberFormat="1"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128" fillId="2" borderId="69" xfId="0" applyFont="1" applyFill="1" applyBorder="1" applyAlignment="1" applyProtection="1">
      <alignment horizontal="center" vertical="center" wrapText="1"/>
      <protection locked="0"/>
    </xf>
    <xf numFmtId="0" fontId="107" fillId="0" borderId="0" xfId="0" applyFont="1">
      <alignment vertical="center"/>
    </xf>
    <xf numFmtId="0" fontId="107" fillId="9" borderId="0" xfId="0" applyFont="1" applyFill="1">
      <alignment vertical="center"/>
    </xf>
    <xf numFmtId="14" fontId="107" fillId="9" borderId="0" xfId="0" applyNumberFormat="1" applyFont="1" applyFill="1">
      <alignment vertical="center"/>
    </xf>
    <xf numFmtId="22" fontId="107" fillId="9" borderId="0" xfId="0" applyNumberFormat="1" applyFont="1" applyFill="1">
      <alignment vertical="center"/>
    </xf>
    <xf numFmtId="14" fontId="107" fillId="0" borderId="0" xfId="0" applyNumberFormat="1" applyFont="1">
      <alignment vertical="center"/>
    </xf>
    <xf numFmtId="22" fontId="107" fillId="0" borderId="0" xfId="0" applyNumberFormat="1" applyFont="1">
      <alignment vertical="center"/>
    </xf>
    <xf numFmtId="0" fontId="107" fillId="5" borderId="0" xfId="0" applyFont="1" applyFill="1">
      <alignment vertical="center"/>
    </xf>
    <xf numFmtId="14" fontId="107" fillId="5" borderId="0" xfId="0" applyNumberFormat="1" applyFont="1" applyFill="1">
      <alignment vertical="center"/>
    </xf>
    <xf numFmtId="22" fontId="107" fillId="5" borderId="0" xfId="0" applyNumberFormat="1" applyFont="1" applyFill="1">
      <alignment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36" fillId="0" borderId="0" xfId="9" applyFont="1" applyAlignment="1">
      <alignment horizontal="left" vertical="center"/>
    </xf>
    <xf numFmtId="0" fontId="102" fillId="0" borderId="0" xfId="9" applyFont="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EA38D260-A68C-4A17-97D3-9BE7E3916B2C}"/>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7.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152400</xdr:colOff>
      <xdr:row>5</xdr:row>
      <xdr:rowOff>76201</xdr:rowOff>
    </xdr:from>
    <xdr:to>
      <xdr:col>12</xdr:col>
      <xdr:colOff>1266825</xdr:colOff>
      <xdr:row>16</xdr:row>
      <xdr:rowOff>161256</xdr:rowOff>
    </xdr:to>
    <xdr:pic>
      <xdr:nvPicPr>
        <xdr:cNvPr id="2" name="图片 1">
          <a:extLst>
            <a:ext uri="{FF2B5EF4-FFF2-40B4-BE49-F238E27FC236}">
              <a16:creationId xmlns:a16="http://schemas.microsoft.com/office/drawing/2014/main" id="{0734AB1C-5E6C-3E69-6711-A2A1721A640E}"/>
            </a:ext>
          </a:extLst>
        </xdr:cNvPr>
        <xdr:cNvPicPr>
          <a:picLocks noChangeAspect="1"/>
        </xdr:cNvPicPr>
      </xdr:nvPicPr>
      <xdr:blipFill>
        <a:blip xmlns:r="http://schemas.openxmlformats.org/officeDocument/2006/relationships" r:embed="rId1"/>
        <a:stretch>
          <a:fillRect/>
        </a:stretch>
      </xdr:blipFill>
      <xdr:spPr>
        <a:xfrm>
          <a:off x="3771900" y="981076"/>
          <a:ext cx="4457700" cy="2075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123552</xdr:colOff>
      <xdr:row>16</xdr:row>
      <xdr:rowOff>66324</xdr:rowOff>
    </xdr:to>
    <xdr:pic>
      <xdr:nvPicPr>
        <xdr:cNvPr id="2" name="图片 1">
          <a:extLst>
            <a:ext uri="{FF2B5EF4-FFF2-40B4-BE49-F238E27FC236}">
              <a16:creationId xmlns:a16="http://schemas.microsoft.com/office/drawing/2014/main" id="{AA761F7D-4F30-4E88-BB2A-200D3AE604C8}"/>
            </a:ext>
          </a:extLst>
        </xdr:cNvPr>
        <xdr:cNvPicPr>
          <a:picLocks noChangeAspect="1"/>
        </xdr:cNvPicPr>
      </xdr:nvPicPr>
      <xdr:blipFill>
        <a:blip xmlns:r="http://schemas.openxmlformats.org/officeDocument/2006/relationships" r:embed="rId1"/>
        <a:stretch>
          <a:fillRect/>
        </a:stretch>
      </xdr:blipFill>
      <xdr:spPr>
        <a:xfrm>
          <a:off x="0" y="0"/>
          <a:ext cx="2180952" cy="2809524"/>
        </a:xfrm>
        <a:prstGeom prst="rect">
          <a:avLst/>
        </a:prstGeom>
      </xdr:spPr>
    </xdr:pic>
    <xdr:clientData/>
  </xdr:twoCellAnchor>
  <xdr:twoCellAnchor editAs="oneCell">
    <xdr:from>
      <xdr:col>3</xdr:col>
      <xdr:colOff>304800</xdr:colOff>
      <xdr:row>0</xdr:row>
      <xdr:rowOff>0</xdr:rowOff>
    </xdr:from>
    <xdr:to>
      <xdr:col>6</xdr:col>
      <xdr:colOff>599781</xdr:colOff>
      <xdr:row>15</xdr:row>
      <xdr:rowOff>104440</xdr:rowOff>
    </xdr:to>
    <xdr:pic>
      <xdr:nvPicPr>
        <xdr:cNvPr id="3" name="图片 2">
          <a:extLst>
            <a:ext uri="{FF2B5EF4-FFF2-40B4-BE49-F238E27FC236}">
              <a16:creationId xmlns:a16="http://schemas.microsoft.com/office/drawing/2014/main" id="{F3389863-D7DE-5097-3712-5DDB7C90D7D3}"/>
            </a:ext>
          </a:extLst>
        </xdr:cNvPr>
        <xdr:cNvPicPr>
          <a:picLocks noChangeAspect="1"/>
        </xdr:cNvPicPr>
      </xdr:nvPicPr>
      <xdr:blipFill>
        <a:blip xmlns:r="http://schemas.openxmlformats.org/officeDocument/2006/relationships" r:embed="rId2"/>
        <a:stretch>
          <a:fillRect/>
        </a:stretch>
      </xdr:blipFill>
      <xdr:spPr>
        <a:xfrm>
          <a:off x="2362200" y="0"/>
          <a:ext cx="2352381" cy="2676190"/>
        </a:xfrm>
        <a:prstGeom prst="rect">
          <a:avLst/>
        </a:prstGeom>
      </xdr:spPr>
    </xdr:pic>
    <xdr:clientData/>
  </xdr:twoCellAnchor>
  <xdr:twoCellAnchor editAs="oneCell">
    <xdr:from>
      <xdr:col>7</xdr:col>
      <xdr:colOff>152400</xdr:colOff>
      <xdr:row>0</xdr:row>
      <xdr:rowOff>0</xdr:rowOff>
    </xdr:from>
    <xdr:to>
      <xdr:col>19</xdr:col>
      <xdr:colOff>179919</xdr:colOff>
      <xdr:row>33</xdr:row>
      <xdr:rowOff>104055</xdr:rowOff>
    </xdr:to>
    <xdr:pic>
      <xdr:nvPicPr>
        <xdr:cNvPr id="4" name="图片 3">
          <a:extLst>
            <a:ext uri="{FF2B5EF4-FFF2-40B4-BE49-F238E27FC236}">
              <a16:creationId xmlns:a16="http://schemas.microsoft.com/office/drawing/2014/main" id="{5321EB28-7723-86F8-1D42-412412B8CD87}"/>
            </a:ext>
          </a:extLst>
        </xdr:cNvPr>
        <xdr:cNvPicPr>
          <a:picLocks noChangeAspect="1"/>
        </xdr:cNvPicPr>
      </xdr:nvPicPr>
      <xdr:blipFill>
        <a:blip xmlns:r="http://schemas.openxmlformats.org/officeDocument/2006/relationships" r:embed="rId3"/>
        <a:stretch>
          <a:fillRect/>
        </a:stretch>
      </xdr:blipFill>
      <xdr:spPr>
        <a:xfrm>
          <a:off x="4953000" y="0"/>
          <a:ext cx="8447619" cy="5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636638</xdr:colOff>
      <xdr:row>38</xdr:row>
      <xdr:rowOff>27757</xdr:rowOff>
    </xdr:to>
    <xdr:pic>
      <xdr:nvPicPr>
        <xdr:cNvPr id="2" name="图片 1">
          <a:extLst>
            <a:ext uri="{FF2B5EF4-FFF2-40B4-BE49-F238E27FC236}">
              <a16:creationId xmlns:a16="http://schemas.microsoft.com/office/drawing/2014/main" id="{1181F5FC-31C6-BB5A-9A11-1FA57B200CD3}"/>
            </a:ext>
          </a:extLst>
        </xdr:cNvPr>
        <xdr:cNvPicPr>
          <a:picLocks noChangeAspect="1"/>
        </xdr:cNvPicPr>
      </xdr:nvPicPr>
      <xdr:blipFill>
        <a:blip xmlns:r="http://schemas.openxmlformats.org/officeDocument/2006/relationships" r:embed="rId1"/>
        <a:stretch>
          <a:fillRect/>
        </a:stretch>
      </xdr:blipFill>
      <xdr:spPr>
        <a:xfrm>
          <a:off x="0" y="0"/>
          <a:ext cx="12295238" cy="6542857"/>
        </a:xfrm>
        <a:prstGeom prst="rect">
          <a:avLst/>
        </a:prstGeom>
      </xdr:spPr>
    </xdr:pic>
    <xdr:clientData/>
  </xdr:twoCellAnchor>
  <xdr:twoCellAnchor editAs="oneCell">
    <xdr:from>
      <xdr:col>0</xdr:col>
      <xdr:colOff>0</xdr:colOff>
      <xdr:row>38</xdr:row>
      <xdr:rowOff>47625</xdr:rowOff>
    </xdr:from>
    <xdr:to>
      <xdr:col>17</xdr:col>
      <xdr:colOff>208067</xdr:colOff>
      <xdr:row>75</xdr:row>
      <xdr:rowOff>142070</xdr:rowOff>
    </xdr:to>
    <xdr:pic>
      <xdr:nvPicPr>
        <xdr:cNvPr id="3" name="图片 2">
          <a:extLst>
            <a:ext uri="{FF2B5EF4-FFF2-40B4-BE49-F238E27FC236}">
              <a16:creationId xmlns:a16="http://schemas.microsoft.com/office/drawing/2014/main" id="{7B41B662-71C8-A639-FF15-81AC92CEFAFE}"/>
            </a:ext>
          </a:extLst>
        </xdr:cNvPr>
        <xdr:cNvPicPr>
          <a:picLocks noChangeAspect="1"/>
        </xdr:cNvPicPr>
      </xdr:nvPicPr>
      <xdr:blipFill>
        <a:blip xmlns:r="http://schemas.openxmlformats.org/officeDocument/2006/relationships" r:embed="rId2"/>
        <a:stretch>
          <a:fillRect/>
        </a:stretch>
      </xdr:blipFill>
      <xdr:spPr>
        <a:xfrm>
          <a:off x="0" y="6562725"/>
          <a:ext cx="11866667" cy="6438095"/>
        </a:xfrm>
        <a:prstGeom prst="rect">
          <a:avLst/>
        </a:prstGeom>
      </xdr:spPr>
    </xdr:pic>
    <xdr:clientData/>
  </xdr:twoCellAnchor>
  <xdr:twoCellAnchor editAs="oneCell">
    <xdr:from>
      <xdr:col>0</xdr:col>
      <xdr:colOff>57150</xdr:colOff>
      <xdr:row>73</xdr:row>
      <xdr:rowOff>57150</xdr:rowOff>
    </xdr:from>
    <xdr:to>
      <xdr:col>17</xdr:col>
      <xdr:colOff>379502</xdr:colOff>
      <xdr:row>103</xdr:row>
      <xdr:rowOff>46983</xdr:rowOff>
    </xdr:to>
    <xdr:pic>
      <xdr:nvPicPr>
        <xdr:cNvPr id="4" name="图片 3">
          <a:extLst>
            <a:ext uri="{FF2B5EF4-FFF2-40B4-BE49-F238E27FC236}">
              <a16:creationId xmlns:a16="http://schemas.microsoft.com/office/drawing/2014/main" id="{517990C0-ECD9-931E-5C36-3E0A21363B97}"/>
            </a:ext>
          </a:extLst>
        </xdr:cNvPr>
        <xdr:cNvPicPr>
          <a:picLocks noChangeAspect="1"/>
        </xdr:cNvPicPr>
      </xdr:nvPicPr>
      <xdr:blipFill>
        <a:blip xmlns:r="http://schemas.openxmlformats.org/officeDocument/2006/relationships" r:embed="rId3"/>
        <a:stretch>
          <a:fillRect/>
        </a:stretch>
      </xdr:blipFill>
      <xdr:spPr>
        <a:xfrm>
          <a:off x="57150" y="12573000"/>
          <a:ext cx="11980952" cy="5133333"/>
        </a:xfrm>
        <a:prstGeom prst="rect">
          <a:avLst/>
        </a:prstGeom>
      </xdr:spPr>
    </xdr:pic>
    <xdr:clientData/>
  </xdr:twoCellAnchor>
  <xdr:twoCellAnchor editAs="oneCell">
    <xdr:from>
      <xdr:col>0</xdr:col>
      <xdr:colOff>0</xdr:colOff>
      <xdr:row>103</xdr:row>
      <xdr:rowOff>0</xdr:rowOff>
    </xdr:from>
    <xdr:to>
      <xdr:col>17</xdr:col>
      <xdr:colOff>312828</xdr:colOff>
      <xdr:row>138</xdr:row>
      <xdr:rowOff>104012</xdr:rowOff>
    </xdr:to>
    <xdr:pic>
      <xdr:nvPicPr>
        <xdr:cNvPr id="5" name="图片 4">
          <a:extLst>
            <a:ext uri="{FF2B5EF4-FFF2-40B4-BE49-F238E27FC236}">
              <a16:creationId xmlns:a16="http://schemas.microsoft.com/office/drawing/2014/main" id="{0435E2E8-CCC3-0C56-C5BB-A0FC0885D8B1}"/>
            </a:ext>
          </a:extLst>
        </xdr:cNvPr>
        <xdr:cNvPicPr>
          <a:picLocks noChangeAspect="1"/>
        </xdr:cNvPicPr>
      </xdr:nvPicPr>
      <xdr:blipFill>
        <a:blip xmlns:r="http://schemas.openxmlformats.org/officeDocument/2006/relationships" r:embed="rId4"/>
        <a:stretch>
          <a:fillRect/>
        </a:stretch>
      </xdr:blipFill>
      <xdr:spPr>
        <a:xfrm>
          <a:off x="0" y="17659350"/>
          <a:ext cx="11971428" cy="6104762"/>
        </a:xfrm>
        <a:prstGeom prst="rect">
          <a:avLst/>
        </a:prstGeom>
      </xdr:spPr>
    </xdr:pic>
    <xdr:clientData/>
  </xdr:twoCellAnchor>
  <xdr:twoCellAnchor editAs="oneCell">
    <xdr:from>
      <xdr:col>19</xdr:col>
      <xdr:colOff>0</xdr:colOff>
      <xdr:row>0</xdr:row>
      <xdr:rowOff>0</xdr:rowOff>
    </xdr:from>
    <xdr:to>
      <xdr:col>36</xdr:col>
      <xdr:colOff>422343</xdr:colOff>
      <xdr:row>40</xdr:row>
      <xdr:rowOff>75357</xdr:rowOff>
    </xdr:to>
    <xdr:pic>
      <xdr:nvPicPr>
        <xdr:cNvPr id="6" name="图片 5">
          <a:extLst>
            <a:ext uri="{FF2B5EF4-FFF2-40B4-BE49-F238E27FC236}">
              <a16:creationId xmlns:a16="http://schemas.microsoft.com/office/drawing/2014/main" id="{F89E496C-4649-AC18-143C-6EF728787A91}"/>
            </a:ext>
          </a:extLst>
        </xdr:cNvPr>
        <xdr:cNvPicPr>
          <a:picLocks noChangeAspect="1"/>
        </xdr:cNvPicPr>
      </xdr:nvPicPr>
      <xdr:blipFill>
        <a:blip xmlns:r="http://schemas.openxmlformats.org/officeDocument/2006/relationships" r:embed="rId5"/>
        <a:stretch>
          <a:fillRect/>
        </a:stretch>
      </xdr:blipFill>
      <xdr:spPr>
        <a:xfrm>
          <a:off x="13120688" y="0"/>
          <a:ext cx="12161905" cy="6742857"/>
        </a:xfrm>
        <a:prstGeom prst="rect">
          <a:avLst/>
        </a:prstGeom>
      </xdr:spPr>
    </xdr:pic>
    <xdr:clientData/>
  </xdr:twoCellAnchor>
  <xdr:twoCellAnchor editAs="oneCell">
    <xdr:from>
      <xdr:col>19</xdr:col>
      <xdr:colOff>0</xdr:colOff>
      <xdr:row>41</xdr:row>
      <xdr:rowOff>0</xdr:rowOff>
    </xdr:from>
    <xdr:to>
      <xdr:col>36</xdr:col>
      <xdr:colOff>222343</xdr:colOff>
      <xdr:row>82</xdr:row>
      <xdr:rowOff>13432</xdr:rowOff>
    </xdr:to>
    <xdr:pic>
      <xdr:nvPicPr>
        <xdr:cNvPr id="7" name="图片 6">
          <a:extLst>
            <a:ext uri="{FF2B5EF4-FFF2-40B4-BE49-F238E27FC236}">
              <a16:creationId xmlns:a16="http://schemas.microsoft.com/office/drawing/2014/main" id="{07D9F734-22F0-3677-57F8-0765B436BBFD}"/>
            </a:ext>
          </a:extLst>
        </xdr:cNvPr>
        <xdr:cNvPicPr>
          <a:picLocks noChangeAspect="1"/>
        </xdr:cNvPicPr>
      </xdr:nvPicPr>
      <xdr:blipFill>
        <a:blip xmlns:r="http://schemas.openxmlformats.org/officeDocument/2006/relationships" r:embed="rId6"/>
        <a:stretch>
          <a:fillRect/>
        </a:stretch>
      </xdr:blipFill>
      <xdr:spPr>
        <a:xfrm>
          <a:off x="13120688" y="6834188"/>
          <a:ext cx="11961905" cy="6847619"/>
        </a:xfrm>
        <a:prstGeom prst="rect">
          <a:avLst/>
        </a:prstGeom>
      </xdr:spPr>
    </xdr:pic>
    <xdr:clientData/>
  </xdr:twoCellAnchor>
  <xdr:twoCellAnchor editAs="oneCell">
    <xdr:from>
      <xdr:col>19</xdr:col>
      <xdr:colOff>142872</xdr:colOff>
      <xdr:row>81</xdr:row>
      <xdr:rowOff>119066</xdr:rowOff>
    </xdr:from>
    <xdr:to>
      <xdr:col>36</xdr:col>
      <xdr:colOff>260453</xdr:colOff>
      <xdr:row>103</xdr:row>
      <xdr:rowOff>156703</xdr:rowOff>
    </xdr:to>
    <xdr:pic>
      <xdr:nvPicPr>
        <xdr:cNvPr id="8" name="图片 7">
          <a:extLst>
            <a:ext uri="{FF2B5EF4-FFF2-40B4-BE49-F238E27FC236}">
              <a16:creationId xmlns:a16="http://schemas.microsoft.com/office/drawing/2014/main" id="{7FFCA728-0AAC-D635-0549-0AACB234202B}"/>
            </a:ext>
          </a:extLst>
        </xdr:cNvPr>
        <xdr:cNvPicPr>
          <a:picLocks noChangeAspect="1"/>
        </xdr:cNvPicPr>
      </xdr:nvPicPr>
      <xdr:blipFill>
        <a:blip xmlns:r="http://schemas.openxmlformats.org/officeDocument/2006/relationships" r:embed="rId7"/>
        <a:stretch>
          <a:fillRect/>
        </a:stretch>
      </xdr:blipFill>
      <xdr:spPr>
        <a:xfrm>
          <a:off x="13069658" y="14447387"/>
          <a:ext cx="11683652" cy="3929280"/>
        </a:xfrm>
        <a:prstGeom prst="rect">
          <a:avLst/>
        </a:prstGeom>
      </xdr:spPr>
    </xdr:pic>
    <xdr:clientData/>
  </xdr:twoCellAnchor>
  <xdr:twoCellAnchor editAs="oneCell">
    <xdr:from>
      <xdr:col>19</xdr:col>
      <xdr:colOff>23813</xdr:colOff>
      <xdr:row>104</xdr:row>
      <xdr:rowOff>1</xdr:rowOff>
    </xdr:from>
    <xdr:to>
      <xdr:col>36</xdr:col>
      <xdr:colOff>293775</xdr:colOff>
      <xdr:row>142</xdr:row>
      <xdr:rowOff>75400</xdr:rowOff>
    </xdr:to>
    <xdr:pic>
      <xdr:nvPicPr>
        <xdr:cNvPr id="9" name="图片 8">
          <a:extLst>
            <a:ext uri="{FF2B5EF4-FFF2-40B4-BE49-F238E27FC236}">
              <a16:creationId xmlns:a16="http://schemas.microsoft.com/office/drawing/2014/main" id="{F3A2D319-69D8-338C-8756-FB313BCD586C}"/>
            </a:ext>
          </a:extLst>
        </xdr:cNvPr>
        <xdr:cNvPicPr>
          <a:picLocks noChangeAspect="1"/>
        </xdr:cNvPicPr>
      </xdr:nvPicPr>
      <xdr:blipFill>
        <a:blip xmlns:r="http://schemas.openxmlformats.org/officeDocument/2006/relationships" r:embed="rId8"/>
        <a:stretch>
          <a:fillRect/>
        </a:stretch>
      </xdr:blipFill>
      <xdr:spPr>
        <a:xfrm>
          <a:off x="13144501" y="17335501"/>
          <a:ext cx="12009524" cy="6409524"/>
        </a:xfrm>
        <a:prstGeom prst="rect">
          <a:avLst/>
        </a:prstGeom>
      </xdr:spPr>
    </xdr:pic>
    <xdr:clientData/>
  </xdr:twoCellAnchor>
  <xdr:twoCellAnchor editAs="oneCell">
    <xdr:from>
      <xdr:col>19</xdr:col>
      <xdr:colOff>0</xdr:colOff>
      <xdr:row>143</xdr:row>
      <xdr:rowOff>0</xdr:rowOff>
    </xdr:from>
    <xdr:to>
      <xdr:col>36</xdr:col>
      <xdr:colOff>146152</xdr:colOff>
      <xdr:row>173</xdr:row>
      <xdr:rowOff>8899</xdr:rowOff>
    </xdr:to>
    <xdr:pic>
      <xdr:nvPicPr>
        <xdr:cNvPr id="10" name="图片 9">
          <a:extLst>
            <a:ext uri="{FF2B5EF4-FFF2-40B4-BE49-F238E27FC236}">
              <a16:creationId xmlns:a16="http://schemas.microsoft.com/office/drawing/2014/main" id="{F810A03C-47CF-B217-CCF3-AABD7D6FD1B0}"/>
            </a:ext>
          </a:extLst>
        </xdr:cNvPr>
        <xdr:cNvPicPr>
          <a:picLocks noChangeAspect="1"/>
        </xdr:cNvPicPr>
      </xdr:nvPicPr>
      <xdr:blipFill>
        <a:blip xmlns:r="http://schemas.openxmlformats.org/officeDocument/2006/relationships" r:embed="rId9"/>
        <a:stretch>
          <a:fillRect/>
        </a:stretch>
      </xdr:blipFill>
      <xdr:spPr>
        <a:xfrm>
          <a:off x="13120688" y="23836313"/>
          <a:ext cx="11885714" cy="5009524"/>
        </a:xfrm>
        <a:prstGeom prst="rect">
          <a:avLst/>
        </a:prstGeom>
      </xdr:spPr>
    </xdr:pic>
    <xdr:clientData/>
  </xdr:twoCellAnchor>
  <xdr:twoCellAnchor editAs="oneCell">
    <xdr:from>
      <xdr:col>38</xdr:col>
      <xdr:colOff>0</xdr:colOff>
      <xdr:row>0</xdr:row>
      <xdr:rowOff>0</xdr:rowOff>
    </xdr:from>
    <xdr:to>
      <xdr:col>55</xdr:col>
      <xdr:colOff>250913</xdr:colOff>
      <xdr:row>41</xdr:row>
      <xdr:rowOff>13431</xdr:rowOff>
    </xdr:to>
    <xdr:pic>
      <xdr:nvPicPr>
        <xdr:cNvPr id="11" name="图片 10">
          <a:extLst>
            <a:ext uri="{FF2B5EF4-FFF2-40B4-BE49-F238E27FC236}">
              <a16:creationId xmlns:a16="http://schemas.microsoft.com/office/drawing/2014/main" id="{DFB38A4F-A1C5-51DB-97E9-9032072F81E9}"/>
            </a:ext>
          </a:extLst>
        </xdr:cNvPr>
        <xdr:cNvPicPr>
          <a:picLocks noChangeAspect="1"/>
        </xdr:cNvPicPr>
      </xdr:nvPicPr>
      <xdr:blipFill>
        <a:blip xmlns:r="http://schemas.openxmlformats.org/officeDocument/2006/relationships" r:embed="rId10"/>
        <a:stretch>
          <a:fillRect/>
        </a:stretch>
      </xdr:blipFill>
      <xdr:spPr>
        <a:xfrm>
          <a:off x="26241375" y="0"/>
          <a:ext cx="11990476" cy="6847619"/>
        </a:xfrm>
        <a:prstGeom prst="rect">
          <a:avLst/>
        </a:prstGeom>
      </xdr:spPr>
    </xdr:pic>
    <xdr:clientData/>
  </xdr:twoCellAnchor>
  <xdr:twoCellAnchor editAs="oneCell">
    <xdr:from>
      <xdr:col>38</xdr:col>
      <xdr:colOff>71437</xdr:colOff>
      <xdr:row>39</xdr:row>
      <xdr:rowOff>47625</xdr:rowOff>
    </xdr:from>
    <xdr:to>
      <xdr:col>55</xdr:col>
      <xdr:colOff>169969</xdr:colOff>
      <xdr:row>75</xdr:row>
      <xdr:rowOff>94494</xdr:rowOff>
    </xdr:to>
    <xdr:pic>
      <xdr:nvPicPr>
        <xdr:cNvPr id="12" name="图片 11">
          <a:extLst>
            <a:ext uri="{FF2B5EF4-FFF2-40B4-BE49-F238E27FC236}">
              <a16:creationId xmlns:a16="http://schemas.microsoft.com/office/drawing/2014/main" id="{7DC9DB88-6601-EABA-779A-CDAC1B868833}"/>
            </a:ext>
          </a:extLst>
        </xdr:cNvPr>
        <xdr:cNvPicPr>
          <a:picLocks noChangeAspect="1"/>
        </xdr:cNvPicPr>
      </xdr:nvPicPr>
      <xdr:blipFill>
        <a:blip xmlns:r="http://schemas.openxmlformats.org/officeDocument/2006/relationships" r:embed="rId11"/>
        <a:stretch>
          <a:fillRect/>
        </a:stretch>
      </xdr:blipFill>
      <xdr:spPr>
        <a:xfrm>
          <a:off x="26312812" y="6548438"/>
          <a:ext cx="11838095" cy="6047619"/>
        </a:xfrm>
        <a:prstGeom prst="rect">
          <a:avLst/>
        </a:prstGeom>
      </xdr:spPr>
    </xdr:pic>
    <xdr:clientData/>
  </xdr:twoCellAnchor>
  <xdr:twoCellAnchor editAs="oneCell">
    <xdr:from>
      <xdr:col>38</xdr:col>
      <xdr:colOff>95249</xdr:colOff>
      <xdr:row>65</xdr:row>
      <xdr:rowOff>119063</xdr:rowOff>
    </xdr:from>
    <xdr:to>
      <xdr:col>55</xdr:col>
      <xdr:colOff>69972</xdr:colOff>
      <xdr:row>104</xdr:row>
      <xdr:rowOff>75394</xdr:rowOff>
    </xdr:to>
    <xdr:pic>
      <xdr:nvPicPr>
        <xdr:cNvPr id="13" name="图片 12">
          <a:extLst>
            <a:ext uri="{FF2B5EF4-FFF2-40B4-BE49-F238E27FC236}">
              <a16:creationId xmlns:a16="http://schemas.microsoft.com/office/drawing/2014/main" id="{77B45E44-FB1A-B578-1A94-CE8D756A237A}"/>
            </a:ext>
          </a:extLst>
        </xdr:cNvPr>
        <xdr:cNvPicPr>
          <a:picLocks noChangeAspect="1"/>
        </xdr:cNvPicPr>
      </xdr:nvPicPr>
      <xdr:blipFill>
        <a:blip xmlns:r="http://schemas.openxmlformats.org/officeDocument/2006/relationships" r:embed="rId12"/>
        <a:stretch>
          <a:fillRect/>
        </a:stretch>
      </xdr:blipFill>
      <xdr:spPr>
        <a:xfrm>
          <a:off x="26336624" y="10953751"/>
          <a:ext cx="11714286" cy="6457143"/>
        </a:xfrm>
        <a:prstGeom prst="rect">
          <a:avLst/>
        </a:prstGeom>
      </xdr:spPr>
    </xdr:pic>
    <xdr:clientData/>
  </xdr:twoCellAnchor>
  <xdr:twoCellAnchor editAs="oneCell">
    <xdr:from>
      <xdr:col>38</xdr:col>
      <xdr:colOff>95250</xdr:colOff>
      <xdr:row>94</xdr:row>
      <xdr:rowOff>95250</xdr:rowOff>
    </xdr:from>
    <xdr:to>
      <xdr:col>55</xdr:col>
      <xdr:colOff>384258</xdr:colOff>
      <xdr:row>133</xdr:row>
      <xdr:rowOff>23008</xdr:rowOff>
    </xdr:to>
    <xdr:pic>
      <xdr:nvPicPr>
        <xdr:cNvPr id="14" name="图片 13">
          <a:extLst>
            <a:ext uri="{FF2B5EF4-FFF2-40B4-BE49-F238E27FC236}">
              <a16:creationId xmlns:a16="http://schemas.microsoft.com/office/drawing/2014/main" id="{0E5442CF-51FF-03C7-C01C-FE36EBC653C2}"/>
            </a:ext>
          </a:extLst>
        </xdr:cNvPr>
        <xdr:cNvPicPr>
          <a:picLocks noChangeAspect="1"/>
        </xdr:cNvPicPr>
      </xdr:nvPicPr>
      <xdr:blipFill>
        <a:blip xmlns:r="http://schemas.openxmlformats.org/officeDocument/2006/relationships" r:embed="rId13"/>
        <a:stretch>
          <a:fillRect/>
        </a:stretch>
      </xdr:blipFill>
      <xdr:spPr>
        <a:xfrm>
          <a:off x="26336625" y="15763875"/>
          <a:ext cx="12028571" cy="6428571"/>
        </a:xfrm>
        <a:prstGeom prst="rect">
          <a:avLst/>
        </a:prstGeom>
      </xdr:spPr>
    </xdr:pic>
    <xdr:clientData/>
  </xdr:twoCellAnchor>
  <xdr:twoCellAnchor editAs="oneCell">
    <xdr:from>
      <xdr:col>38</xdr:col>
      <xdr:colOff>0</xdr:colOff>
      <xdr:row>134</xdr:row>
      <xdr:rowOff>0</xdr:rowOff>
    </xdr:from>
    <xdr:to>
      <xdr:col>55</xdr:col>
      <xdr:colOff>212818</xdr:colOff>
      <xdr:row>164</xdr:row>
      <xdr:rowOff>75565</xdr:rowOff>
    </xdr:to>
    <xdr:pic>
      <xdr:nvPicPr>
        <xdr:cNvPr id="15" name="图片 14">
          <a:extLst>
            <a:ext uri="{FF2B5EF4-FFF2-40B4-BE49-F238E27FC236}">
              <a16:creationId xmlns:a16="http://schemas.microsoft.com/office/drawing/2014/main" id="{14E3D709-D727-6FDF-B8B1-B859A1D89E76}"/>
            </a:ext>
          </a:extLst>
        </xdr:cNvPr>
        <xdr:cNvPicPr>
          <a:picLocks noChangeAspect="1"/>
        </xdr:cNvPicPr>
      </xdr:nvPicPr>
      <xdr:blipFill>
        <a:blip xmlns:r="http://schemas.openxmlformats.org/officeDocument/2006/relationships" r:embed="rId14"/>
        <a:stretch>
          <a:fillRect/>
        </a:stretch>
      </xdr:blipFill>
      <xdr:spPr>
        <a:xfrm>
          <a:off x="26241375" y="22336125"/>
          <a:ext cx="11952381" cy="5076190"/>
        </a:xfrm>
        <a:prstGeom prst="rect">
          <a:avLst/>
        </a:prstGeom>
      </xdr:spPr>
    </xdr:pic>
    <xdr:clientData/>
  </xdr:twoCellAnchor>
  <xdr:twoCellAnchor editAs="oneCell">
    <xdr:from>
      <xdr:col>56</xdr:col>
      <xdr:colOff>809625</xdr:colOff>
      <xdr:row>11</xdr:row>
      <xdr:rowOff>47625</xdr:rowOff>
    </xdr:from>
    <xdr:to>
      <xdr:col>65</xdr:col>
      <xdr:colOff>541842</xdr:colOff>
      <xdr:row>55</xdr:row>
      <xdr:rowOff>160968</xdr:rowOff>
    </xdr:to>
    <xdr:pic>
      <xdr:nvPicPr>
        <xdr:cNvPr id="16" name="图片 15">
          <a:extLst>
            <a:ext uri="{FF2B5EF4-FFF2-40B4-BE49-F238E27FC236}">
              <a16:creationId xmlns:a16="http://schemas.microsoft.com/office/drawing/2014/main" id="{C6B50EEE-FAFC-3F77-6E2F-EF00F300EADF}"/>
            </a:ext>
          </a:extLst>
        </xdr:cNvPr>
        <xdr:cNvPicPr>
          <a:picLocks noChangeAspect="1"/>
        </xdr:cNvPicPr>
      </xdr:nvPicPr>
      <xdr:blipFill>
        <a:blip xmlns:r="http://schemas.openxmlformats.org/officeDocument/2006/relationships" r:embed="rId15"/>
        <a:stretch>
          <a:fillRect/>
        </a:stretch>
      </xdr:blipFill>
      <xdr:spPr>
        <a:xfrm>
          <a:off x="39214425" y="1933575"/>
          <a:ext cx="8666667" cy="76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312828</xdr:colOff>
      <xdr:row>40</xdr:row>
      <xdr:rowOff>94381</xdr:rowOff>
    </xdr:to>
    <xdr:pic>
      <xdr:nvPicPr>
        <xdr:cNvPr id="2" name="图片 1">
          <a:extLst>
            <a:ext uri="{FF2B5EF4-FFF2-40B4-BE49-F238E27FC236}">
              <a16:creationId xmlns:a16="http://schemas.microsoft.com/office/drawing/2014/main" id="{E5C6AEE4-1557-F8A3-30E7-2F7C33534DAF}"/>
            </a:ext>
          </a:extLst>
        </xdr:cNvPr>
        <xdr:cNvPicPr>
          <a:picLocks noChangeAspect="1"/>
        </xdr:cNvPicPr>
      </xdr:nvPicPr>
      <xdr:blipFill>
        <a:blip xmlns:r="http://schemas.openxmlformats.org/officeDocument/2006/relationships" r:embed="rId1"/>
        <a:stretch>
          <a:fillRect/>
        </a:stretch>
      </xdr:blipFill>
      <xdr:spPr>
        <a:xfrm>
          <a:off x="0" y="0"/>
          <a:ext cx="11971428" cy="69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331876</xdr:colOff>
      <xdr:row>40</xdr:row>
      <xdr:rowOff>46762</xdr:rowOff>
    </xdr:to>
    <xdr:pic>
      <xdr:nvPicPr>
        <xdr:cNvPr id="2" name="图片 1">
          <a:extLst>
            <a:ext uri="{FF2B5EF4-FFF2-40B4-BE49-F238E27FC236}">
              <a16:creationId xmlns:a16="http://schemas.microsoft.com/office/drawing/2014/main" id="{B7EC0F60-20F5-7982-F495-2D6A88E9CA40}"/>
            </a:ext>
          </a:extLst>
        </xdr:cNvPr>
        <xdr:cNvPicPr>
          <a:picLocks noChangeAspect="1"/>
        </xdr:cNvPicPr>
      </xdr:nvPicPr>
      <xdr:blipFill>
        <a:blip xmlns:r="http://schemas.openxmlformats.org/officeDocument/2006/relationships" r:embed="rId1"/>
        <a:stretch>
          <a:fillRect/>
        </a:stretch>
      </xdr:blipFill>
      <xdr:spPr>
        <a:xfrm>
          <a:off x="0" y="0"/>
          <a:ext cx="11990476" cy="6904762"/>
        </a:xfrm>
        <a:prstGeom prst="rect">
          <a:avLst/>
        </a:prstGeom>
      </xdr:spPr>
    </xdr:pic>
    <xdr:clientData/>
  </xdr:twoCellAnchor>
  <xdr:twoCellAnchor editAs="oneCell">
    <xdr:from>
      <xdr:col>0</xdr:col>
      <xdr:colOff>0</xdr:colOff>
      <xdr:row>40</xdr:row>
      <xdr:rowOff>76200</xdr:rowOff>
    </xdr:from>
    <xdr:to>
      <xdr:col>17</xdr:col>
      <xdr:colOff>246162</xdr:colOff>
      <xdr:row>81</xdr:row>
      <xdr:rowOff>8655</xdr:rowOff>
    </xdr:to>
    <xdr:pic>
      <xdr:nvPicPr>
        <xdr:cNvPr id="3" name="图片 2">
          <a:extLst>
            <a:ext uri="{FF2B5EF4-FFF2-40B4-BE49-F238E27FC236}">
              <a16:creationId xmlns:a16="http://schemas.microsoft.com/office/drawing/2014/main" id="{24200333-B60C-B070-328B-9DE7A8649611}"/>
            </a:ext>
          </a:extLst>
        </xdr:cNvPr>
        <xdr:cNvPicPr>
          <a:picLocks noChangeAspect="1"/>
        </xdr:cNvPicPr>
      </xdr:nvPicPr>
      <xdr:blipFill>
        <a:blip xmlns:r="http://schemas.openxmlformats.org/officeDocument/2006/relationships" r:embed="rId2"/>
        <a:stretch>
          <a:fillRect/>
        </a:stretch>
      </xdr:blipFill>
      <xdr:spPr>
        <a:xfrm>
          <a:off x="0" y="6934200"/>
          <a:ext cx="11904762" cy="6961905"/>
        </a:xfrm>
        <a:prstGeom prst="rect">
          <a:avLst/>
        </a:prstGeom>
      </xdr:spPr>
    </xdr:pic>
    <xdr:clientData/>
  </xdr:twoCellAnchor>
  <xdr:twoCellAnchor editAs="oneCell">
    <xdr:from>
      <xdr:col>0</xdr:col>
      <xdr:colOff>0</xdr:colOff>
      <xdr:row>81</xdr:row>
      <xdr:rowOff>47625</xdr:rowOff>
    </xdr:from>
    <xdr:to>
      <xdr:col>17</xdr:col>
      <xdr:colOff>436638</xdr:colOff>
      <xdr:row>121</xdr:row>
      <xdr:rowOff>27720</xdr:rowOff>
    </xdr:to>
    <xdr:pic>
      <xdr:nvPicPr>
        <xdr:cNvPr id="4" name="图片 3">
          <a:extLst>
            <a:ext uri="{FF2B5EF4-FFF2-40B4-BE49-F238E27FC236}">
              <a16:creationId xmlns:a16="http://schemas.microsoft.com/office/drawing/2014/main" id="{90F2A945-05B2-576A-E288-51F5442297FC}"/>
            </a:ext>
          </a:extLst>
        </xdr:cNvPr>
        <xdr:cNvPicPr>
          <a:picLocks noChangeAspect="1"/>
        </xdr:cNvPicPr>
      </xdr:nvPicPr>
      <xdr:blipFill>
        <a:blip xmlns:r="http://schemas.openxmlformats.org/officeDocument/2006/relationships" r:embed="rId3"/>
        <a:stretch>
          <a:fillRect/>
        </a:stretch>
      </xdr:blipFill>
      <xdr:spPr>
        <a:xfrm>
          <a:off x="0" y="13935075"/>
          <a:ext cx="12095238" cy="68380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236638</xdr:colOff>
      <xdr:row>40</xdr:row>
      <xdr:rowOff>65809</xdr:rowOff>
    </xdr:to>
    <xdr:pic>
      <xdr:nvPicPr>
        <xdr:cNvPr id="2" name="图片 1">
          <a:extLst>
            <a:ext uri="{FF2B5EF4-FFF2-40B4-BE49-F238E27FC236}">
              <a16:creationId xmlns:a16="http://schemas.microsoft.com/office/drawing/2014/main" id="{C5064A72-E1C1-F07A-30F5-9910959666FD}"/>
            </a:ext>
          </a:extLst>
        </xdr:cNvPr>
        <xdr:cNvPicPr>
          <a:picLocks noChangeAspect="1"/>
        </xdr:cNvPicPr>
      </xdr:nvPicPr>
      <xdr:blipFill>
        <a:blip xmlns:r="http://schemas.openxmlformats.org/officeDocument/2006/relationships" r:embed="rId1"/>
        <a:stretch>
          <a:fillRect/>
        </a:stretch>
      </xdr:blipFill>
      <xdr:spPr>
        <a:xfrm>
          <a:off x="0" y="0"/>
          <a:ext cx="11895238" cy="6923809"/>
        </a:xfrm>
        <a:prstGeom prst="rect">
          <a:avLst/>
        </a:prstGeom>
      </xdr:spPr>
    </xdr:pic>
    <xdr:clientData/>
  </xdr:twoCellAnchor>
  <xdr:twoCellAnchor editAs="oneCell">
    <xdr:from>
      <xdr:col>0</xdr:col>
      <xdr:colOff>0</xdr:colOff>
      <xdr:row>41</xdr:row>
      <xdr:rowOff>28575</xdr:rowOff>
    </xdr:from>
    <xdr:to>
      <xdr:col>17</xdr:col>
      <xdr:colOff>379495</xdr:colOff>
      <xdr:row>81</xdr:row>
      <xdr:rowOff>46765</xdr:rowOff>
    </xdr:to>
    <xdr:pic>
      <xdr:nvPicPr>
        <xdr:cNvPr id="4" name="图片 3">
          <a:extLst>
            <a:ext uri="{FF2B5EF4-FFF2-40B4-BE49-F238E27FC236}">
              <a16:creationId xmlns:a16="http://schemas.microsoft.com/office/drawing/2014/main" id="{8F41772A-A0A4-1F7D-A3D1-F46E20D1C6BB}"/>
            </a:ext>
          </a:extLst>
        </xdr:cNvPr>
        <xdr:cNvPicPr>
          <a:picLocks noChangeAspect="1"/>
        </xdr:cNvPicPr>
      </xdr:nvPicPr>
      <xdr:blipFill>
        <a:blip xmlns:r="http://schemas.openxmlformats.org/officeDocument/2006/relationships" r:embed="rId2"/>
        <a:stretch>
          <a:fillRect/>
        </a:stretch>
      </xdr:blipFill>
      <xdr:spPr>
        <a:xfrm>
          <a:off x="0" y="7058025"/>
          <a:ext cx="12038095" cy="6876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255686</xdr:colOff>
      <xdr:row>40</xdr:row>
      <xdr:rowOff>18190</xdr:rowOff>
    </xdr:to>
    <xdr:pic>
      <xdr:nvPicPr>
        <xdr:cNvPr id="2" name="图片 1">
          <a:extLst>
            <a:ext uri="{FF2B5EF4-FFF2-40B4-BE49-F238E27FC236}">
              <a16:creationId xmlns:a16="http://schemas.microsoft.com/office/drawing/2014/main" id="{73E7E1CB-CE9B-2E25-1D60-C58FACF4994E}"/>
            </a:ext>
          </a:extLst>
        </xdr:cNvPr>
        <xdr:cNvPicPr>
          <a:picLocks noChangeAspect="1"/>
        </xdr:cNvPicPr>
      </xdr:nvPicPr>
      <xdr:blipFill>
        <a:blip xmlns:r="http://schemas.openxmlformats.org/officeDocument/2006/relationships" r:embed="rId1"/>
        <a:stretch>
          <a:fillRect/>
        </a:stretch>
      </xdr:blipFill>
      <xdr:spPr>
        <a:xfrm>
          <a:off x="0" y="0"/>
          <a:ext cx="11914286" cy="6876190"/>
        </a:xfrm>
        <a:prstGeom prst="rect">
          <a:avLst/>
        </a:prstGeom>
      </xdr:spPr>
    </xdr:pic>
    <xdr:clientData/>
  </xdr:twoCellAnchor>
  <xdr:twoCellAnchor editAs="oneCell">
    <xdr:from>
      <xdr:col>0</xdr:col>
      <xdr:colOff>0</xdr:colOff>
      <xdr:row>40</xdr:row>
      <xdr:rowOff>38100</xdr:rowOff>
    </xdr:from>
    <xdr:to>
      <xdr:col>17</xdr:col>
      <xdr:colOff>369971</xdr:colOff>
      <xdr:row>80</xdr:row>
      <xdr:rowOff>84862</xdr:rowOff>
    </xdr:to>
    <xdr:pic>
      <xdr:nvPicPr>
        <xdr:cNvPr id="3" name="图片 2">
          <a:extLst>
            <a:ext uri="{FF2B5EF4-FFF2-40B4-BE49-F238E27FC236}">
              <a16:creationId xmlns:a16="http://schemas.microsoft.com/office/drawing/2014/main" id="{4A87303D-FBDB-F657-D148-B2B35079020F}"/>
            </a:ext>
          </a:extLst>
        </xdr:cNvPr>
        <xdr:cNvPicPr>
          <a:picLocks noChangeAspect="1"/>
        </xdr:cNvPicPr>
      </xdr:nvPicPr>
      <xdr:blipFill>
        <a:blip xmlns:r="http://schemas.openxmlformats.org/officeDocument/2006/relationships" r:embed="rId2"/>
        <a:stretch>
          <a:fillRect/>
        </a:stretch>
      </xdr:blipFill>
      <xdr:spPr>
        <a:xfrm>
          <a:off x="0" y="6896100"/>
          <a:ext cx="12028571" cy="6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北京市房地产抵押价值预评估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受贵公司委托，我公司对北京市房地产抵押价值进行了预评估。</v>
      </c>
    </row>
    <row r="7" spans="1:2">
      <c r="A7" s="1115" t="s">
        <v>566</v>
      </c>
      <c r="B7" s="1116" t="str">
        <f>'预评函-1'!A7</f>
        <v>估价对象为北京市房地产，为所有。根据《国有土地使用证》[]，估价对象（分摊）出让国有建设用地使用权面积为25963.4平方米，建筑面积为74353.6499999998平方米。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估价对象为北京市房地产,属开发建设的，该项目尚在开发建设中。根据《国有土地使用证》[]，估价对象（分摊）出让国有建设用地使用权面积为25963.4平方米，规划建筑面积为74353.6499999998平方米。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2025年9月24日（评估专业人员实地查勘之日）</v>
      </c>
    </row>
    <row r="13" spans="1:2">
      <c r="A13" s="1115" t="s">
        <v>529</v>
      </c>
      <c r="B13" s="1116"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
      </c>
    </row>
    <row r="18" spans="1:2" s="1111" customFormat="1" ht="15" thickBot="1">
      <c r="A18" s="1118" t="s">
        <v>534</v>
      </c>
      <c r="B18" s="1119" t="str">
        <f>'预评函-1'!A24</f>
        <v>本次评估采用的主估价方法为成本法和假设开发法。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130953</v>
      </c>
    </row>
    <row r="21" spans="1:2">
      <c r="A21" s="1115" t="s">
        <v>537</v>
      </c>
      <c r="B21" s="1116">
        <f ca="1">'预评函-2'!D7</f>
        <v>17612</v>
      </c>
    </row>
    <row r="22" spans="1:2">
      <c r="A22" s="1115" t="s">
        <v>538</v>
      </c>
      <c r="B22" s="1116" t="str">
        <f ca="1">'预评函-2'!D6</f>
        <v>壹拾叁亿零玖佰伍拾叁万元整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130953</v>
      </c>
    </row>
    <row r="31" spans="1:2">
      <c r="A31" s="1115" t="s">
        <v>576</v>
      </c>
      <c r="B31" s="1116">
        <f ca="1">'预评函-2'!D15</f>
        <v>17612</v>
      </c>
    </row>
    <row r="32" spans="1:2">
      <c r="A32" s="1115" t="s">
        <v>543</v>
      </c>
      <c r="B32" s="1116" t="str">
        <f ca="1">'预评函-2'!D14</f>
        <v>壹拾叁亿零玖佰伍拾叁万元整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74353.649999999776</v>
      </c>
    </row>
    <row r="44" spans="1:2">
      <c r="A44" s="1115" t="s">
        <v>575</v>
      </c>
      <c r="B44" s="1116" t="str">
        <f>'预评函-3'!C2</f>
        <v>(分摊)土地面积</v>
      </c>
    </row>
    <row r="45" spans="1:2">
      <c r="A45" s="1115" t="s">
        <v>547</v>
      </c>
      <c r="B45" s="1116">
        <f>'预评函-3'!C4</f>
        <v>25963.4</v>
      </c>
    </row>
    <row r="46" spans="1:2">
      <c r="A46" s="1115" t="s">
        <v>573</v>
      </c>
      <c r="B46" s="1116" t="str">
        <f>'预评函-3'!D2</f>
        <v>出让国有建设用地使用权价值</v>
      </c>
    </row>
    <row r="47" spans="1:2">
      <c r="A47" s="1115" t="s">
        <v>548</v>
      </c>
      <c r="B47" s="1116">
        <f ca="1">'预评函-3'!D4</f>
        <v>114191</v>
      </c>
    </row>
    <row r="48" spans="1:2">
      <c r="A48" s="1115" t="s">
        <v>549</v>
      </c>
      <c r="B48" s="1116">
        <f ca="1">'预评函-3'!E4</f>
        <v>15358</v>
      </c>
    </row>
    <row r="49" spans="1:2">
      <c r="A49" s="1115" t="s">
        <v>550</v>
      </c>
      <c r="B49" s="1116" t="str">
        <f ca="1">'预评函-3'!D5</f>
        <v>壹拾壹亿肆仟壹佰玖拾壹万元整</v>
      </c>
    </row>
    <row r="50" spans="1:2">
      <c r="A50" s="1115" t="s">
        <v>574</v>
      </c>
      <c r="B50" s="1116" t="str">
        <f>'预评函-3'!F2</f>
        <v>在建建筑物价值</v>
      </c>
    </row>
    <row r="51" spans="1:2">
      <c r="A51" s="1115" t="s">
        <v>551</v>
      </c>
      <c r="B51" s="1116">
        <f ca="1">'预评函-3'!F4</f>
        <v>16762</v>
      </c>
    </row>
    <row r="52" spans="1:2">
      <c r="A52" s="1115" t="s">
        <v>552</v>
      </c>
      <c r="B52" s="1116">
        <f ca="1">'预评函-3'!G4</f>
        <v>2254</v>
      </c>
    </row>
    <row r="53" spans="1:2">
      <c r="A53" s="1115" t="s">
        <v>580</v>
      </c>
      <c r="B53" s="1116" t="str">
        <f ca="1">'预评函-3'!F5</f>
        <v>壹亿陆仟柒佰陆拾贰万元整</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5" t="s">
        <v>571</v>
      </c>
      <c r="B67" s="11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8" width="15.125" style="1441" customWidth="1"/>
    <col min="29" max="16384" width="9" style="1401"/>
  </cols>
  <sheetData>
    <row r="1" spans="1:28" s="1436" customFormat="1" ht="40.5">
      <c r="A1" s="1432" t="s">
        <v>44</v>
      </c>
      <c r="B1" s="1433" t="s">
        <v>977</v>
      </c>
      <c r="C1" s="1434" t="s">
        <v>314</v>
      </c>
      <c r="D1" s="1435" t="s">
        <v>3339</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c r="X1" s="1434" t="s">
        <v>673</v>
      </c>
      <c r="Y1" s="1434" t="s">
        <v>21</v>
      </c>
      <c r="Z1" s="1434" t="s">
        <v>3395</v>
      </c>
      <c r="AA1" s="1434" t="s">
        <v>3394</v>
      </c>
      <c r="AB1" s="1434" t="s">
        <v>3</v>
      </c>
    </row>
    <row r="2" spans="1:28">
      <c r="A2" s="1437" t="s">
        <v>19</v>
      </c>
      <c r="B2" s="1437" t="s">
        <v>993</v>
      </c>
      <c r="C2" s="1438" t="s">
        <v>315</v>
      </c>
      <c r="D2" s="1439" t="s">
        <v>994</v>
      </c>
      <c r="E2" s="1439" t="s">
        <v>995</v>
      </c>
      <c r="F2" s="1439" t="s">
        <v>996</v>
      </c>
      <c r="G2" s="1439">
        <v>20</v>
      </c>
      <c r="H2" s="1439" t="s">
        <v>996</v>
      </c>
      <c r="I2" s="1439" t="s">
        <v>3325</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c r="X2" s="1441" t="s">
        <v>2429</v>
      </c>
      <c r="Y2" s="1441" t="s">
        <v>3402</v>
      </c>
      <c r="Z2" s="1441" t="s">
        <v>2442</v>
      </c>
      <c r="AA2" s="1441" t="s">
        <v>3403</v>
      </c>
      <c r="AB2" s="1441" t="s">
        <v>2469</v>
      </c>
    </row>
    <row r="3" spans="1:28">
      <c r="A3" s="1437" t="s">
        <v>1001</v>
      </c>
      <c r="B3" s="1440" t="s">
        <v>448</v>
      </c>
      <c r="C3" s="1438" t="s">
        <v>316</v>
      </c>
      <c r="D3" s="1439" t="s">
        <v>1002</v>
      </c>
      <c r="E3" s="1439" t="s">
        <v>13</v>
      </c>
      <c r="F3" s="1439" t="s">
        <v>1003</v>
      </c>
      <c r="G3" s="1439">
        <v>40</v>
      </c>
      <c r="H3" s="1439" t="s">
        <v>1003</v>
      </c>
      <c r="I3" s="1439" t="s">
        <v>3326</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c r="X3" s="1441" t="s">
        <v>2431</v>
      </c>
      <c r="Z3" s="1441" t="s">
        <v>2444</v>
      </c>
      <c r="AB3" s="1441" t="s">
        <v>2471</v>
      </c>
    </row>
    <row r="4" spans="1:28">
      <c r="A4" s="1437" t="s">
        <v>1008</v>
      </c>
      <c r="B4" s="1437" t="s">
        <v>1009</v>
      </c>
      <c r="C4" s="1438" t="s">
        <v>317</v>
      </c>
      <c r="D4" s="1439" t="s">
        <v>389</v>
      </c>
      <c r="E4" s="1439" t="s">
        <v>1010</v>
      </c>
      <c r="F4" s="1439" t="s">
        <v>1011</v>
      </c>
      <c r="G4" s="1439">
        <v>50</v>
      </c>
      <c r="H4" s="1439" t="s">
        <v>1011</v>
      </c>
      <c r="I4" s="1439" t="s">
        <v>3327</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c r="X4" s="1441" t="s">
        <v>2433</v>
      </c>
      <c r="Z4" s="1441" t="s">
        <v>2446</v>
      </c>
      <c r="AB4" s="1441" t="s">
        <v>2473</v>
      </c>
    </row>
    <row r="5" spans="1:28">
      <c r="A5" s="1437" t="s">
        <v>1014</v>
      </c>
      <c r="B5" s="1437" t="s">
        <v>1015</v>
      </c>
      <c r="C5" s="1438" t="s">
        <v>318</v>
      </c>
      <c r="F5" s="1439" t="s">
        <v>1016</v>
      </c>
      <c r="G5" s="1439">
        <v>70</v>
      </c>
      <c r="H5" s="1439" t="s">
        <v>1017</v>
      </c>
      <c r="I5" s="1439" t="s">
        <v>3328</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c r="X5" s="1441" t="s">
        <v>2435</v>
      </c>
      <c r="Z5" s="1441" t="s">
        <v>2448</v>
      </c>
      <c r="AB5" s="1441" t="s">
        <v>3404</v>
      </c>
    </row>
    <row r="6" spans="1:28">
      <c r="A6" s="1437" t="s">
        <v>1020</v>
      </c>
      <c r="B6" s="1440" t="s">
        <v>449</v>
      </c>
      <c r="C6" s="1442" t="s">
        <v>24</v>
      </c>
      <c r="F6" s="1439" t="s">
        <v>1017</v>
      </c>
      <c r="H6" s="1439" t="s">
        <v>1021</v>
      </c>
      <c r="I6" s="1439" t="s">
        <v>3329</v>
      </c>
      <c r="K6" s="1439" t="s">
        <v>1022</v>
      </c>
      <c r="L6" s="1439" t="s">
        <v>1022</v>
      </c>
      <c r="M6" s="1439" t="s">
        <v>1022</v>
      </c>
      <c r="N6" s="1439" t="s">
        <v>1022</v>
      </c>
      <c r="O6" s="1439" t="s">
        <v>1022</v>
      </c>
      <c r="P6" s="1439" t="s">
        <v>1022</v>
      </c>
      <c r="Q6" s="1439" t="s">
        <v>1022</v>
      </c>
      <c r="R6" s="1439" t="s">
        <v>446</v>
      </c>
      <c r="S6" s="1439" t="s">
        <v>1022</v>
      </c>
      <c r="T6" s="1439"/>
      <c r="U6" s="1439" t="s">
        <v>1022</v>
      </c>
      <c r="W6" s="1439" t="s">
        <v>1022</v>
      </c>
      <c r="X6" s="1441" t="s">
        <v>2437</v>
      </c>
      <c r="Z6" s="1441" t="s">
        <v>2450</v>
      </c>
      <c r="AB6" s="1441" t="s">
        <v>2476</v>
      </c>
    </row>
    <row r="7" spans="1:28">
      <c r="A7" s="1437" t="s">
        <v>1023</v>
      </c>
      <c r="B7" s="1440" t="s">
        <v>450</v>
      </c>
      <c r="C7" s="1438" t="s">
        <v>25</v>
      </c>
      <c r="F7" s="1439" t="s">
        <v>1024</v>
      </c>
      <c r="H7" s="1439" t="s">
        <v>1025</v>
      </c>
      <c r="I7" s="1439" t="s">
        <v>3330</v>
      </c>
      <c r="X7" s="1441" t="s">
        <v>2439</v>
      </c>
      <c r="Z7" s="1441" t="s">
        <v>2452</v>
      </c>
      <c r="AB7" s="1441" t="s">
        <v>2478</v>
      </c>
    </row>
    <row r="8" spans="1:28">
      <c r="A8" s="1437" t="s">
        <v>1026</v>
      </c>
      <c r="B8" s="1437" t="s">
        <v>1027</v>
      </c>
      <c r="C8" s="1438" t="s">
        <v>319</v>
      </c>
      <c r="F8" s="1439" t="s">
        <v>1028</v>
      </c>
      <c r="H8" s="1439" t="s">
        <v>2567</v>
      </c>
      <c r="I8" s="1439" t="s">
        <v>3331</v>
      </c>
      <c r="X8" s="1441" t="s">
        <v>3405</v>
      </c>
      <c r="Z8" s="1441" t="s">
        <v>2454</v>
      </c>
      <c r="AB8" s="1441" t="s">
        <v>2480</v>
      </c>
    </row>
    <row r="9" spans="1:28">
      <c r="A9" s="1437" t="s">
        <v>1029</v>
      </c>
      <c r="B9" s="1437" t="s">
        <v>1030</v>
      </c>
      <c r="C9" s="1438" t="s">
        <v>320</v>
      </c>
      <c r="F9" s="1439" t="s">
        <v>1031</v>
      </c>
      <c r="H9" s="1439"/>
      <c r="I9" s="1441" t="s">
        <v>3332</v>
      </c>
      <c r="X9" s="1441" t="s">
        <v>3406</v>
      </c>
      <c r="Z9" s="1441" t="s">
        <v>2456</v>
      </c>
      <c r="AB9" s="1441" t="s">
        <v>2482</v>
      </c>
    </row>
    <row r="10" spans="1:28">
      <c r="A10" s="1437" t="s">
        <v>1032</v>
      </c>
      <c r="B10" s="1437" t="s">
        <v>1033</v>
      </c>
      <c r="C10" s="1438" t="s">
        <v>321</v>
      </c>
      <c r="F10" s="1439" t="s">
        <v>2568</v>
      </c>
      <c r="I10" s="1441" t="s">
        <v>3333</v>
      </c>
      <c r="Z10" s="1441" t="s">
        <v>2458</v>
      </c>
      <c r="AB10" s="1441" t="s">
        <v>2484</v>
      </c>
    </row>
    <row r="11" spans="1:28">
      <c r="A11" s="1437" t="s">
        <v>1034</v>
      </c>
      <c r="B11" s="1437" t="s">
        <v>1035</v>
      </c>
      <c r="C11" s="1438" t="s">
        <v>322</v>
      </c>
      <c r="F11" s="1439" t="s">
        <v>13</v>
      </c>
      <c r="I11" s="1441" t="s">
        <v>3334</v>
      </c>
      <c r="Z11" s="1441" t="s">
        <v>2460</v>
      </c>
      <c r="AB11" s="1441" t="s">
        <v>2486</v>
      </c>
    </row>
    <row r="12" spans="1:28">
      <c r="A12" s="1437" t="s">
        <v>1036</v>
      </c>
      <c r="B12" s="1437" t="s">
        <v>1037</v>
      </c>
      <c r="C12" s="1438" t="s">
        <v>323</v>
      </c>
      <c r="I12" s="1441" t="s">
        <v>3335</v>
      </c>
      <c r="Z12" s="1441" t="s">
        <v>2462</v>
      </c>
      <c r="AB12" s="1441" t="s">
        <v>2488</v>
      </c>
    </row>
    <row r="13" spans="1:28">
      <c r="A13" s="1437" t="s">
        <v>1038</v>
      </c>
      <c r="B13" s="1437" t="s">
        <v>1039</v>
      </c>
      <c r="C13" s="1438" t="s">
        <v>324</v>
      </c>
      <c r="I13" s="1441" t="s">
        <v>3336</v>
      </c>
      <c r="Z13" s="1441" t="s">
        <v>2464</v>
      </c>
    </row>
    <row r="14" spans="1:28">
      <c r="A14" s="1437" t="s">
        <v>1040</v>
      </c>
      <c r="B14" s="1437" t="s">
        <v>1041</v>
      </c>
      <c r="C14" s="1439" t="s">
        <v>13</v>
      </c>
      <c r="I14" s="1441" t="s">
        <v>3337</v>
      </c>
      <c r="Z14" s="1441" t="s">
        <v>2466</v>
      </c>
    </row>
    <row r="15" spans="1:28">
      <c r="A15" s="1437" t="s">
        <v>1042</v>
      </c>
      <c r="B15" s="1437" t="s">
        <v>1043</v>
      </c>
      <c r="C15" s="1438"/>
      <c r="I15" s="1441" t="s">
        <v>3338</v>
      </c>
    </row>
    <row r="16" spans="1:28">
      <c r="A16" s="1437" t="s">
        <v>1044</v>
      </c>
      <c r="B16" s="1437" t="s">
        <v>312</v>
      </c>
      <c r="C16" s="1438"/>
    </row>
    <row r="17" spans="1:3">
      <c r="A17" s="1437" t="s">
        <v>1045</v>
      </c>
      <c r="B17" s="1437" t="s">
        <v>2283</v>
      </c>
      <c r="C17" s="1438"/>
    </row>
    <row r="18" spans="1:3">
      <c r="A18" s="1437" t="s">
        <v>1046</v>
      </c>
      <c r="B18" s="1437" t="s">
        <v>2423</v>
      </c>
      <c r="C18" s="1438"/>
    </row>
    <row r="19" spans="1:3">
      <c r="A19" s="1437" t="s">
        <v>1047</v>
      </c>
      <c r="B19" s="1437" t="s">
        <v>313</v>
      </c>
      <c r="C19" s="1438"/>
    </row>
    <row r="20" spans="1:3">
      <c r="A20" s="1437" t="s">
        <v>1048</v>
      </c>
      <c r="B20" s="1437" t="s">
        <v>313</v>
      </c>
      <c r="C20" s="1438"/>
    </row>
    <row r="21" spans="1:3">
      <c r="A21" s="1437" t="s">
        <v>1049</v>
      </c>
      <c r="B21" s="1437" t="s">
        <v>313</v>
      </c>
      <c r="C21" s="1438"/>
    </row>
    <row r="22" spans="1:3">
      <c r="A22" s="1437" t="s">
        <v>1050</v>
      </c>
      <c r="B22" s="1437" t="s">
        <v>313</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29"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1443" t="s">
        <v>385</v>
      </c>
      <c r="C54" s="1441" t="s">
        <v>583</v>
      </c>
    </row>
    <row r="55" spans="1:4">
      <c r="A55" s="3229"/>
      <c r="B55" s="1443" t="s">
        <v>386</v>
      </c>
      <c r="C55" s="1441" t="s">
        <v>584</v>
      </c>
    </row>
    <row r="56" spans="1:4">
      <c r="A56" s="3229"/>
      <c r="B56" s="1443" t="s">
        <v>387</v>
      </c>
      <c r="C56" s="1441" t="s">
        <v>588</v>
      </c>
    </row>
    <row r="57" spans="1:4">
      <c r="A57" s="3229"/>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2490</v>
      </c>
      <c r="B1" s="2753"/>
      <c r="C1" s="2753"/>
      <c r="D1" s="2753"/>
      <c r="E1" s="2753"/>
      <c r="F1" s="2754"/>
      <c r="I1" s="3131" t="s">
        <v>2583</v>
      </c>
      <c r="J1" s="2779"/>
      <c r="K1" s="2779"/>
      <c r="L1" s="2779"/>
      <c r="M1" s="2779"/>
      <c r="N1" s="2964"/>
      <c r="O1" s="2964"/>
      <c r="P1" s="2964"/>
      <c r="Q1" s="2964"/>
      <c r="R1" s="2964"/>
    </row>
    <row r="2" spans="1:18">
      <c r="A2" s="2756"/>
      <c r="B2" s="2757"/>
      <c r="C2" s="2757"/>
      <c r="D2" s="2757"/>
      <c r="E2" s="2757"/>
      <c r="F2" s="2758"/>
      <c r="I2" s="3230" t="s">
        <v>2570</v>
      </c>
      <c r="J2" s="3230"/>
      <c r="K2" s="3230"/>
      <c r="L2" s="3230"/>
      <c r="M2" s="3230"/>
      <c r="N2" s="3230"/>
      <c r="O2" s="3230"/>
      <c r="P2" s="3230"/>
      <c r="Q2" s="3230"/>
      <c r="R2" s="3230"/>
    </row>
    <row r="3" spans="1:18">
      <c r="A3" s="2759" t="s">
        <v>2491</v>
      </c>
      <c r="B3" s="2760">
        <f>项目基本情况!D3</f>
        <v>45924</v>
      </c>
      <c r="C3" s="2762"/>
      <c r="D3" s="2762"/>
      <c r="E3" s="2762"/>
      <c r="F3" s="2758"/>
      <c r="I3" s="2774"/>
      <c r="J3" s="2774" t="s">
        <v>2574</v>
      </c>
      <c r="K3" s="2774" t="s">
        <v>2575</v>
      </c>
      <c r="L3" s="2774" t="s">
        <v>2576</v>
      </c>
      <c r="M3" s="2774" t="s">
        <v>2577</v>
      </c>
      <c r="N3" s="3132" t="s">
        <v>2578</v>
      </c>
      <c r="O3" s="3132" t="s">
        <v>2579</v>
      </c>
      <c r="P3" s="3132" t="s">
        <v>2580</v>
      </c>
      <c r="Q3" s="3132" t="s">
        <v>2581</v>
      </c>
      <c r="R3" s="3132" t="s">
        <v>2582</v>
      </c>
    </row>
    <row r="4" spans="1:18">
      <c r="A4" s="2759" t="s">
        <v>2492</v>
      </c>
      <c r="B4" s="2762" t="s">
        <v>2493</v>
      </c>
      <c r="C4" s="2762" t="s">
        <v>2494</v>
      </c>
      <c r="D4" s="2762" t="s">
        <v>2495</v>
      </c>
      <c r="E4" s="2762" t="s">
        <v>2496</v>
      </c>
      <c r="F4" s="2758"/>
      <c r="I4" s="2774" t="s">
        <v>2571</v>
      </c>
      <c r="J4" s="2774">
        <v>80</v>
      </c>
      <c r="K4" s="2774">
        <v>70</v>
      </c>
      <c r="L4" s="2774">
        <v>20</v>
      </c>
      <c r="M4" s="2774">
        <v>30</v>
      </c>
      <c r="N4" s="2762">
        <v>45</v>
      </c>
      <c r="O4" s="2762">
        <v>60</v>
      </c>
      <c r="P4" s="2762">
        <v>50</v>
      </c>
      <c r="Q4" s="2762">
        <v>20</v>
      </c>
      <c r="R4" s="2762">
        <v>375</v>
      </c>
    </row>
    <row r="5" spans="1:18">
      <c r="A5" s="2763">
        <v>40</v>
      </c>
      <c r="B5" s="2760">
        <v>46375</v>
      </c>
      <c r="C5" s="2762">
        <f>ROUNDDOWN(MIN((B5-B3)/365,A5),2)</f>
        <v>1.23</v>
      </c>
      <c r="D5" s="2764">
        <f>IF(ISERROR(ROUND(POWER(1+E5,A5-C5)*(POWER(1+E5,C5)-1)/(POWER(1+E5,A5)-1),3)),0,ROUND(POWER(1+E5,A5-C5)*(POWER(1+E5,C5)-1)/(POWER(1+E5,A5)-1),4))</f>
        <v>5.9499999999999997E-2</v>
      </c>
      <c r="E5" s="2765">
        <v>0.04</v>
      </c>
      <c r="F5" s="2758"/>
      <c r="I5" s="2774" t="s">
        <v>2572</v>
      </c>
      <c r="J5" s="2774">
        <v>70</v>
      </c>
      <c r="K5" s="2774">
        <v>60</v>
      </c>
      <c r="L5" s="2774">
        <v>15</v>
      </c>
      <c r="M5" s="2774">
        <v>25</v>
      </c>
      <c r="N5" s="2762">
        <v>40</v>
      </c>
      <c r="O5" s="2762">
        <v>50</v>
      </c>
      <c r="P5" s="2762">
        <v>40</v>
      </c>
      <c r="Q5" s="2762">
        <v>15</v>
      </c>
      <c r="R5" s="2762">
        <v>315</v>
      </c>
    </row>
    <row r="6" spans="1:18">
      <c r="A6" s="2763">
        <v>50</v>
      </c>
      <c r="B6" s="2760">
        <v>50028</v>
      </c>
      <c r="C6" s="2762">
        <f>ROUNDDOWN(MIN((B6-B3)/365,A6),2)</f>
        <v>11.24</v>
      </c>
      <c r="D6" s="2764">
        <f>IF(ISERROR(ROUND(POWER(1+E6,A6-C6)*(POWER(1+E6,C6)-1)/(POWER(1+E6,A6)-1),3)),0,ROUND(POWER(1+E6,A6-C6)*(POWER(1+E6,C6)-1)/(POWER(1+E6,A6)-1),4))</f>
        <v>0.41489999999999999</v>
      </c>
      <c r="E6" s="2765">
        <v>0.04</v>
      </c>
      <c r="F6" s="2758"/>
      <c r="I6" s="2774" t="s">
        <v>2573</v>
      </c>
      <c r="J6" s="2774">
        <v>60</v>
      </c>
      <c r="K6" s="2774">
        <v>50</v>
      </c>
      <c r="L6" s="2774">
        <v>10</v>
      </c>
      <c r="M6" s="2774">
        <v>20</v>
      </c>
      <c r="N6" s="2762">
        <v>35</v>
      </c>
      <c r="O6" s="2762">
        <v>40</v>
      </c>
      <c r="P6" s="2762">
        <v>30</v>
      </c>
      <c r="Q6" s="2762">
        <v>10</v>
      </c>
      <c r="R6" s="2762">
        <v>255</v>
      </c>
    </row>
    <row r="7" spans="1:18">
      <c r="A7" s="2763">
        <v>70</v>
      </c>
      <c r="B7" s="2760">
        <v>57333</v>
      </c>
      <c r="C7" s="2762">
        <f>ROUNDDOWN(MIN((B7-B3)/365,A7),2)</f>
        <v>31.25</v>
      </c>
      <c r="D7" s="2764">
        <f>IF(ISERROR(ROUND(POWER(1+E7,A7-C7)*(POWER(1+E7,C7)-1)/(POWER(1+E7,A7)-1),3)),0,ROUND(POWER(1+E7,A7-C7)*(POWER(1+E7,C7)-1)/(POWER(1+E7,A7)-1),4))</f>
        <v>0.75490000000000002</v>
      </c>
      <c r="E7" s="2765">
        <v>0.04</v>
      </c>
      <c r="F7" s="2758"/>
    </row>
    <row r="8" spans="1:18">
      <c r="A8" s="2756"/>
      <c r="B8" s="2757"/>
      <c r="C8" s="2757"/>
      <c r="D8" s="2757"/>
      <c r="E8" s="2757"/>
      <c r="F8" s="2758"/>
    </row>
    <row r="9" spans="1:18">
      <c r="A9" s="2759" t="s">
        <v>2497</v>
      </c>
      <c r="B9" s="2762"/>
      <c r="C9" s="2762"/>
      <c r="D9" s="2762"/>
      <c r="E9" s="2762"/>
      <c r="F9" s="2766"/>
    </row>
    <row r="10" spans="1:18">
      <c r="A10" s="2759" t="s">
        <v>2498</v>
      </c>
      <c r="B10" s="2762"/>
      <c r="C10" s="2762"/>
      <c r="D10" s="2762" t="s">
        <v>2496</v>
      </c>
      <c r="E10" s="2762"/>
      <c r="F10" s="2766" t="s">
        <v>2495</v>
      </c>
    </row>
    <row r="11" spans="1:18">
      <c r="A11" s="2759" t="s">
        <v>2499</v>
      </c>
      <c r="B11" s="2767">
        <v>70</v>
      </c>
      <c r="C11" s="2762" t="s">
        <v>2500</v>
      </c>
      <c r="D11" s="2767">
        <v>4.4999999999999998E-2</v>
      </c>
      <c r="E11" s="2762" t="s">
        <v>2501</v>
      </c>
      <c r="F11" s="2768">
        <f>ROUND(1-(1/(POWER(1+D11,B11))),4)</f>
        <v>0.95409999999999995</v>
      </c>
    </row>
    <row r="12" spans="1:18">
      <c r="A12" s="2759" t="s">
        <v>2502</v>
      </c>
      <c r="B12" s="2767">
        <v>40</v>
      </c>
      <c r="C12" s="2762" t="s">
        <v>2503</v>
      </c>
      <c r="D12" s="2767">
        <v>4.4999999999999998E-2</v>
      </c>
      <c r="E12" s="2762" t="s">
        <v>2504</v>
      </c>
      <c r="F12" s="2768">
        <f>ROUND(1-(1/(POWER(1+D12,B12))),4)</f>
        <v>0.82809999999999995</v>
      </c>
    </row>
    <row r="13" spans="1:18">
      <c r="A13" s="2759" t="s">
        <v>2505</v>
      </c>
      <c r="B13" s="2762"/>
      <c r="C13" s="2762"/>
      <c r="D13" s="2757"/>
      <c r="E13" s="2757"/>
      <c r="F13" s="2758"/>
    </row>
    <row r="14" spans="1:18">
      <c r="A14" s="2759" t="s">
        <v>2506</v>
      </c>
      <c r="B14" s="2767">
        <v>5000</v>
      </c>
      <c r="C14" s="2761"/>
      <c r="D14" s="2757"/>
      <c r="E14" s="2757"/>
      <c r="F14" s="2758"/>
    </row>
    <row r="15" spans="1:18">
      <c r="A15" s="2759" t="s">
        <v>2507</v>
      </c>
      <c r="B15" s="2762">
        <f>ROUND(B14*F12/F11,2)</f>
        <v>4339.6899999999996</v>
      </c>
      <c r="C15" s="2762">
        <f>ROUND(F12/F11,4)</f>
        <v>0.8679</v>
      </c>
      <c r="D15" s="2757"/>
      <c r="E15" s="2757"/>
      <c r="F15" s="2758"/>
    </row>
    <row r="16" spans="1:18">
      <c r="A16" s="2759" t="s">
        <v>2508</v>
      </c>
      <c r="B16" s="2762"/>
      <c r="C16" s="2762"/>
      <c r="D16" s="2757"/>
      <c r="E16" s="2757"/>
      <c r="F16" s="2758"/>
    </row>
    <row r="17" spans="1:14">
      <c r="A17" s="2759" t="s">
        <v>2507</v>
      </c>
      <c r="B17" s="2767">
        <v>4810</v>
      </c>
      <c r="C17" s="2761"/>
      <c r="D17" s="2757"/>
      <c r="E17" s="2757"/>
      <c r="F17" s="2758"/>
    </row>
    <row r="18" spans="1:14" ht="14.25" thickBot="1">
      <c r="A18" s="2769" t="s">
        <v>2506</v>
      </c>
      <c r="B18" s="2770">
        <f>ROUND(B17*F11/F12,2)</f>
        <v>5541.87</v>
      </c>
      <c r="C18" s="2770">
        <f>ROUND(F11/F12,4)</f>
        <v>1.1521999999999999</v>
      </c>
      <c r="D18" s="2771"/>
      <c r="E18" s="2771"/>
      <c r="F18" s="2772"/>
    </row>
    <row r="19" spans="1:14" ht="14.25" thickBot="1"/>
    <row r="20" spans="1:14" s="2805" customFormat="1" ht="14.25" thickTop="1">
      <c r="A20" s="2802" t="s">
        <v>2509</v>
      </c>
      <c r="B20" s="2803"/>
      <c r="C20" s="2803"/>
      <c r="D20" s="2803"/>
      <c r="E20" s="2803"/>
      <c r="F20" s="2803"/>
      <c r="G20" s="2804"/>
      <c r="I20" s="2806" t="s">
        <v>2554</v>
      </c>
      <c r="J20" s="2806" t="s">
        <v>2559</v>
      </c>
      <c r="K20" s="2806"/>
      <c r="L20" s="2806"/>
      <c r="M20" s="2806"/>
    </row>
    <row r="21" spans="1:14">
      <c r="A21" s="2773"/>
      <c r="B21" s="2774" t="s">
        <v>2510</v>
      </c>
      <c r="C21" s="2774" t="s">
        <v>2511</v>
      </c>
      <c r="D21" s="2774" t="s">
        <v>2512</v>
      </c>
      <c r="E21" s="2774" t="s">
        <v>2513</v>
      </c>
      <c r="F21" s="2774" t="s">
        <v>2514</v>
      </c>
      <c r="G21" s="2775" t="s">
        <v>2515</v>
      </c>
      <c r="I21" s="2796">
        <v>5</v>
      </c>
      <c r="J21" s="2796">
        <v>54.2</v>
      </c>
    </row>
    <row r="22" spans="1:14">
      <c r="A22" s="2773" t="s">
        <v>2516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2557</v>
      </c>
      <c r="N23" s="3149" t="s">
        <v>2558</v>
      </c>
    </row>
    <row r="24" spans="1:14">
      <c r="A24" s="2773" t="s">
        <v>2518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2556</v>
      </c>
      <c r="N24" s="3149">
        <v>10</v>
      </c>
    </row>
    <row r="25" spans="1:14">
      <c r="A25" s="2773" t="s">
        <v>2519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2560</v>
      </c>
      <c r="N25" s="3149">
        <v>8</v>
      </c>
    </row>
    <row r="26" spans="1:14">
      <c r="A26" s="2778"/>
      <c r="B26" s="2779"/>
      <c r="C26" s="2779"/>
      <c r="D26" s="2779"/>
      <c r="E26" s="2779"/>
      <c r="F26" s="2779"/>
      <c r="G26" s="2780"/>
      <c r="I26" s="2796">
        <v>30</v>
      </c>
      <c r="J26" s="2796">
        <v>90.5</v>
      </c>
      <c r="K26" s="2796">
        <f t="shared" si="2"/>
        <v>4.2000000000000028</v>
      </c>
      <c r="L26" s="2796" t="s">
        <v>2561</v>
      </c>
      <c r="N26" s="3149">
        <v>5</v>
      </c>
    </row>
    <row r="27" spans="1:14">
      <c r="A27" s="2778" t="s">
        <v>2520</v>
      </c>
      <c r="B27" s="2779"/>
      <c r="C27" s="2779"/>
      <c r="D27" s="2779"/>
      <c r="E27" s="2779"/>
      <c r="F27" s="2779"/>
      <c r="G27" s="2780"/>
      <c r="I27" s="2796">
        <v>35</v>
      </c>
      <c r="J27" s="2796">
        <v>93.8</v>
      </c>
      <c r="K27" s="2796">
        <f t="shared" si="2"/>
        <v>3.2999999999999972</v>
      </c>
      <c r="L27" s="2796" t="s">
        <v>2562</v>
      </c>
      <c r="N27" s="3149">
        <v>3</v>
      </c>
    </row>
    <row r="28" spans="1:14">
      <c r="A28" s="2778" t="s">
        <v>2521</v>
      </c>
      <c r="B28" s="2779"/>
      <c r="C28" s="2779"/>
      <c r="D28" s="2779"/>
      <c r="E28" s="2779"/>
      <c r="F28" s="2779"/>
      <c r="G28" s="2780"/>
      <c r="I28" s="2796">
        <v>40</v>
      </c>
      <c r="J28" s="2796">
        <v>96.4</v>
      </c>
      <c r="K28" s="2796">
        <f t="shared" si="2"/>
        <v>2.6000000000000085</v>
      </c>
      <c r="L28" s="2796" t="s">
        <v>2563</v>
      </c>
      <c r="N28" s="3149">
        <v>2</v>
      </c>
    </row>
    <row r="29" spans="1:14">
      <c r="A29" s="2778" t="s">
        <v>2522</v>
      </c>
      <c r="B29" s="2779"/>
      <c r="C29" s="2779"/>
      <c r="D29" s="2779"/>
      <c r="E29" s="2779"/>
      <c r="F29" s="2779"/>
      <c r="G29" s="2780"/>
      <c r="I29" s="2796">
        <v>45</v>
      </c>
      <c r="J29" s="2796">
        <v>98.4</v>
      </c>
      <c r="K29" s="2796">
        <f t="shared" si="2"/>
        <v>2</v>
      </c>
    </row>
    <row r="30" spans="1:14">
      <c r="A30" s="2778" t="s">
        <v>2523</v>
      </c>
      <c r="B30" s="2779"/>
      <c r="C30" s="2779"/>
      <c r="D30" s="2779"/>
      <c r="E30" s="2779"/>
      <c r="F30" s="2779"/>
      <c r="G30" s="2780"/>
      <c r="I30" s="2796">
        <v>50</v>
      </c>
      <c r="J30" s="2796">
        <v>100</v>
      </c>
      <c r="K30" s="2796">
        <f t="shared" si="2"/>
        <v>1.5999999999999943</v>
      </c>
    </row>
    <row r="31" spans="1:14">
      <c r="A31" s="2778" t="s">
        <v>2524</v>
      </c>
      <c r="B31" s="2779"/>
      <c r="C31" s="2779"/>
      <c r="D31" s="2779"/>
      <c r="E31" s="2779"/>
      <c r="F31" s="2779"/>
      <c r="G31" s="2780"/>
      <c r="I31" s="2796" t="s">
        <v>2555</v>
      </c>
    </row>
    <row r="32" spans="1:14">
      <c r="A32" s="2778" t="s">
        <v>2525</v>
      </c>
      <c r="B32" s="2779"/>
      <c r="C32" s="2779"/>
      <c r="D32" s="2779"/>
      <c r="E32" s="2779"/>
      <c r="F32" s="2779"/>
      <c r="G32" s="2780"/>
    </row>
    <row r="33" spans="1:14">
      <c r="A33" s="2778" t="s">
        <v>2526</v>
      </c>
      <c r="B33" s="2779"/>
      <c r="C33" s="2779"/>
      <c r="D33" s="2779"/>
      <c r="E33" s="2779"/>
      <c r="F33" s="2779"/>
      <c r="G33" s="2780"/>
      <c r="I33" s="2796" t="s">
        <v>2554</v>
      </c>
      <c r="J33" s="2796" t="s">
        <v>2564</v>
      </c>
    </row>
    <row r="34" spans="1:14">
      <c r="A34" s="2778" t="s">
        <v>2527</v>
      </c>
      <c r="B34" s="2779"/>
      <c r="C34" s="2779"/>
      <c r="D34" s="2779"/>
      <c r="E34" s="2779"/>
      <c r="F34" s="2779"/>
      <c r="G34" s="2780"/>
      <c r="I34" s="2796">
        <v>5</v>
      </c>
      <c r="J34" s="2796">
        <v>55.1</v>
      </c>
    </row>
    <row r="35" spans="1:14">
      <c r="A35" s="2778" t="s">
        <v>2528</v>
      </c>
      <c r="B35" s="2779"/>
      <c r="C35" s="2779"/>
      <c r="D35" s="2779"/>
      <c r="E35" s="2779"/>
      <c r="F35" s="2779"/>
      <c r="G35" s="2780"/>
      <c r="I35" s="2796">
        <v>10</v>
      </c>
      <c r="J35" s="2796">
        <v>67</v>
      </c>
      <c r="K35" s="2796">
        <f>J35-J34</f>
        <v>11.899999999999999</v>
      </c>
    </row>
    <row r="36" spans="1:14">
      <c r="A36" s="2778" t="s">
        <v>2529</v>
      </c>
      <c r="B36" s="2779"/>
      <c r="C36" s="2779"/>
      <c r="D36" s="2779"/>
      <c r="E36" s="2779"/>
      <c r="F36" s="2779"/>
      <c r="G36" s="2780"/>
      <c r="I36" s="2796">
        <v>15</v>
      </c>
      <c r="J36" s="2796">
        <v>76.3</v>
      </c>
      <c r="K36" s="2796">
        <f t="shared" ref="K36:K41" si="3">J36-J35</f>
        <v>9.2999999999999972</v>
      </c>
      <c r="L36" s="2796" t="s">
        <v>2557</v>
      </c>
      <c r="N36" s="3149" t="s">
        <v>2558</v>
      </c>
    </row>
    <row r="37" spans="1:14">
      <c r="A37" s="2778" t="s">
        <v>2530</v>
      </c>
      <c r="B37" s="2779"/>
      <c r="C37" s="2779"/>
      <c r="D37" s="2779"/>
      <c r="E37" s="2779"/>
      <c r="F37" s="2779"/>
      <c r="G37" s="2780"/>
      <c r="I37" s="2796">
        <v>20</v>
      </c>
      <c r="J37" s="2796">
        <v>83.6</v>
      </c>
      <c r="K37" s="2796">
        <f t="shared" si="3"/>
        <v>7.2999999999999972</v>
      </c>
      <c r="L37" s="2796" t="s">
        <v>2556</v>
      </c>
      <c r="N37" s="3149">
        <v>10</v>
      </c>
    </row>
    <row r="38" spans="1:14">
      <c r="A38" s="2778" t="s">
        <v>2531</v>
      </c>
      <c r="B38" s="2779"/>
      <c r="C38" s="2779"/>
      <c r="D38" s="2779"/>
      <c r="E38" s="2779"/>
      <c r="F38" s="2779"/>
      <c r="G38" s="2780"/>
      <c r="I38" s="2796">
        <v>25</v>
      </c>
      <c r="J38" s="2796">
        <v>89.3</v>
      </c>
      <c r="K38" s="2796">
        <f t="shared" si="3"/>
        <v>5.7000000000000028</v>
      </c>
      <c r="L38" s="2796" t="s">
        <v>2560</v>
      </c>
      <c r="N38" s="3149">
        <v>8</v>
      </c>
    </row>
    <row r="39" spans="1:14">
      <c r="A39" s="2778"/>
      <c r="B39" s="2779"/>
      <c r="C39" s="2779"/>
      <c r="D39" s="2779"/>
      <c r="E39" s="2779"/>
      <c r="F39" s="2779"/>
      <c r="G39" s="2780"/>
      <c r="I39" s="2796">
        <v>30</v>
      </c>
      <c r="J39" s="2796">
        <v>93.8</v>
      </c>
      <c r="K39" s="2796">
        <f t="shared" si="3"/>
        <v>4.5</v>
      </c>
      <c r="L39" s="2796" t="s">
        <v>2561</v>
      </c>
      <c r="N39" s="3149">
        <v>6</v>
      </c>
    </row>
    <row r="40" spans="1:14">
      <c r="A40" s="2781" t="s">
        <v>2532</v>
      </c>
      <c r="B40" s="2782"/>
      <c r="C40" s="2782"/>
      <c r="D40" s="2782"/>
      <c r="E40" s="2782"/>
      <c r="F40" s="2782"/>
      <c r="G40" s="2783"/>
      <c r="I40" s="2796">
        <v>35</v>
      </c>
      <c r="J40" s="2796">
        <v>97.2</v>
      </c>
      <c r="K40" s="2796">
        <f t="shared" si="3"/>
        <v>3.4000000000000057</v>
      </c>
      <c r="L40" s="2796" t="s">
        <v>2562</v>
      </c>
      <c r="N40" s="3149">
        <v>3</v>
      </c>
    </row>
    <row r="41" spans="1:14">
      <c r="A41" s="2784" t="s">
        <v>2533</v>
      </c>
      <c r="B41" s="2785" t="s">
        <v>2534</v>
      </c>
      <c r="C41" s="2786" t="s">
        <v>2535</v>
      </c>
      <c r="D41" s="2786" t="s">
        <v>2536</v>
      </c>
      <c r="E41" s="2787"/>
      <c r="F41" s="2788"/>
      <c r="G41" s="2789"/>
      <c r="I41" s="2796">
        <v>40</v>
      </c>
      <c r="J41" s="2796">
        <v>100</v>
      </c>
      <c r="K41" s="2796">
        <f t="shared" si="3"/>
        <v>2.7999999999999972</v>
      </c>
    </row>
    <row r="42" spans="1:14">
      <c r="A42" s="2784" t="s">
        <v>2537</v>
      </c>
      <c r="B42" s="2785" t="s">
        <v>2538</v>
      </c>
      <c r="C42" s="2786" t="s">
        <v>2539</v>
      </c>
      <c r="D42" s="2790" t="s">
        <v>2540</v>
      </c>
      <c r="E42" s="2782" t="s">
        <v>2541</v>
      </c>
      <c r="F42" s="2782"/>
      <c r="G42" s="2783"/>
    </row>
    <row r="43" spans="1:14">
      <c r="A43" s="2784" t="s">
        <v>2542</v>
      </c>
      <c r="B43" s="2785" t="s">
        <v>2543</v>
      </c>
      <c r="C43" s="2786" t="s">
        <v>2544</v>
      </c>
      <c r="D43" s="2786" t="s">
        <v>2545</v>
      </c>
      <c r="E43" s="2787" t="s">
        <v>2546</v>
      </c>
      <c r="F43" s="2788"/>
      <c r="G43" s="2789"/>
      <c r="I43" s="2796" t="s">
        <v>2554</v>
      </c>
      <c r="J43" s="2796" t="s">
        <v>2565</v>
      </c>
    </row>
    <row r="44" spans="1:14">
      <c r="A44" s="2784" t="s">
        <v>2547</v>
      </c>
      <c r="B44" s="2785" t="s">
        <v>2548</v>
      </c>
      <c r="C44" s="2786" t="s">
        <v>2549</v>
      </c>
      <c r="D44" s="2790">
        <v>0.5</v>
      </c>
      <c r="E44" s="2787" t="s">
        <v>2550</v>
      </c>
      <c r="F44" s="2788"/>
      <c r="G44" s="2789"/>
      <c r="I44" s="2796">
        <v>30</v>
      </c>
      <c r="J44" s="2796">
        <v>81.7</v>
      </c>
    </row>
    <row r="45" spans="1:14" ht="14.25" thickBot="1">
      <c r="A45" s="2791" t="s">
        <v>2551</v>
      </c>
      <c r="B45" s="2792" t="s">
        <v>2538</v>
      </c>
      <c r="C45" s="2793" t="s">
        <v>2538</v>
      </c>
      <c r="D45" s="2793" t="s">
        <v>2552</v>
      </c>
      <c r="E45" s="2794" t="s">
        <v>2553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3375</v>
      </c>
    </row>
    <row r="50" spans="1:4">
      <c r="A50" s="3141" t="s">
        <v>3376</v>
      </c>
      <c r="B50" s="3141" t="s">
        <v>3377</v>
      </c>
      <c r="C50" s="3141" t="s">
        <v>3378</v>
      </c>
      <c r="D50" s="3141" t="s">
        <v>3379</v>
      </c>
    </row>
    <row r="51" spans="1:4">
      <c r="A51" s="3141" t="s">
        <v>3380</v>
      </c>
      <c r="B51" s="2761">
        <f>B52+B53</f>
        <v>15000</v>
      </c>
      <c r="C51" s="3142">
        <f>D51/B51</f>
        <v>2666.6666666666665</v>
      </c>
      <c r="D51" s="2761">
        <f>D52+D53</f>
        <v>40000000</v>
      </c>
    </row>
    <row r="52" spans="1:4">
      <c r="A52" s="3143" t="s">
        <v>3381</v>
      </c>
      <c r="B52" s="3144">
        <v>10000</v>
      </c>
      <c r="C52" s="3144">
        <v>1500</v>
      </c>
      <c r="D52" s="3145">
        <f>C52*B52</f>
        <v>15000000</v>
      </c>
    </row>
    <row r="53" spans="1:4">
      <c r="A53" s="3143" t="s">
        <v>3382</v>
      </c>
      <c r="B53" s="3144">
        <v>5000</v>
      </c>
      <c r="C53" s="3144">
        <v>5000</v>
      </c>
      <c r="D53" s="3145">
        <f>C53*B53</f>
        <v>25000000</v>
      </c>
    </row>
    <row r="54" spans="1:4">
      <c r="A54" s="3141" t="s">
        <v>3383</v>
      </c>
      <c r="B54" s="2761">
        <f>B51</f>
        <v>15000</v>
      </c>
      <c r="C54" s="2767">
        <v>700</v>
      </c>
      <c r="D54" s="2761">
        <f t="shared" ref="D54:D55" si="5">C54*B54</f>
        <v>10500000</v>
      </c>
    </row>
    <row r="55" spans="1:4">
      <c r="A55" s="3141" t="s">
        <v>3384</v>
      </c>
      <c r="B55" s="2761">
        <f>B51</f>
        <v>15000</v>
      </c>
      <c r="C55" s="2767">
        <v>1500</v>
      </c>
      <c r="D55" s="2761">
        <f t="shared" si="5"/>
        <v>22500000</v>
      </c>
    </row>
    <row r="56" spans="1:4">
      <c r="A56" s="3141" t="s">
        <v>3385</v>
      </c>
      <c r="B56" s="2761">
        <f>B51</f>
        <v>15000</v>
      </c>
      <c r="C56" s="3146">
        <f>C51+C54+C55</f>
        <v>4866.6666666666661</v>
      </c>
      <c r="D56" s="2761">
        <f>D51+D54+D55</f>
        <v>73000000</v>
      </c>
    </row>
    <row r="58" spans="1:4">
      <c r="A58" s="3141" t="s">
        <v>3386</v>
      </c>
      <c r="B58" s="3147">
        <v>0.05</v>
      </c>
      <c r="C58" s="2761">
        <f>C56*(1+B58)</f>
        <v>5110</v>
      </c>
      <c r="D58" s="2761">
        <f>D56*B58</f>
        <v>3650000</v>
      </c>
    </row>
    <row r="60" spans="1:4">
      <c r="A60" s="3141" t="s">
        <v>3387</v>
      </c>
      <c r="B60" s="2767">
        <v>3500</v>
      </c>
      <c r="C60" s="2767">
        <f>C53</f>
        <v>5000</v>
      </c>
      <c r="D60" s="2761">
        <f>C60*B60</f>
        <v>17500000</v>
      </c>
    </row>
    <row r="62" spans="1:4">
      <c r="A62" s="3141" t="s">
        <v>3388</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29" sqref="H29"/>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9" customWidth="1"/>
    <col min="12" max="13" width="10" style="2410"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7" t="s">
        <v>2167</v>
      </c>
      <c r="B1" s="3238" t="str">
        <f>IF(B10="北京市","北京市",C10)&amp;F10&amp;IF(结果表!G1="在建","出让国有建设用地使用权及在建建筑物",IF(结果表!G1="土地","出让国有建设用地使用权",))&amp;B9&amp;"预评估"</f>
        <v>北京市房地产抵押价值预评估</v>
      </c>
      <c r="C1" s="3239"/>
      <c r="D1" s="3239"/>
      <c r="E1" s="3239"/>
      <c r="F1" s="3239"/>
      <c r="G1" s="3239"/>
      <c r="H1" s="3239"/>
      <c r="I1" s="3240"/>
      <c r="J1" s="2241"/>
      <c r="K1" s="2179"/>
      <c r="L1" s="2180"/>
      <c r="M1" s="2180"/>
      <c r="N1" s="2178"/>
      <c r="O1" s="1462"/>
      <c r="P1" s="2178"/>
      <c r="Q1" s="2178"/>
      <c r="R1" s="2178"/>
      <c r="S1" s="1557" t="str">
        <f>IF(B10="北京市","北京市",C10)&amp;F10&amp;IF(结果表!G1="在建","出让国有建设用地使用权及在建建筑物房地产抵押价值",IF(结果表!G1="土地","出让国有建设用地使用权抵押价值",B9))</f>
        <v>北京市房地产抵押价值</v>
      </c>
      <c r="T1" s="1614"/>
      <c r="U1" s="1614"/>
      <c r="V1" s="1614"/>
      <c r="W1" s="1614"/>
      <c r="X1" s="1614"/>
      <c r="Y1" s="1614"/>
      <c r="Z1" s="1614"/>
      <c r="AA1" s="1614"/>
      <c r="AB1" s="1614"/>
    </row>
    <row r="2" spans="1:30">
      <c r="A2" s="2178" t="s">
        <v>2168</v>
      </c>
      <c r="B2" s="120"/>
      <c r="D2" s="2444"/>
      <c r="E2" s="2437"/>
      <c r="F2" s="2437"/>
      <c r="G2" s="2438"/>
      <c r="H2" s="2438"/>
      <c r="I2" s="2438"/>
      <c r="J2" s="2241"/>
      <c r="K2" s="2179"/>
      <c r="L2" s="2180"/>
      <c r="M2" s="2180"/>
      <c r="N2" s="2178"/>
      <c r="O2" s="1462"/>
      <c r="P2" s="2178"/>
      <c r="Q2" s="2178"/>
      <c r="R2" s="2178"/>
      <c r="S2" s="1557" t="str">
        <f>IF(B10="北京市","北京市",C10)&amp;F10&amp;IF(结果表!G1="在建","出让国有建设用地使用权及在建建筑物房地产",IF(结果表!G1="土地","出让国有建设用地使用权","房地产"))</f>
        <v>北京市房地产</v>
      </c>
      <c r="T2" s="1614"/>
      <c r="U2" s="1614"/>
      <c r="V2" s="1614"/>
      <c r="W2" s="1614"/>
      <c r="X2" s="1614"/>
      <c r="Y2" s="1614"/>
      <c r="Z2" s="1614"/>
      <c r="AA2" s="1614"/>
      <c r="AB2" s="1614"/>
    </row>
    <row r="3" spans="1:30">
      <c r="A3" s="292" t="s">
        <v>2169</v>
      </c>
      <c r="B3" s="2181">
        <v>45924</v>
      </c>
      <c r="C3" s="2182" t="s">
        <v>2170</v>
      </c>
      <c r="D3" s="2181">
        <v>45924</v>
      </c>
      <c r="E3" s="2438"/>
      <c r="F3" s="2438"/>
      <c r="G3" s="2438"/>
      <c r="H3" s="2438"/>
      <c r="I3" s="2438"/>
      <c r="J3" s="2241"/>
      <c r="K3" s="2179"/>
      <c r="L3" s="2180"/>
      <c r="M3" s="2180"/>
      <c r="N3" s="2178"/>
      <c r="O3" s="1462"/>
      <c r="P3" s="2178"/>
      <c r="Q3" s="2178"/>
      <c r="R3" s="2178"/>
      <c r="S3" s="1557"/>
      <c r="T3" s="1614"/>
      <c r="U3" s="1614"/>
      <c r="V3" s="1614"/>
      <c r="W3" s="1614"/>
      <c r="X3" s="1614"/>
      <c r="Y3" s="1614"/>
      <c r="Z3" s="1614"/>
      <c r="AA3" s="1614"/>
      <c r="AB3" s="1614"/>
    </row>
    <row r="4" spans="1:30" ht="13.5" thickBot="1">
      <c r="A4" s="1023" t="s">
        <v>2171</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2"/>
      <c r="P4" s="2178"/>
      <c r="Q4" s="2178"/>
      <c r="R4" s="2178"/>
      <c r="S4" s="1557"/>
      <c r="T4" s="1614"/>
      <c r="U4" s="1614"/>
      <c r="V4" s="1614"/>
      <c r="W4" s="1614"/>
      <c r="X4" s="1614"/>
      <c r="Y4" s="1614"/>
      <c r="Z4" s="1614"/>
      <c r="AA4" s="1614"/>
      <c r="AB4" s="1614"/>
    </row>
    <row r="5" spans="1:30" ht="13.5" thickTop="1">
      <c r="A5" s="2186" t="s">
        <v>2172</v>
      </c>
      <c r="B5" s="2187"/>
      <c r="C5" s="2188"/>
      <c r="D5" s="2189"/>
      <c r="E5" s="2438"/>
      <c r="F5" s="2438"/>
      <c r="G5" s="2438"/>
      <c r="H5" s="2438"/>
      <c r="I5" s="2438"/>
      <c r="J5" s="2241"/>
      <c r="K5" s="2185" t="str">
        <f>IF(F4="——","",IF(H4="——",F4&amp;"（注册号："&amp;G4&amp;")",CONCATENATE(F4,"（注册号：",G4,")、",H4,"（注册号：",I4,")")))</f>
        <v>（注册号：0)、（注册号：0)</v>
      </c>
      <c r="L5" s="2180"/>
      <c r="M5" s="2180"/>
      <c r="N5" s="2178"/>
      <c r="O5" s="1462"/>
      <c r="P5" s="2178"/>
      <c r="Q5" s="2178"/>
      <c r="R5" s="2178"/>
      <c r="S5" s="1614"/>
      <c r="T5" s="1614"/>
      <c r="U5" s="1614"/>
      <c r="V5" s="1614"/>
      <c r="W5" s="1614"/>
      <c r="X5" s="1614"/>
      <c r="Y5" s="1614"/>
      <c r="Z5" s="1614"/>
      <c r="AA5" s="1614"/>
      <c r="AB5" s="1614"/>
    </row>
    <row r="6" spans="1:30">
      <c r="A6" s="2190" t="s">
        <v>2173</v>
      </c>
      <c r="B6" s="2191"/>
      <c r="C6" s="2192"/>
      <c r="D6" s="2193"/>
      <c r="E6" s="2437"/>
      <c r="F6" s="2438"/>
      <c r="G6" s="2438"/>
      <c r="H6" s="2438"/>
      <c r="I6" s="2438"/>
      <c r="J6" s="2241"/>
      <c r="K6" s="2397" t="str">
        <f>IF(COUNTIF(B6,"*上海银行*"),"上海银行","")</f>
        <v/>
      </c>
      <c r="L6" s="2395"/>
      <c r="M6" s="2395"/>
      <c r="N6" s="2241"/>
      <c r="O6" s="1666"/>
      <c r="P6" s="2241"/>
      <c r="Q6" s="2241"/>
      <c r="R6" s="2241"/>
    </row>
    <row r="7" spans="1:30">
      <c r="A7" s="2190" t="s">
        <v>2174</v>
      </c>
      <c r="B7" s="2194"/>
      <c r="C7" s="2192"/>
      <c r="D7" s="2193"/>
      <c r="E7" s="2437"/>
      <c r="F7" s="2438"/>
      <c r="G7" s="2438"/>
      <c r="H7" s="2438"/>
      <c r="I7" s="2438"/>
      <c r="J7" s="2241"/>
      <c r="K7" s="2398"/>
      <c r="L7" s="2395"/>
      <c r="M7" s="2395"/>
      <c r="N7" s="2241"/>
      <c r="O7" s="1666"/>
      <c r="P7" s="2241"/>
      <c r="Q7" s="2241"/>
      <c r="R7" s="2241"/>
    </row>
    <row r="8" spans="1:30">
      <c r="A8" s="2195" t="s">
        <v>2175</v>
      </c>
      <c r="B8" s="2196" t="s">
        <v>3407</v>
      </c>
      <c r="C8" s="2197"/>
      <c r="D8" s="3241" t="s">
        <v>2176</v>
      </c>
      <c r="E8" s="2198" t="s">
        <v>3408</v>
      </c>
      <c r="F8" s="2199"/>
      <c r="G8" s="2438"/>
      <c r="H8" s="2438"/>
      <c r="I8" s="2438"/>
      <c r="J8" s="2241"/>
      <c r="K8" s="2396"/>
      <c r="L8" s="2395"/>
      <c r="M8" s="2395"/>
      <c r="N8" s="2241"/>
      <c r="O8" s="1666"/>
      <c r="P8" s="2241"/>
      <c r="Q8" s="2241"/>
      <c r="R8" s="2241"/>
    </row>
    <row r="9" spans="1:30" ht="13.5" thickBot="1">
      <c r="A9" s="2200" t="s">
        <v>2177</v>
      </c>
      <c r="B9" s="2201" t="s">
        <v>3408</v>
      </c>
      <c r="C9" s="2202"/>
      <c r="D9" s="3242"/>
      <c r="E9" s="2201" t="s">
        <v>43</v>
      </c>
      <c r="F9" s="2203"/>
      <c r="G9" s="2439"/>
      <c r="H9" s="2439"/>
      <c r="I9" s="2439"/>
      <c r="J9" s="2241"/>
      <c r="K9" s="2398"/>
      <c r="L9" s="2395"/>
      <c r="M9" s="2395"/>
      <c r="N9" s="2241"/>
      <c r="O9" s="1666"/>
      <c r="P9" s="2241"/>
      <c r="Q9" s="2241"/>
      <c r="R9" s="2241"/>
    </row>
    <row r="10" spans="1:30" ht="13.5" thickTop="1">
      <c r="A10" s="2204" t="s">
        <v>2178</v>
      </c>
      <c r="B10" s="2205" t="s">
        <v>3409</v>
      </c>
      <c r="C10" s="2206"/>
      <c r="D10" s="2189"/>
      <c r="E10" s="2207" t="s">
        <v>2179</v>
      </c>
      <c r="F10" s="2440"/>
      <c r="G10" s="2441"/>
      <c r="H10" s="2442"/>
      <c r="I10" s="2443"/>
      <c r="J10" s="2241"/>
      <c r="K10" s="2398"/>
      <c r="L10" s="2395"/>
      <c r="M10" s="2395"/>
      <c r="N10" s="2241"/>
      <c r="O10" s="1666"/>
      <c r="P10" s="2241"/>
      <c r="Q10" s="2241"/>
      <c r="R10" s="2241"/>
    </row>
    <row r="11" spans="1:30">
      <c r="A11" s="2208" t="s">
        <v>2180</v>
      </c>
      <c r="B11" s="2209" t="s">
        <v>3410</v>
      </c>
      <c r="C11" s="2210"/>
      <c r="D11" s="2211"/>
      <c r="E11" s="2178"/>
      <c r="F11" s="2178"/>
      <c r="G11" s="2178"/>
      <c r="H11" s="2178"/>
      <c r="I11" s="2178"/>
      <c r="J11" s="2798"/>
      <c r="K11" s="2395"/>
      <c r="L11" s="2395"/>
      <c r="M11" s="2395"/>
      <c r="N11" s="2241"/>
      <c r="O11" s="1666"/>
      <c r="P11" s="2241"/>
      <c r="Q11" s="2241"/>
      <c r="R11" s="2241"/>
    </row>
    <row r="12" spans="1:30">
      <c r="A12" s="2212" t="s">
        <v>2181</v>
      </c>
      <c r="B12" s="313" t="s">
        <v>2182</v>
      </c>
      <c r="C12" s="2213" t="s">
        <v>2183</v>
      </c>
      <c r="D12" s="2213" t="s">
        <v>2184</v>
      </c>
      <c r="E12" s="2213" t="s">
        <v>2185</v>
      </c>
      <c r="F12" s="2213" t="s">
        <v>2186</v>
      </c>
      <c r="G12" s="2213" t="s">
        <v>2187</v>
      </c>
      <c r="H12" s="2213" t="s">
        <v>2188</v>
      </c>
      <c r="I12" s="2797" t="s">
        <v>2566</v>
      </c>
      <c r="J12" s="2799"/>
      <c r="K12" s="2395"/>
      <c r="L12" s="2395"/>
      <c r="M12" s="2241"/>
      <c r="N12" s="1666"/>
      <c r="O12" s="2241"/>
      <c r="P12" s="2241"/>
      <c r="Q12" s="2241"/>
      <c r="AD12" s="1614"/>
    </row>
    <row r="13" spans="1:30">
      <c r="A13" s="3118" t="s">
        <v>3320</v>
      </c>
      <c r="B13" s="2214" t="s">
        <v>2189</v>
      </c>
      <c r="C13" s="799">
        <v>71072</v>
      </c>
      <c r="D13" s="799">
        <v>60115</v>
      </c>
      <c r="E13" s="799"/>
      <c r="F13" s="799">
        <v>63767</v>
      </c>
      <c r="G13" s="799">
        <v>63767</v>
      </c>
      <c r="H13" s="799"/>
      <c r="I13" s="799"/>
      <c r="J13" s="2799"/>
      <c r="K13" s="2395"/>
      <c r="L13" s="2395"/>
      <c r="M13" s="2241"/>
      <c r="N13" s="1666"/>
      <c r="O13" s="2241"/>
      <c r="P13" s="2241"/>
      <c r="Q13" s="2241"/>
      <c r="AD13" s="1614"/>
    </row>
    <row r="14" spans="1:30">
      <c r="A14" s="1014"/>
      <c r="B14" s="2214" t="s">
        <v>2190</v>
      </c>
      <c r="C14" s="2215">
        <v>70</v>
      </c>
      <c r="D14" s="2215">
        <v>40</v>
      </c>
      <c r="E14" s="2215"/>
      <c r="F14" s="2215">
        <v>50</v>
      </c>
      <c r="G14" s="2215">
        <v>50</v>
      </c>
      <c r="H14" s="2215"/>
      <c r="I14" s="2215"/>
      <c r="J14" s="2800"/>
      <c r="K14" s="2395"/>
      <c r="L14" s="2395"/>
      <c r="M14" s="2241"/>
      <c r="N14" s="1666"/>
      <c r="O14" s="2241"/>
      <c r="P14" s="2241"/>
      <c r="Q14" s="2241"/>
      <c r="AD14" s="1614"/>
    </row>
    <row r="15" spans="1:30">
      <c r="A15" s="310"/>
      <c r="B15" s="2216" t="s">
        <v>2191</v>
      </c>
      <c r="C15" s="2217">
        <f>IF(A13="出让",IF(C13="","",ROUNDDOWN(MIN((C13-$D$3)/365,C14),2)),C14)</f>
        <v>68.89</v>
      </c>
      <c r="D15" s="2217">
        <f>IF(A13="出让",IF(D13="","",ROUNDDOWN(MIN((D13-$D$3)/365,D14),2)),D14)</f>
        <v>38.869999999999997</v>
      </c>
      <c r="E15" s="2217" t="str">
        <f>IF(A13="出让",IF(E13="","",ROUNDDOWN(MIN((E13-$D$3)/365,E14),2)),E14)</f>
        <v/>
      </c>
      <c r="F15" s="2217">
        <f>IF(A13="出让",IF(F13="","",ROUNDDOWN(MIN((F13-$D$3)/365,F14),2)),F14)</f>
        <v>48.88</v>
      </c>
      <c r="G15" s="2217">
        <f>IF(A13="出让",IF(G13="","",ROUNDDOWN(MIN((G13-$D$3)/365,G14),2)),G14)</f>
        <v>48.88</v>
      </c>
      <c r="H15" s="2217" t="str">
        <f>IF(A13="出让",IF(H13="","",ROUNDDOWN(MIN((H13-$D$3)/365,H14),2)),H14)</f>
        <v/>
      </c>
      <c r="I15" s="2217" t="str">
        <f>IF(A13="出让",IF(I13="","",ROUNDDOWN(MIN((I13-$D$3)/365,I14),2)),I14)</f>
        <v/>
      </c>
      <c r="J15" s="2801"/>
      <c r="K15" s="1666"/>
      <c r="L15" s="1666"/>
      <c r="M15" s="2241"/>
      <c r="N15" s="1666"/>
      <c r="O15" s="2241"/>
      <c r="P15" s="2241"/>
      <c r="Q15" s="2241"/>
      <c r="AD15" s="1614"/>
    </row>
    <row r="16" spans="1:30">
      <c r="A16" s="2207" t="s">
        <v>2192</v>
      </c>
      <c r="B16" s="3248"/>
      <c r="C16" s="3249"/>
      <c r="D16" s="3250"/>
      <c r="E16" s="2218" t="s">
        <v>2193</v>
      </c>
      <c r="F16" s="3251"/>
      <c r="G16" s="3252"/>
      <c r="H16" s="3252"/>
      <c r="I16" s="3253"/>
      <c r="J16" s="2241"/>
      <c r="K16" s="2399"/>
      <c r="L16" s="1666"/>
      <c r="M16" s="1666"/>
      <c r="N16" s="2241"/>
      <c r="O16" s="1666"/>
      <c r="P16" s="2241"/>
      <c r="Q16" s="2241"/>
      <c r="R16" s="2241"/>
    </row>
    <row r="17" spans="1:28">
      <c r="A17" s="303" t="s">
        <v>2194</v>
      </c>
      <c r="B17" s="292" t="s">
        <v>2195</v>
      </c>
      <c r="C17" s="8">
        <f>'数据-汇总表'!E3</f>
        <v>74353.649999999776</v>
      </c>
      <c r="D17" s="1252" t="s">
        <v>2196</v>
      </c>
      <c r="E17" s="3254" t="s">
        <v>2197</v>
      </c>
      <c r="F17" s="3255"/>
      <c r="G17" s="3255"/>
      <c r="H17" s="3255"/>
      <c r="I17" s="3256"/>
      <c r="J17" s="2241"/>
      <c r="K17" s="2400"/>
      <c r="L17" s="1666"/>
      <c r="M17" s="1666"/>
      <c r="N17" s="2241"/>
      <c r="O17" s="1666"/>
      <c r="P17" s="2241"/>
      <c r="Q17" s="2241"/>
      <c r="R17" s="2241"/>
      <c r="S17" s="2241"/>
      <c r="T17" s="2241"/>
      <c r="U17" s="2241"/>
      <c r="V17" s="2241"/>
    </row>
    <row r="18" spans="1:28" ht="24.75" thickBot="1">
      <c r="A18" s="2219" t="s">
        <v>2198</v>
      </c>
      <c r="B18" s="1023" t="s">
        <v>2199</v>
      </c>
      <c r="C18" s="2220">
        <f>'数据-汇总表'!D3</f>
        <v>25963.4</v>
      </c>
      <c r="D18" s="1025" t="s">
        <v>2200</v>
      </c>
      <c r="E18" s="3257" t="s">
        <v>2201</v>
      </c>
      <c r="F18" s="3258"/>
      <c r="G18" s="3258"/>
      <c r="H18" s="3258"/>
      <c r="I18" s="3259"/>
      <c r="J18" s="2241"/>
      <c r="K18" s="2400"/>
      <c r="L18" s="1666"/>
      <c r="M18" s="1666"/>
      <c r="N18" s="2241"/>
      <c r="O18" s="1666"/>
      <c r="P18" s="2241"/>
      <c r="Q18" s="2241"/>
      <c r="R18" s="2241"/>
      <c r="S18" s="2241"/>
      <c r="T18" s="2241"/>
      <c r="U18" s="2241"/>
      <c r="V18" s="2241"/>
    </row>
    <row r="19" spans="1:28" ht="37.5" thickTop="1" thickBot="1">
      <c r="A19" s="317" t="s">
        <v>1055</v>
      </c>
      <c r="B19" s="297" t="s">
        <v>2202</v>
      </c>
      <c r="C19" s="1451"/>
      <c r="D19" s="1452" t="s">
        <v>2203</v>
      </c>
      <c r="E19" s="1453"/>
      <c r="F19" s="1454" t="str">
        <f>IF(AND(C19="是",E19="否"),"是否提供他项权证或相关说明","")</f>
        <v/>
      </c>
      <c r="G19" s="1455"/>
      <c r="H19" s="2438"/>
      <c r="I19" s="2438"/>
      <c r="J19" s="2241"/>
      <c r="K19" s="2398"/>
      <c r="L19" s="2395"/>
      <c r="M19" s="2395"/>
      <c r="N19" s="2241"/>
      <c r="O19" s="1666"/>
      <c r="P19" s="2241"/>
      <c r="Q19" s="2241"/>
      <c r="R19" s="2241"/>
      <c r="S19" s="2241"/>
      <c r="T19" s="2241"/>
      <c r="U19" s="2241"/>
      <c r="V19" s="2241"/>
    </row>
    <row r="20" spans="1:28">
      <c r="A20" s="2413" t="s">
        <v>2204</v>
      </c>
      <c r="B20" s="3244" t="s">
        <v>2205</v>
      </c>
      <c r="C20" s="3245"/>
      <c r="D20" s="3246" t="s">
        <v>2206</v>
      </c>
      <c r="E20" s="3247"/>
      <c r="F20" s="2426" t="s">
        <v>1056</v>
      </c>
      <c r="G20" s="2438"/>
      <c r="H20" s="2438"/>
      <c r="I20" s="2438"/>
      <c r="J20" s="2241"/>
      <c r="K20" s="3243"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2"/>
      <c r="P20" s="2178"/>
      <c r="Q20" s="2178"/>
      <c r="R20" s="2178"/>
      <c r="S20" s="2178"/>
      <c r="T20" s="2178"/>
      <c r="U20" s="2178"/>
      <c r="V20" s="2178"/>
      <c r="W20" s="1614"/>
      <c r="X20" s="1614"/>
      <c r="Y20" s="1614"/>
      <c r="Z20" s="1614"/>
      <c r="AA20" s="1614"/>
      <c r="AB20" s="1614"/>
    </row>
    <row r="21" spans="1:28" ht="24.75" thickBot="1">
      <c r="A21" s="2413"/>
      <c r="B21" s="2414" t="s">
        <v>2208</v>
      </c>
      <c r="C21" s="2292" t="s">
        <v>1057</v>
      </c>
      <c r="D21" s="1456" t="s">
        <v>2209</v>
      </c>
      <c r="E21" s="2415" t="s">
        <v>1057</v>
      </c>
      <c r="F21" s="2427"/>
      <c r="G21" s="2438"/>
      <c r="H21" s="2438"/>
      <c r="I21" s="2438"/>
      <c r="J21" s="2241"/>
      <c r="K21" s="3243"/>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2"/>
      <c r="P21" s="2178"/>
      <c r="Q21" s="2178"/>
      <c r="R21" s="2178"/>
      <c r="S21" s="2178"/>
      <c r="T21" s="2178"/>
      <c r="U21" s="2178"/>
      <c r="V21" s="2178"/>
      <c r="W21" s="1614"/>
      <c r="X21" s="1614"/>
      <c r="Y21" s="1614"/>
      <c r="Z21" s="1614"/>
      <c r="AA21" s="1614"/>
      <c r="AB21" s="1614"/>
    </row>
    <row r="22" spans="1:28" ht="24.75" thickBot="1">
      <c r="A22" s="2413"/>
      <c r="B22" s="2416" t="s">
        <v>2210</v>
      </c>
      <c r="C22" s="2292" t="s">
        <v>1058</v>
      </c>
      <c r="D22" s="2438"/>
      <c r="E22" s="2438"/>
      <c r="F22" s="2438"/>
      <c r="G22" s="2438"/>
      <c r="H22" s="2438"/>
      <c r="I22" s="2438"/>
      <c r="J22" s="2241"/>
      <c r="K22" s="3243"/>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2"/>
      <c r="P22" s="2178"/>
      <c r="Q22" s="2178"/>
      <c r="R22" s="2178"/>
      <c r="S22" s="2178"/>
      <c r="T22" s="2178"/>
      <c r="U22" s="2178"/>
      <c r="V22" s="2178"/>
      <c r="W22" s="1614"/>
      <c r="X22" s="1614"/>
      <c r="Y22" s="1614"/>
      <c r="Z22" s="1614"/>
      <c r="AA22" s="1614"/>
      <c r="AB22" s="1614"/>
    </row>
    <row r="23" spans="1:28">
      <c r="A23" s="2417" t="s">
        <v>2211</v>
      </c>
      <c r="B23" s="2289" t="s">
        <v>2212</v>
      </c>
      <c r="C23" s="2418"/>
      <c r="D23" s="2419" t="s">
        <v>2212</v>
      </c>
      <c r="E23" s="2420"/>
      <c r="F23" s="2438"/>
      <c r="G23" s="2438"/>
      <c r="H23" s="2438"/>
      <c r="I23" s="2438"/>
      <c r="J23" s="2241"/>
      <c r="K23" s="2397"/>
      <c r="L23" s="119"/>
      <c r="M23" s="2395"/>
      <c r="N23" s="2241"/>
      <c r="O23" s="1666"/>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19"/>
      <c r="M24" s="2395"/>
      <c r="N24" s="2241"/>
      <c r="O24" s="1666"/>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6"/>
      <c r="P25" s="2241"/>
      <c r="Q25" s="2241"/>
      <c r="R25" s="2241"/>
      <c r="S25" s="2241"/>
      <c r="T25" s="2241"/>
      <c r="U25" s="2241"/>
      <c r="V25" s="2241"/>
    </row>
    <row r="26" spans="1:28" ht="13.5" thickBot="1">
      <c r="A26" s="2422"/>
      <c r="B26" s="2423" t="s">
        <v>1061</v>
      </c>
      <c r="C26" s="2424"/>
      <c r="D26" s="2422" t="s">
        <v>1061</v>
      </c>
      <c r="E26" s="2425"/>
      <c r="F26" s="2439"/>
      <c r="G26" s="2439"/>
      <c r="H26" s="2439"/>
      <c r="I26" s="2439"/>
      <c r="J26" s="2241"/>
      <c r="K26" s="2398"/>
      <c r="L26" s="2395"/>
      <c r="M26" s="2395"/>
      <c r="N26" s="2241"/>
      <c r="O26" s="1666"/>
      <c r="P26" s="2241"/>
      <c r="Q26" s="2241"/>
      <c r="R26" s="2241"/>
      <c r="S26" s="2241"/>
      <c r="T26" s="2241"/>
      <c r="U26" s="2241"/>
      <c r="V26" s="2241"/>
    </row>
    <row r="27" spans="1:28" ht="13.5" thickTop="1">
      <c r="A27" s="3232" t="s">
        <v>2213</v>
      </c>
      <c r="B27" s="310" t="s">
        <v>2214</v>
      </c>
      <c r="C27" s="2221"/>
      <c r="D27" s="2222"/>
      <c r="E27" s="2438"/>
      <c r="F27" s="2438"/>
      <c r="G27" s="2438"/>
      <c r="H27" s="2438"/>
      <c r="I27" s="2438"/>
      <c r="J27" s="2241"/>
      <c r="K27" s="2399"/>
      <c r="L27" s="1666"/>
      <c r="M27" s="1666"/>
      <c r="N27" s="2241"/>
      <c r="O27" s="1666"/>
      <c r="P27" s="2241"/>
      <c r="Q27" s="2241"/>
      <c r="R27" s="2241"/>
      <c r="S27" s="2241"/>
      <c r="T27" s="2241"/>
      <c r="U27" s="2241"/>
      <c r="V27" s="2241"/>
    </row>
    <row r="28" spans="1:28">
      <c r="A28" s="3232"/>
      <c r="B28" s="292" t="s">
        <v>2215</v>
      </c>
      <c r="C28" s="2223"/>
      <c r="D28" s="2224"/>
      <c r="E28" s="2438"/>
      <c r="F28" s="2438"/>
      <c r="G28" s="2438"/>
      <c r="H28" s="2438"/>
      <c r="I28" s="2438"/>
      <c r="J28" s="2241"/>
      <c r="K28" s="2398"/>
      <c r="L28" s="2395"/>
      <c r="M28" s="2395"/>
      <c r="N28" s="2241"/>
      <c r="O28" s="1666"/>
      <c r="P28" s="2241"/>
      <c r="Q28" s="2241"/>
      <c r="R28" s="2241"/>
      <c r="S28" s="2241"/>
      <c r="T28" s="2241"/>
      <c r="U28" s="2241"/>
      <c r="V28" s="2241"/>
    </row>
    <row r="29" spans="1:28">
      <c r="A29" s="3232"/>
      <c r="B29" s="292" t="s">
        <v>2216</v>
      </c>
      <c r="C29" s="2225"/>
      <c r="D29" s="2226"/>
      <c r="E29" s="2438"/>
      <c r="F29" s="2438"/>
      <c r="G29" s="2438"/>
      <c r="H29" s="2438"/>
      <c r="I29" s="2438"/>
      <c r="J29" s="2241"/>
      <c r="K29" s="2398"/>
      <c r="L29" s="2395"/>
      <c r="M29" s="2395"/>
      <c r="N29" s="2241"/>
      <c r="O29" s="1666"/>
      <c r="P29" s="2241"/>
      <c r="Q29" s="2241"/>
      <c r="R29" s="2241"/>
      <c r="S29" s="2241"/>
      <c r="T29" s="2241"/>
      <c r="U29" s="2241"/>
      <c r="V29" s="2241"/>
    </row>
    <row r="30" spans="1:28">
      <c r="A30" s="3233"/>
      <c r="B30" s="292" t="s">
        <v>2217</v>
      </c>
      <c r="C30" s="3234"/>
      <c r="D30" s="3235"/>
      <c r="E30" s="2438"/>
      <c r="F30" s="2438"/>
      <c r="G30" s="2438"/>
      <c r="H30" s="2438"/>
      <c r="I30" s="2438"/>
      <c r="J30" s="2241"/>
      <c r="K30" s="2398"/>
      <c r="L30" s="2395"/>
      <c r="M30" s="2395"/>
      <c r="N30" s="2241"/>
      <c r="O30" s="1666"/>
      <c r="P30" s="2241"/>
      <c r="Q30" s="2241"/>
      <c r="R30" s="2241"/>
      <c r="S30" s="2241"/>
      <c r="T30" s="2241"/>
      <c r="U30" s="2241"/>
      <c r="V30" s="2241"/>
    </row>
    <row r="31" spans="1:28">
      <c r="A31" s="3236" t="s">
        <v>2218</v>
      </c>
      <c r="B31" s="2227"/>
      <c r="C31" s="12" t="str">
        <f>IF(B31="现房","成新及维护状况正常否",IF(B31="在建","工程状态是否正常",IF(B31="土地","是否闲置","-")))</f>
        <v>-</v>
      </c>
      <c r="D31" s="1277"/>
      <c r="E31" s="2228"/>
      <c r="F31" s="2438"/>
      <c r="G31" s="2438"/>
      <c r="H31" s="2438"/>
      <c r="I31" s="2438"/>
      <c r="J31" s="2241"/>
      <c r="K31" s="2397"/>
      <c r="L31" s="2395"/>
      <c r="M31" s="2395"/>
      <c r="N31" s="2241"/>
      <c r="O31" s="1666"/>
      <c r="P31" s="2241"/>
      <c r="Q31" s="2241"/>
      <c r="R31" s="2241"/>
      <c r="S31" s="2241"/>
      <c r="T31" s="2241"/>
      <c r="U31" s="2241"/>
      <c r="V31" s="2241"/>
    </row>
    <row r="32" spans="1:28">
      <c r="A32" s="3237"/>
      <c r="B32" s="2227"/>
      <c r="C32" s="12" t="str">
        <f>IF(B32="现房","成新及维护状况是否正常",IF(B32="在建","工程状态是否正常",IF(B32="土地","是否闲置","-")))</f>
        <v>-</v>
      </c>
      <c r="D32" s="1277"/>
      <c r="E32" s="2228"/>
      <c r="F32" s="2438"/>
      <c r="G32" s="2438"/>
      <c r="H32" s="2438"/>
      <c r="I32" s="2438"/>
      <c r="J32" s="2241"/>
      <c r="K32" s="2398"/>
      <c r="L32" s="2395"/>
      <c r="M32" s="2395"/>
      <c r="N32" s="2241"/>
      <c r="O32" s="1666"/>
      <c r="P32" s="2241"/>
      <c r="Q32" s="2241"/>
      <c r="R32" s="2241"/>
      <c r="S32" s="2241"/>
      <c r="T32" s="2241"/>
      <c r="U32" s="2241"/>
      <c r="V32" s="2241"/>
    </row>
    <row r="33" spans="1:30">
      <c r="A33" s="3237"/>
      <c r="B33" s="2230"/>
      <c r="C33" s="1474" t="str">
        <f>IF(B33="现房","成新及维护状况是否正常",IF(B33="在建","工程状态是否正常",IF(B33="土地","是否闲置","-")))</f>
        <v>-</v>
      </c>
      <c r="D33" s="1270"/>
      <c r="E33" s="2231"/>
      <c r="F33" s="2438"/>
      <c r="G33" s="2438"/>
      <c r="H33" s="2438"/>
      <c r="I33" s="2438"/>
      <c r="J33" s="2241"/>
      <c r="K33" s="2398"/>
      <c r="L33" s="2395"/>
      <c r="M33" s="2395"/>
      <c r="N33" s="2241"/>
      <c r="O33" s="1666"/>
      <c r="P33" s="2241"/>
      <c r="Q33" s="2241"/>
      <c r="R33" s="2241"/>
      <c r="S33" s="2241"/>
      <c r="T33" s="2241"/>
      <c r="U33" s="2241"/>
      <c r="V33" s="2241"/>
    </row>
    <row r="34" spans="1:30">
      <c r="A34" s="292" t="s">
        <v>2219</v>
      </c>
      <c r="B34" s="1866"/>
      <c r="C34" s="1866"/>
      <c r="D34" s="1866"/>
      <c r="E34" s="1866"/>
      <c r="F34" s="1866"/>
      <c r="G34" s="1866"/>
      <c r="H34" s="1866"/>
      <c r="I34" s="2438"/>
      <c r="J34" s="2241"/>
      <c r="K34" s="8">
        <f>COUNTIF(B34:H34,"——")</f>
        <v>0</v>
      </c>
      <c r="L34" s="313" t="s">
        <v>2220</v>
      </c>
      <c r="M34" s="313" t="s">
        <v>2221</v>
      </c>
      <c r="N34" s="313" t="s">
        <v>2222</v>
      </c>
      <c r="O34" s="313" t="s">
        <v>2223</v>
      </c>
      <c r="P34" s="313" t="s">
        <v>2224</v>
      </c>
      <c r="Q34" s="313" t="s">
        <v>2225</v>
      </c>
      <c r="R34" s="313" t="s">
        <v>2226</v>
      </c>
      <c r="S34" s="3231" t="s">
        <v>2227</v>
      </c>
      <c r="T34" s="313" t="str">
        <f>NUMBERSTRING(7-K34,1)&amp;"通"</f>
        <v>七通</v>
      </c>
      <c r="U34" s="2241"/>
      <c r="V34" s="2241"/>
    </row>
    <row r="35" spans="1:30">
      <c r="A35" s="2232"/>
      <c r="B35" s="3231" t="s">
        <v>2228</v>
      </c>
      <c r="C35" s="3231"/>
      <c r="D35" s="3231"/>
      <c r="E35" s="3231"/>
      <c r="F35" s="8">
        <f>C10</f>
        <v>0</v>
      </c>
      <c r="G35" s="2438"/>
      <c r="H35" s="2438"/>
      <c r="I35" s="2438"/>
      <c r="J35" s="2241"/>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31"/>
      <c r="T35" s="136" t="str">
        <f>IF(T34="一通",L35,IF(T34="二通",M35,IF(T34="三通",N35,IF(T34="四通",O35,IF(T34="五通",P35,IF(T34="六通",Q35,R35))))))</f>
        <v>、、、、、、</v>
      </c>
      <c r="U35" s="2241"/>
      <c r="V35" s="2241"/>
    </row>
    <row r="36" spans="1:30">
      <c r="A36" s="2179"/>
      <c r="B36" s="8" t="s">
        <v>2184</v>
      </c>
      <c r="C36" s="8" t="s">
        <v>2185</v>
      </c>
      <c r="D36" s="8" t="s">
        <v>2183</v>
      </c>
      <c r="E36" s="8" t="s">
        <v>2188</v>
      </c>
      <c r="F36" s="2797" t="s">
        <v>2569</v>
      </c>
      <c r="G36" s="2438"/>
      <c r="H36" s="2438"/>
      <c r="I36" s="2438"/>
      <c r="J36" s="2241"/>
      <c r="K36" s="2398"/>
      <c r="L36" s="2395"/>
      <c r="M36" s="2395"/>
      <c r="N36" s="2241"/>
      <c r="O36" s="1666"/>
      <c r="P36" s="2241"/>
      <c r="Q36" s="2241"/>
      <c r="R36" s="2241"/>
      <c r="S36" s="2241"/>
      <c r="T36" s="2241"/>
      <c r="U36" s="2241"/>
      <c r="V36" s="2241"/>
    </row>
    <row r="37" spans="1:30">
      <c r="A37" s="2411" t="s">
        <v>2229</v>
      </c>
      <c r="B37" s="2233" t="s">
        <v>305</v>
      </c>
      <c r="C37" s="2233"/>
      <c r="D37" s="2233" t="s">
        <v>305</v>
      </c>
      <c r="E37" s="2233"/>
      <c r="F37" s="2233"/>
      <c r="G37" s="2438"/>
      <c r="H37" s="2438"/>
      <c r="I37" s="2438"/>
      <c r="J37" s="2241"/>
      <c r="K37" s="2398"/>
      <c r="L37" s="2395"/>
      <c r="M37" s="2395"/>
      <c r="N37" s="2241"/>
      <c r="O37" s="1666"/>
      <c r="P37" s="2241"/>
      <c r="Q37" s="2241"/>
      <c r="R37" s="2241"/>
      <c r="S37" s="2241"/>
      <c r="T37" s="2241"/>
      <c r="U37" s="2241"/>
      <c r="V37" s="2241"/>
    </row>
    <row r="38" spans="1:30" ht="13.5" thickBot="1">
      <c r="A38" s="2412" t="s">
        <v>2230</v>
      </c>
      <c r="B38" s="2234" t="s">
        <v>181</v>
      </c>
      <c r="C38" s="2234"/>
      <c r="D38" s="2234" t="s">
        <v>181</v>
      </c>
      <c r="E38" s="2234"/>
      <c r="F38" s="2234"/>
      <c r="G38" s="2439"/>
      <c r="H38" s="2439"/>
      <c r="I38" s="2439"/>
      <c r="J38" s="2241"/>
      <c r="K38" s="2398"/>
      <c r="L38" s="2395"/>
      <c r="M38" s="2395"/>
      <c r="N38" s="2241"/>
      <c r="O38" s="1666"/>
      <c r="P38" s="2241"/>
      <c r="Q38" s="2241"/>
      <c r="R38" s="2241"/>
      <c r="S38" s="2241"/>
      <c r="T38" s="2241"/>
      <c r="U38" s="2241"/>
      <c r="V38" s="2241"/>
    </row>
    <row r="39" spans="1:30" s="2237" customFormat="1" ht="14.25" thickTop="1" thickBot="1">
      <c r="A39" s="2235" t="s">
        <v>2231</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2"/>
      <c r="J40" s="2241"/>
      <c r="K40" s="2397"/>
      <c r="L40" s="1666"/>
      <c r="M40" s="1666"/>
      <c r="N40" s="2241"/>
      <c r="O40" s="1666"/>
      <c r="P40" s="2241"/>
      <c r="Q40" s="2241"/>
      <c r="R40" s="2241"/>
      <c r="S40" s="2241"/>
      <c r="T40" s="2241"/>
      <c r="U40" s="2241"/>
      <c r="V40" s="2241"/>
    </row>
    <row r="41" spans="1:30">
      <c r="A41" s="2238" t="s">
        <v>2232</v>
      </c>
      <c r="B41" s="1623"/>
      <c r="C41" s="1277"/>
      <c r="D41" s="2178"/>
      <c r="E41" s="2178"/>
      <c r="F41" s="2178"/>
      <c r="G41" s="2178"/>
      <c r="H41" s="2178"/>
      <c r="I41" s="1462"/>
      <c r="J41" s="2241"/>
      <c r="K41" s="2398"/>
      <c r="L41" s="2395"/>
      <c r="M41" s="2395"/>
      <c r="N41" s="2241"/>
      <c r="O41" s="1666"/>
      <c r="P41" s="2241"/>
      <c r="Q41" s="2241"/>
      <c r="R41" s="2241"/>
      <c r="S41" s="2241"/>
      <c r="T41" s="2241"/>
      <c r="U41" s="2241"/>
      <c r="V41" s="2241"/>
    </row>
    <row r="42" spans="1:30" ht="25.5">
      <c r="A42" s="313" t="s">
        <v>2233</v>
      </c>
      <c r="B42" s="8" t="s">
        <v>2234</v>
      </c>
      <c r="C42" s="8" t="s">
        <v>2235</v>
      </c>
      <c r="D42" s="8" t="s">
        <v>2236</v>
      </c>
      <c r="E42" s="8" t="s">
        <v>2237</v>
      </c>
      <c r="F42" s="8" t="s">
        <v>2238</v>
      </c>
      <c r="G42" s="8" t="s">
        <v>2239</v>
      </c>
      <c r="H42" s="8" t="s">
        <v>2240</v>
      </c>
      <c r="I42" s="8" t="s">
        <v>2241</v>
      </c>
      <c r="J42" s="2407" t="s">
        <v>2242</v>
      </c>
      <c r="K42" s="2408" t="s">
        <v>2243</v>
      </c>
      <c r="L42" s="2408" t="s">
        <v>2244</v>
      </c>
      <c r="M42" s="2408" t="s">
        <v>2245</v>
      </c>
      <c r="N42" s="2401" t="s">
        <v>2246</v>
      </c>
      <c r="O42" s="2401" t="s">
        <v>2247</v>
      </c>
      <c r="P42" s="2401" t="s">
        <v>2248</v>
      </c>
      <c r="Q42" s="2402" t="s">
        <v>2249</v>
      </c>
      <c r="R42" s="2402" t="s">
        <v>2250</v>
      </c>
      <c r="S42" s="2241"/>
      <c r="T42" s="2241"/>
      <c r="U42" s="2241"/>
      <c r="V42" s="2241"/>
    </row>
    <row r="43" spans="1:30" s="1612" customFormat="1">
      <c r="A43" s="1458"/>
      <c r="B43" s="626"/>
      <c r="C43" s="626"/>
      <c r="D43" s="626"/>
      <c r="E43" s="626"/>
      <c r="F43" s="626"/>
      <c r="G43" s="626"/>
      <c r="H43" s="626"/>
      <c r="I43" s="626"/>
      <c r="J43" s="2239"/>
      <c r="K43" s="2240"/>
      <c r="L43" s="2240"/>
      <c r="M43" s="626"/>
      <c r="N43" s="626"/>
      <c r="O43" s="626"/>
      <c r="P43" s="626"/>
      <c r="Q43" s="626"/>
      <c r="R43" s="626"/>
      <c r="S43" s="2241"/>
      <c r="T43" s="2241"/>
      <c r="U43" s="2241"/>
      <c r="V43" s="2241"/>
    </row>
    <row r="44" spans="1:30" s="1612" customFormat="1">
      <c r="A44" s="1458"/>
      <c r="B44" s="1458"/>
      <c r="C44" s="626"/>
      <c r="D44" s="626"/>
      <c r="E44" s="626"/>
      <c r="F44" s="626"/>
      <c r="G44" s="626"/>
      <c r="H44" s="626"/>
      <c r="I44" s="626"/>
      <c r="J44" s="2239"/>
      <c r="K44" s="2240"/>
      <c r="L44" s="2240"/>
      <c r="M44" s="626"/>
      <c r="N44" s="626"/>
      <c r="O44" s="626"/>
      <c r="P44" s="626"/>
      <c r="Q44" s="626"/>
      <c r="R44" s="626"/>
      <c r="S44" s="2241"/>
      <c r="T44" s="2241"/>
      <c r="U44" s="2241"/>
      <c r="V44" s="2241"/>
    </row>
    <row r="45" spans="1:30" s="1612" customFormat="1">
      <c r="A45" s="1458"/>
      <c r="B45" s="1458"/>
      <c r="C45" s="626"/>
      <c r="D45" s="626"/>
      <c r="E45" s="626"/>
      <c r="F45" s="626"/>
      <c r="G45" s="626"/>
      <c r="H45" s="626"/>
      <c r="I45" s="626"/>
      <c r="J45" s="2239"/>
      <c r="K45" s="2240"/>
      <c r="L45" s="2240"/>
      <c r="M45" s="626"/>
      <c r="N45" s="626"/>
      <c r="O45" s="626"/>
      <c r="P45" s="626"/>
      <c r="Q45" s="626"/>
      <c r="R45" s="626"/>
      <c r="S45" s="2241"/>
      <c r="T45" s="2241"/>
      <c r="U45" s="2241"/>
      <c r="V45" s="2241"/>
    </row>
    <row r="46" spans="1:30" s="1612" customFormat="1">
      <c r="A46" s="1458"/>
      <c r="B46" s="1458"/>
      <c r="C46" s="626"/>
      <c r="D46" s="626"/>
      <c r="E46" s="626"/>
      <c r="F46" s="626"/>
      <c r="G46" s="626"/>
      <c r="H46" s="626"/>
      <c r="I46" s="626"/>
      <c r="J46" s="2239"/>
      <c r="K46" s="2240"/>
      <c r="L46" s="2240"/>
      <c r="M46" s="626"/>
      <c r="N46" s="626"/>
      <c r="O46" s="626"/>
      <c r="P46" s="626"/>
      <c r="Q46" s="626"/>
      <c r="R46" s="626"/>
      <c r="S46" s="2241"/>
      <c r="T46" s="2241"/>
      <c r="U46" s="2241"/>
      <c r="V46" s="2241"/>
    </row>
    <row r="47" spans="1:30" s="1612" customFormat="1">
      <c r="A47" s="1458"/>
      <c r="B47" s="1458"/>
      <c r="C47" s="626"/>
      <c r="D47" s="626"/>
      <c r="E47" s="626"/>
      <c r="F47" s="626"/>
      <c r="G47" s="626"/>
      <c r="H47" s="626"/>
      <c r="I47" s="626"/>
      <c r="J47" s="2239"/>
      <c r="K47" s="2240"/>
      <c r="L47" s="2240"/>
      <c r="M47" s="626"/>
      <c r="N47" s="626"/>
      <c r="O47" s="626"/>
      <c r="P47" s="626"/>
      <c r="Q47" s="626"/>
      <c r="R47" s="626"/>
      <c r="S47" s="2241"/>
      <c r="T47" s="2241"/>
      <c r="U47" s="2241"/>
      <c r="V47" s="2241"/>
    </row>
    <row r="48" spans="1:30" s="1612" customFormat="1">
      <c r="A48" s="1458"/>
      <c r="B48" s="1458"/>
      <c r="C48" s="626"/>
      <c r="D48" s="626"/>
      <c r="E48" s="626"/>
      <c r="F48" s="626"/>
      <c r="G48" s="626"/>
      <c r="H48" s="626"/>
      <c r="I48" s="626"/>
      <c r="J48" s="2239"/>
      <c r="K48" s="2240"/>
      <c r="L48" s="2240"/>
      <c r="M48" s="626"/>
      <c r="N48" s="626"/>
      <c r="O48" s="626"/>
      <c r="P48" s="626"/>
      <c r="Q48" s="626"/>
      <c r="R48" s="626"/>
      <c r="S48" s="2241"/>
      <c r="T48" s="2241"/>
      <c r="U48" s="2241"/>
      <c r="V48" s="2241"/>
    </row>
    <row r="49" spans="1:22" s="1612" customFormat="1">
      <c r="A49" s="1458"/>
      <c r="B49" s="1458"/>
      <c r="C49" s="626"/>
      <c r="D49" s="626"/>
      <c r="E49" s="626"/>
      <c r="F49" s="626"/>
      <c r="G49" s="626"/>
      <c r="H49" s="626"/>
      <c r="I49" s="626"/>
      <c r="J49" s="2239"/>
      <c r="K49" s="2240"/>
      <c r="L49" s="2240"/>
      <c r="M49" s="626"/>
      <c r="N49" s="626"/>
      <c r="O49" s="626"/>
      <c r="P49" s="626"/>
      <c r="Q49" s="626"/>
      <c r="R49" s="626"/>
      <c r="S49" s="2241"/>
      <c r="T49" s="2241"/>
      <c r="U49" s="2241"/>
      <c r="V49" s="2241"/>
    </row>
    <row r="50" spans="1:22" s="1612" customFormat="1">
      <c r="A50" s="1458"/>
      <c r="B50" s="1458"/>
      <c r="C50" s="626"/>
      <c r="D50" s="626"/>
      <c r="E50" s="626"/>
      <c r="F50" s="626"/>
      <c r="G50" s="626"/>
      <c r="H50" s="626"/>
      <c r="I50" s="626"/>
      <c r="J50" s="2239"/>
      <c r="K50" s="2240"/>
      <c r="L50" s="2240"/>
      <c r="M50" s="626"/>
      <c r="N50" s="626"/>
      <c r="O50" s="626"/>
      <c r="P50" s="626"/>
      <c r="Q50" s="626"/>
      <c r="R50" s="626"/>
      <c r="S50" s="2241"/>
      <c r="T50" s="2241"/>
      <c r="U50" s="2241"/>
      <c r="V50" s="2241"/>
    </row>
    <row r="51" spans="1:22" s="1612" customFormat="1">
      <c r="A51" s="1458"/>
      <c r="B51" s="1458"/>
      <c r="C51" s="626"/>
      <c r="D51" s="626"/>
      <c r="E51" s="626"/>
      <c r="F51" s="626"/>
      <c r="G51" s="626"/>
      <c r="H51" s="626"/>
      <c r="I51" s="626"/>
      <c r="J51" s="2239"/>
      <c r="K51" s="2240"/>
      <c r="L51" s="2240"/>
      <c r="M51" s="626"/>
      <c r="N51" s="626"/>
      <c r="O51" s="626"/>
      <c r="P51" s="626"/>
      <c r="Q51" s="626"/>
      <c r="R51" s="626"/>
    </row>
    <row r="52" spans="1:22" s="1612" customFormat="1">
      <c r="A52" s="1458"/>
      <c r="B52" s="1458"/>
      <c r="C52" s="1458"/>
      <c r="D52" s="1458"/>
      <c r="E52" s="1458"/>
      <c r="F52" s="626"/>
      <c r="G52" s="1458"/>
      <c r="H52" s="1458"/>
      <c r="I52" s="1458"/>
      <c r="J52" s="2242"/>
      <c r="K52" s="2240"/>
      <c r="L52" s="2240"/>
      <c r="M52" s="2240"/>
      <c r="N52" s="1458"/>
      <c r="O52" s="1458"/>
      <c r="P52" s="1458"/>
      <c r="Q52" s="1458"/>
      <c r="R52" s="1458"/>
    </row>
    <row r="53" spans="1:22" s="1612" customFormat="1">
      <c r="A53" s="1458"/>
      <c r="B53" s="1458"/>
      <c r="C53" s="1458"/>
      <c r="D53" s="1458"/>
      <c r="E53" s="1458"/>
      <c r="F53" s="626"/>
      <c r="G53" s="1458"/>
      <c r="H53" s="1458"/>
      <c r="I53" s="1458"/>
      <c r="J53" s="2242"/>
      <c r="K53" s="2240"/>
      <c r="L53" s="2240"/>
      <c r="M53" s="2240"/>
      <c r="N53" s="1458"/>
      <c r="O53" s="1458"/>
      <c r="P53" s="1458"/>
      <c r="Q53" s="1458"/>
      <c r="R53" s="1458"/>
    </row>
    <row r="54" spans="1:22" s="1612" customFormat="1">
      <c r="A54" s="1458"/>
      <c r="B54" s="1458"/>
      <c r="C54" s="1458"/>
      <c r="D54" s="1458"/>
      <c r="E54" s="1458"/>
      <c r="F54" s="626"/>
      <c r="G54" s="1458"/>
      <c r="H54" s="1458"/>
      <c r="I54" s="1458"/>
      <c r="J54" s="2242"/>
      <c r="K54" s="2240"/>
      <c r="L54" s="2240"/>
      <c r="M54" s="2240"/>
      <c r="N54" s="1458"/>
      <c r="O54" s="1458"/>
      <c r="P54" s="1458"/>
      <c r="Q54" s="1458"/>
      <c r="R54" s="1458"/>
    </row>
    <row r="55" spans="1:22" s="1612" customFormat="1">
      <c r="A55" s="1458"/>
      <c r="B55" s="1458"/>
      <c r="C55" s="1458"/>
      <c r="D55" s="1458"/>
      <c r="E55" s="1458"/>
      <c r="F55" s="626"/>
      <c r="G55" s="1458"/>
      <c r="H55" s="1458"/>
      <c r="I55" s="1458"/>
      <c r="J55" s="2242"/>
      <c r="K55" s="2240"/>
      <c r="L55" s="2240"/>
      <c r="M55" s="2240"/>
      <c r="N55" s="1458"/>
      <c r="O55" s="1458"/>
      <c r="P55" s="1458"/>
      <c r="Q55" s="1458"/>
      <c r="R55" s="1458"/>
    </row>
    <row r="56" spans="1:22" s="1612" customFormat="1">
      <c r="A56" s="1458"/>
      <c r="B56" s="1458"/>
      <c r="C56" s="1458"/>
      <c r="D56" s="1458"/>
      <c r="E56" s="1458"/>
      <c r="F56" s="626"/>
      <c r="G56" s="1458"/>
      <c r="H56" s="1458"/>
      <c r="I56" s="1458"/>
      <c r="J56" s="2242"/>
      <c r="K56" s="2240"/>
      <c r="L56" s="2240"/>
      <c r="M56" s="2240"/>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1067</v>
      </c>
      <c r="AZ2" s="983"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v>25963.4</v>
      </c>
      <c r="B3" s="11">
        <f>IF(C3="否",G5-AT5,G5)</f>
        <v>74353.649999999776</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6"/>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1071</v>
      </c>
      <c r="B5" s="1255"/>
      <c r="C5" s="1255"/>
      <c r="D5" s="1256"/>
      <c r="E5" s="13" t="s">
        <v>0</v>
      </c>
      <c r="F5" s="13">
        <f>SUM(F13:F587)</f>
        <v>0</v>
      </c>
      <c r="G5" s="13">
        <f>SUM(G13:G587)</f>
        <v>74353.649999999776</v>
      </c>
      <c r="H5" s="13">
        <f t="shared" ref="H5:AT5" si="0">SUM(H13:H656)</f>
        <v>74353.649999999776</v>
      </c>
      <c r="I5" s="13">
        <f t="shared" si="0"/>
        <v>55618.469999999863</v>
      </c>
      <c r="J5" s="13">
        <f t="shared" si="0"/>
        <v>0</v>
      </c>
      <c r="K5" s="13">
        <f t="shared" si="0"/>
        <v>522.33999999999992</v>
      </c>
      <c r="L5" s="13">
        <f t="shared" si="0"/>
        <v>0</v>
      </c>
      <c r="M5" s="13">
        <f t="shared" si="0"/>
        <v>2565.2700000000004</v>
      </c>
      <c r="N5" s="13">
        <f t="shared" si="0"/>
        <v>0</v>
      </c>
      <c r="O5" s="13">
        <f t="shared" si="0"/>
        <v>15647.569999999918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74353.649999999776</v>
      </c>
      <c r="BA5" s="15">
        <f t="shared" si="1"/>
        <v>74353.649999999776</v>
      </c>
      <c r="BB5" s="15">
        <f t="shared" si="1"/>
        <v>55618.469999999863</v>
      </c>
      <c r="BC5" s="15">
        <f t="shared" si="1"/>
        <v>522.33999999999992</v>
      </c>
      <c r="BD5" s="15">
        <f t="shared" si="1"/>
        <v>2565.2700000000004</v>
      </c>
      <c r="BE5" s="15">
        <f t="shared" si="1"/>
        <v>15647.569999999918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1072</v>
      </c>
      <c r="B6" s="1470"/>
      <c r="C6" s="1470"/>
      <c r="D6" s="1471"/>
      <c r="E6" s="13">
        <f>H6+AC6+AT6</f>
        <v>25963.389999999996</v>
      </c>
      <c r="F6" s="13" t="s">
        <v>0</v>
      </c>
      <c r="G6" s="13" t="s">
        <v>1</v>
      </c>
      <c r="H6" s="17">
        <f>SUMIF(I$12:AB$12,"总值",I6:AB6)</f>
        <v>25963.389999999996</v>
      </c>
      <c r="I6" s="13">
        <f t="shared" ref="I6:AB6" si="2">ROUND($A$3*I5/$B$3,2)</f>
        <v>19421.3</v>
      </c>
      <c r="J6" s="13">
        <f t="shared" si="2"/>
        <v>0</v>
      </c>
      <c r="K6" s="13">
        <f t="shared" si="2"/>
        <v>182.39</v>
      </c>
      <c r="L6" s="13">
        <f t="shared" si="2"/>
        <v>0</v>
      </c>
      <c r="M6" s="13">
        <f t="shared" si="2"/>
        <v>895.76</v>
      </c>
      <c r="N6" s="13">
        <f t="shared" si="2"/>
        <v>0</v>
      </c>
      <c r="O6" s="13">
        <f t="shared" si="2"/>
        <v>5463.94</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25963.4</v>
      </c>
      <c r="AZ6" s="13" t="s">
        <v>2</v>
      </c>
      <c r="BA6" s="13">
        <f>ROUND($AY$6*BA5/$AZ$5,2)</f>
        <v>25963.4</v>
      </c>
      <c r="BB6" s="13">
        <f>ROUND($AY$6*BB5/$AZ$5,2)</f>
        <v>19421.3</v>
      </c>
      <c r="BC6" s="13">
        <f t="shared" ref="BC6:BH6" si="4">ROUND($AY$6*BC5/$AZ$5,2)</f>
        <v>182.39</v>
      </c>
      <c r="BD6" s="13">
        <f t="shared" si="4"/>
        <v>895.76</v>
      </c>
      <c r="BE6" s="13">
        <f t="shared" si="4"/>
        <v>5463.94</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7" t="s">
        <v>1086</v>
      </c>
      <c r="AD8" s="1484"/>
      <c r="AE8" s="1476"/>
      <c r="AF8" s="1265"/>
      <c r="AG8" s="1265"/>
      <c r="AH8" s="1265"/>
      <c r="AI8" s="1265"/>
      <c r="AJ8" s="1265"/>
      <c r="AK8" s="1265"/>
      <c r="AL8" s="1265"/>
      <c r="AM8" s="1265"/>
      <c r="AN8" s="1265"/>
      <c r="AO8" s="1265"/>
      <c r="AP8" s="1265"/>
      <c r="AQ8" s="1265"/>
      <c r="AR8" s="1265"/>
      <c r="AS8" s="1265"/>
      <c r="AT8" s="1003" t="s">
        <v>1087</v>
      </c>
      <c r="AU8" s="1478" t="s">
        <v>1088</v>
      </c>
      <c r="AV8" s="1003"/>
      <c r="AW8" s="1463"/>
      <c r="AX8" s="1003"/>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3"/>
      <c r="H9" s="1486" t="s">
        <v>1091</v>
      </c>
      <c r="I9" s="1487" t="s">
        <v>3418</v>
      </c>
      <c r="J9" s="757"/>
      <c r="K9" s="1487" t="s">
        <v>3419</v>
      </c>
      <c r="L9" s="757"/>
      <c r="M9" s="1487" t="s">
        <v>3419</v>
      </c>
      <c r="N9" s="757"/>
      <c r="O9" s="1487" t="s">
        <v>3419</v>
      </c>
      <c r="P9" s="757"/>
      <c r="Q9" s="1487"/>
      <c r="R9" s="757"/>
      <c r="S9" s="1487"/>
      <c r="T9" s="757"/>
      <c r="U9" s="1487"/>
      <c r="V9" s="757"/>
      <c r="W9" s="1487"/>
      <c r="X9" s="1488"/>
      <c r="Y9" s="1487"/>
      <c r="Z9" s="757"/>
      <c r="AA9" s="1487"/>
      <c r="AB9" s="757"/>
      <c r="AC9" s="1479" t="s">
        <v>1091</v>
      </c>
      <c r="AD9" s="12" t="s">
        <v>1092</v>
      </c>
      <c r="AE9" s="1009"/>
      <c r="AF9" s="12" t="s">
        <v>1093</v>
      </c>
      <c r="AG9" s="1009"/>
      <c r="AH9" s="12" t="s">
        <v>1092</v>
      </c>
      <c r="AI9" s="1009"/>
      <c r="AJ9" s="12" t="s">
        <v>1093</v>
      </c>
      <c r="AK9" s="1009"/>
      <c r="AL9" s="12" t="s">
        <v>1092</v>
      </c>
      <c r="AM9" s="1009"/>
      <c r="AN9" s="12" t="s">
        <v>1093</v>
      </c>
      <c r="AO9" s="1009"/>
      <c r="AP9" s="12" t="s">
        <v>1092</v>
      </c>
      <c r="AQ9" s="1009"/>
      <c r="AR9" s="12" t="s">
        <v>1093</v>
      </c>
      <c r="AS9" s="1489"/>
      <c r="AT9" s="1478"/>
      <c r="AU9" s="1478" t="s">
        <v>1094</v>
      </c>
      <c r="AV9" s="1003"/>
      <c r="AW9" s="1463"/>
      <c r="AX9" s="1003"/>
      <c r="AY9" s="25"/>
      <c r="AZ9" s="25" t="s">
        <v>1084</v>
      </c>
      <c r="BA9" s="1490" t="s">
        <v>1095</v>
      </c>
      <c r="BB9" s="1491"/>
      <c r="BC9" s="1021"/>
      <c r="BD9" s="1021"/>
      <c r="BE9" s="1021"/>
      <c r="BF9" s="1021"/>
      <c r="BG9" s="1021"/>
      <c r="BH9" s="1021"/>
      <c r="BI9" s="1021"/>
      <c r="BJ9" s="1021"/>
      <c r="BK9" s="1492"/>
      <c r="BL9" s="12" t="s">
        <v>1096</v>
      </c>
      <c r="BM9" s="1265"/>
      <c r="BN9" s="1481"/>
      <c r="BO9" s="1265"/>
      <c r="BP9" s="1265"/>
      <c r="BQ9" s="1265"/>
      <c r="BR9" s="1265"/>
      <c r="BS9" s="1265"/>
      <c r="BT9" s="23"/>
    </row>
    <row r="10" spans="1:72" s="1485" customFormat="1" ht="12.75">
      <c r="A10" s="1478"/>
      <c r="B10" s="1478"/>
      <c r="C10" s="1478"/>
      <c r="D10" s="1478"/>
      <c r="E10" s="1478"/>
      <c r="F10" s="1478"/>
      <c r="G10" s="1003"/>
      <c r="H10" s="25"/>
      <c r="I10" s="1487" t="s">
        <v>3394</v>
      </c>
      <c r="J10" s="757"/>
      <c r="K10" s="1493" t="s">
        <v>673</v>
      </c>
      <c r="L10" s="757"/>
      <c r="M10" s="1493" t="s">
        <v>3322</v>
      </c>
      <c r="N10" s="757"/>
      <c r="O10" s="1493" t="s">
        <v>3321</v>
      </c>
      <c r="P10" s="757"/>
      <c r="Q10" s="1493"/>
      <c r="R10" s="757"/>
      <c r="S10" s="1493"/>
      <c r="T10" s="757"/>
      <c r="U10" s="1493"/>
      <c r="V10" s="757"/>
      <c r="W10" s="1493"/>
      <c r="X10" s="757"/>
      <c r="Y10" s="1493"/>
      <c r="Z10" s="757"/>
      <c r="AA10" s="1493"/>
      <c r="AB10" s="757"/>
      <c r="AC10" s="1003"/>
      <c r="AD10" s="12" t="s">
        <v>1097</v>
      </c>
      <c r="AE10" s="1494"/>
      <c r="AF10" s="12" t="s">
        <v>1097</v>
      </c>
      <c r="AG10" s="1494"/>
      <c r="AH10" s="12" t="s">
        <v>1098</v>
      </c>
      <c r="AI10" s="1494"/>
      <c r="AJ10" s="12" t="s">
        <v>1098</v>
      </c>
      <c r="AK10" s="1494"/>
      <c r="AL10" s="12" t="s">
        <v>1099</v>
      </c>
      <c r="AM10" s="1009"/>
      <c r="AN10" s="12" t="s">
        <v>1099</v>
      </c>
      <c r="AO10" s="1009"/>
      <c r="AP10" s="12" t="s">
        <v>1100</v>
      </c>
      <c r="AQ10" s="1009"/>
      <c r="AR10" s="12" t="s">
        <v>1100</v>
      </c>
      <c r="AS10" s="1009"/>
      <c r="AT10" s="1478"/>
      <c r="AU10" s="1478"/>
      <c r="AV10" s="1003"/>
      <c r="AW10" s="1463"/>
      <c r="AX10" s="1003"/>
      <c r="AY10" s="25"/>
      <c r="AZ10" s="25"/>
      <c r="BA10" s="1495" t="s">
        <v>1091</v>
      </c>
      <c r="BB10" s="1496" t="str">
        <f>I9</f>
        <v>地上</v>
      </c>
      <c r="BC10" s="26" t="str">
        <f>K9</f>
        <v>地下</v>
      </c>
      <c r="BD10" s="26" t="str">
        <f>M9</f>
        <v>地下</v>
      </c>
      <c r="BE10" s="26" t="str">
        <f>O9</f>
        <v>地下</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3"/>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3"/>
      <c r="AW11" s="1463"/>
      <c r="AX11" s="1003"/>
      <c r="AY11" s="25"/>
      <c r="AZ11" s="25"/>
      <c r="BA11" s="25"/>
      <c r="BB11" s="1483" t="str">
        <f>I10</f>
        <v>住宅</v>
      </c>
      <c r="BC11" s="1483" t="str">
        <f>K10</f>
        <v>商业</v>
      </c>
      <c r="BD11" s="1483" t="str">
        <f>M10</f>
        <v>仓储</v>
      </c>
      <c r="BE11" s="1483" t="str">
        <f>O10</f>
        <v>车库</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6"/>
      <c r="B13" s="626"/>
      <c r="C13" s="3166" t="s">
        <v>3411</v>
      </c>
      <c r="D13" s="1509" t="s">
        <v>3417</v>
      </c>
      <c r="E13" s="13">
        <f>IF($C$3="是",ROUND($A$3*G13/$B$3,2),ROUND($A$3*(G13-AT13)/$B$3,2))</f>
        <v>19421.3</v>
      </c>
      <c r="F13" s="29"/>
      <c r="G13" s="30">
        <f>H13+AC13+AT13</f>
        <v>55618.469999999863</v>
      </c>
      <c r="H13" s="17">
        <f>SUMIF(I$12:AB$12,"总值",I13:AB13)</f>
        <v>55618.469999999863</v>
      </c>
      <c r="I13" s="1510">
        <f>面积清单!K32</f>
        <v>55618.469999999863</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t="str">
        <f t="shared" si="6"/>
        <v>住宅</v>
      </c>
      <c r="AY13" s="1256">
        <f>ROUND($AY$6*AZ13/$AZ$5,2)</f>
        <v>19421.3</v>
      </c>
      <c r="AZ13" s="13">
        <f>BA13+BL13</f>
        <v>55618.469999999863</v>
      </c>
      <c r="BA13" s="13">
        <f>SUM(BB13:BK13)</f>
        <v>55618.469999999863</v>
      </c>
      <c r="BB13" s="13">
        <f>IF($D13="是",I13-J13,0)</f>
        <v>55618.469999999863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626"/>
      <c r="B14" s="626"/>
      <c r="C14" s="3166" t="s">
        <v>3412</v>
      </c>
      <c r="D14" s="1509" t="s">
        <v>3417</v>
      </c>
      <c r="E14" s="13">
        <f>IF($C$3="是",ROUND($A$3*G14/$B$3,2),ROUND($A$3*(G14-AT14)/$B$3,2))</f>
        <v>182.39</v>
      </c>
      <c r="F14" s="29"/>
      <c r="G14" s="30">
        <f>H14+AC14+AT14</f>
        <v>522.33999999999992</v>
      </c>
      <c r="H14" s="17">
        <f>SUMIF(I$12:AB$12,"总值",I14:AB14)</f>
        <v>522.33999999999992</v>
      </c>
      <c r="I14" s="1510"/>
      <c r="J14" s="1510"/>
      <c r="K14" s="1510">
        <f>面积清单!K33</f>
        <v>522.33999999999992</v>
      </c>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t="str">
        <f t="shared" si="6"/>
        <v>商业</v>
      </c>
      <c r="AY14" s="1256">
        <f>ROUND($AY$6*AZ14/$AZ$5,2)</f>
        <v>182.39</v>
      </c>
      <c r="AZ14" s="13">
        <f>BA14+BL14</f>
        <v>522.33999999999992</v>
      </c>
      <c r="BA14" s="13">
        <f>SUM(BB14:BK14)</f>
        <v>522.33999999999992</v>
      </c>
      <c r="BB14" s="13">
        <f>IF($D14="是",I14-J14,0)</f>
        <v>0</v>
      </c>
      <c r="BC14" s="13">
        <f>IF($D14="是",K14-L14,0)</f>
        <v>522.33999999999992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6"/>
      <c r="B15" s="626"/>
      <c r="C15" s="3166" t="s">
        <v>3414</v>
      </c>
      <c r="D15" s="1509" t="s">
        <v>3417</v>
      </c>
      <c r="E15" s="13">
        <f>IF($C$3="是",ROUND($A$3*G15/$B$3,2),ROUND($A$3*(G15-AT15)/$B$3,2))</f>
        <v>895.76</v>
      </c>
      <c r="F15" s="29"/>
      <c r="G15" s="30">
        <f>H15+AC15+AT15</f>
        <v>2565.2700000000004</v>
      </c>
      <c r="H15" s="17">
        <f>SUMIF(I$12:AB$12,"总值",I15:AB15)</f>
        <v>2565.2700000000004</v>
      </c>
      <c r="I15" s="1510"/>
      <c r="J15" s="1510"/>
      <c r="K15" s="1510"/>
      <c r="L15" s="1510"/>
      <c r="M15" s="1510">
        <f>面积清单!K34</f>
        <v>2565.2700000000004</v>
      </c>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t="str">
        <f t="shared" si="6"/>
        <v>地下仓储</v>
      </c>
      <c r="AY15" s="1256">
        <f>ROUND($AY$6*AZ15/$AZ$5,2)</f>
        <v>895.76</v>
      </c>
      <c r="AZ15" s="13">
        <f>BA15+BL15</f>
        <v>2565.2700000000004</v>
      </c>
      <c r="BA15" s="13">
        <f>SUM(BB15:BK15)</f>
        <v>2565.2700000000004</v>
      </c>
      <c r="BB15" s="13">
        <f>IF($D15="是",I15-J15,0)</f>
        <v>0</v>
      </c>
      <c r="BC15" s="13">
        <f>IF($D15="是",K15-L15,0)</f>
        <v>0</v>
      </c>
      <c r="BD15" s="13">
        <f>IF($D15="是",M15-N15,0)</f>
        <v>2565.2700000000004</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6"/>
      <c r="B16" s="626"/>
      <c r="C16" s="3166" t="s">
        <v>3552</v>
      </c>
      <c r="D16" s="1509" t="s">
        <v>3417</v>
      </c>
      <c r="E16" s="13">
        <f>IF($C$3="是",ROUND($A$3*G16/$B$3,2),ROUND($A$3*(G16-AT16)/$B$3,2))</f>
        <v>4805.3</v>
      </c>
      <c r="F16" s="29"/>
      <c r="G16" s="30">
        <f>H16+AC16+AT16</f>
        <v>13761.349999999919</v>
      </c>
      <c r="H16" s="17">
        <f>SUMIF(I$12:AB$12,"总值",I16:AB16)</f>
        <v>13761.349999999919</v>
      </c>
      <c r="I16" s="1510"/>
      <c r="J16" s="1510"/>
      <c r="K16" s="1510"/>
      <c r="L16" s="1510"/>
      <c r="M16" s="1510"/>
      <c r="N16" s="1510"/>
      <c r="O16" s="1510">
        <f>面积清单!K35</f>
        <v>13761.349999999919</v>
      </c>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t="str">
        <f t="shared" si="6"/>
        <v>地下车位</v>
      </c>
      <c r="AY16" s="1256">
        <f>ROUND($AY$6*AZ16/$AZ$5,2)</f>
        <v>4805.3</v>
      </c>
      <c r="AZ16" s="13">
        <f>BA16+BL16</f>
        <v>13761.349999999919</v>
      </c>
      <c r="BA16" s="13">
        <f>SUM(BB16:BK16)</f>
        <v>13761.349999999919</v>
      </c>
      <c r="BB16" s="13">
        <f>IF($D16="是",I16-J16,0)</f>
        <v>0</v>
      </c>
      <c r="BC16" s="13">
        <f>IF($D16="是",K16-L16,0)</f>
        <v>0</v>
      </c>
      <c r="BD16" s="13">
        <f>IF($D16="是",M16-N16,0)</f>
        <v>0</v>
      </c>
      <c r="BE16" s="13">
        <f>IF($D16="是",O16-P16,0)</f>
        <v>13761.349999999919</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6"/>
      <c r="B17" s="626"/>
      <c r="C17" s="3166" t="s">
        <v>3416</v>
      </c>
      <c r="D17" s="1509" t="s">
        <v>3417</v>
      </c>
      <c r="E17" s="13">
        <f>IF($C$3="是",ROUND($A$3*G17/$B$3,2),ROUND($A$3*(G17-AT17)/$B$3,2))</f>
        <v>658.65</v>
      </c>
      <c r="F17" s="29"/>
      <c r="G17" s="30">
        <f>H17+AC17+AT17</f>
        <v>1886.22</v>
      </c>
      <c r="H17" s="17">
        <f>SUMIF(I$12:AB$12,"总值",I17:AB17)</f>
        <v>1886.22</v>
      </c>
      <c r="I17" s="1510"/>
      <c r="J17" s="1510"/>
      <c r="K17" s="1510"/>
      <c r="L17" s="1510"/>
      <c r="M17" s="1510"/>
      <c r="N17" s="1510"/>
      <c r="O17" s="1510">
        <f>面积清单!K36</f>
        <v>1886.22</v>
      </c>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t="str">
        <f t="shared" si="6"/>
        <v>机械车位</v>
      </c>
      <c r="AY17" s="1256">
        <f>ROUND($AY$6*AZ17/$AZ$5,2)</f>
        <v>658.65</v>
      </c>
      <c r="AZ17" s="13">
        <f>BA17+BL17</f>
        <v>1886.22</v>
      </c>
      <c r="BA17" s="13">
        <f>SUM(BB17:BK17)</f>
        <v>1886.22</v>
      </c>
      <c r="BB17" s="13">
        <f>IF($D17="是",I17-J17,0)</f>
        <v>0</v>
      </c>
      <c r="BC17" s="13">
        <f>IF($D17="是",K17-L17,0)</f>
        <v>0</v>
      </c>
      <c r="BD17" s="13">
        <f>IF($D17="是",M17-N17,0)</f>
        <v>0</v>
      </c>
      <c r="BE17" s="13">
        <f>IF($D17="是",O17-P17,0)</f>
        <v>1886.22</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8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69B9A-5FD7-44FE-B565-0CA265829378}">
  <dimension ref="A1:AA541"/>
  <sheetViews>
    <sheetView topLeftCell="A13" workbookViewId="0">
      <selection activeCell="N37" sqref="N37"/>
    </sheetView>
  </sheetViews>
  <sheetFormatPr defaultRowHeight="12.75"/>
  <cols>
    <col min="1" max="1" width="4.75" style="3168" bestFit="1" customWidth="1"/>
    <col min="2" max="2" width="9" style="3168"/>
    <col min="3" max="3" width="9.125" style="3168" bestFit="1" customWidth="1"/>
    <col min="4" max="4" width="8.5" style="3168" bestFit="1" customWidth="1"/>
    <col min="5" max="5" width="11.375" style="3168" bestFit="1" customWidth="1"/>
    <col min="6" max="6" width="4.75" style="3168" bestFit="1" customWidth="1"/>
    <col min="7" max="7" width="2.75" style="3168" customWidth="1"/>
    <col min="8" max="8" width="4.75" style="3168" bestFit="1" customWidth="1"/>
    <col min="9" max="9" width="9" style="3168"/>
    <col min="10" max="11" width="8" style="3168" bestFit="1" customWidth="1"/>
    <col min="12" max="12" width="11.375" style="3168" bestFit="1" customWidth="1"/>
    <col min="13" max="13" width="16.75" style="3168" bestFit="1" customWidth="1"/>
    <col min="14" max="16384" width="9" style="3168"/>
  </cols>
  <sheetData>
    <row r="1" spans="1:27" ht="14.25">
      <c r="A1" s="3168" t="s">
        <v>3420</v>
      </c>
      <c r="B1" s="3168" t="s">
        <v>3421</v>
      </c>
      <c r="C1" s="3168" t="s">
        <v>3422</v>
      </c>
      <c r="D1" s="3168" t="s">
        <v>3423</v>
      </c>
      <c r="E1" s="3168" t="s">
        <v>3424</v>
      </c>
      <c r="F1" s="3168" t="s">
        <v>3425</v>
      </c>
      <c r="H1" s="3168" t="s">
        <v>3420</v>
      </c>
      <c r="I1" s="3168" t="s">
        <v>3421</v>
      </c>
      <c r="J1" s="3168" t="s">
        <v>3422</v>
      </c>
      <c r="K1" s="3168" t="s">
        <v>3423</v>
      </c>
      <c r="L1" s="3168" t="s">
        <v>3424</v>
      </c>
      <c r="M1" s="3168" t="s">
        <v>3425</v>
      </c>
      <c r="O1" s="3168" t="s">
        <v>3420</v>
      </c>
      <c r="P1" s="3168" t="s">
        <v>3421</v>
      </c>
      <c r="Q1" s="3168" t="s">
        <v>3422</v>
      </c>
      <c r="R1" s="3168" t="s">
        <v>3423</v>
      </c>
      <c r="S1" s="3168" t="s">
        <v>3424</v>
      </c>
      <c r="T1" s="3168" t="s">
        <v>3425</v>
      </c>
      <c r="V1" s="3168" t="s">
        <v>3420</v>
      </c>
      <c r="W1" s="3168" t="s">
        <v>3421</v>
      </c>
      <c r="X1" s="3168" t="s">
        <v>3422</v>
      </c>
      <c r="Y1" s="3168" t="s">
        <v>3423</v>
      </c>
      <c r="Z1" s="3168" t="s">
        <v>3424</v>
      </c>
      <c r="AA1" s="3168" t="s">
        <v>3425</v>
      </c>
    </row>
    <row r="2" spans="1:27" ht="14.25">
      <c r="A2" s="3168">
        <v>1</v>
      </c>
      <c r="B2" s="3168" t="s">
        <v>3426</v>
      </c>
      <c r="C2" s="3168" t="s">
        <v>3427</v>
      </c>
      <c r="D2" s="3168">
        <v>95.67</v>
      </c>
      <c r="E2" s="3168">
        <v>33.409999999999997</v>
      </c>
      <c r="F2" s="3168" t="s">
        <v>3540</v>
      </c>
      <c r="H2" s="3168">
        <v>1</v>
      </c>
      <c r="I2" s="3168" t="s">
        <v>3537</v>
      </c>
      <c r="J2" s="3168">
        <v>-108</v>
      </c>
      <c r="K2" s="3168">
        <v>191.92</v>
      </c>
      <c r="L2" s="3168">
        <v>67.02</v>
      </c>
      <c r="M2" s="3168" t="s">
        <v>3541</v>
      </c>
      <c r="O2" s="3168">
        <v>1</v>
      </c>
      <c r="P2" s="3168" t="s">
        <v>3426</v>
      </c>
      <c r="Q2" s="3168">
        <v>-201</v>
      </c>
      <c r="R2" s="3168">
        <v>5.35</v>
      </c>
      <c r="S2" s="3168">
        <v>1.87</v>
      </c>
      <c r="T2" s="3167" t="s">
        <v>3544</v>
      </c>
      <c r="V2" s="3168">
        <v>1</v>
      </c>
      <c r="W2" s="3168" t="s">
        <v>3538</v>
      </c>
      <c r="X2" s="3168">
        <v>-1001</v>
      </c>
      <c r="Y2" s="3168">
        <v>25.39</v>
      </c>
      <c r="Z2" s="3168">
        <v>8.8699999999999992</v>
      </c>
      <c r="AA2" s="3167" t="s">
        <v>3546</v>
      </c>
    </row>
    <row r="3" spans="1:27" ht="14.25">
      <c r="A3" s="3168">
        <v>2</v>
      </c>
      <c r="B3" s="3168" t="s">
        <v>3426</v>
      </c>
      <c r="C3" s="3168" t="s">
        <v>3428</v>
      </c>
      <c r="D3" s="3168">
        <v>95.32</v>
      </c>
      <c r="E3" s="3168">
        <v>33.28</v>
      </c>
      <c r="F3" s="3168" t="s">
        <v>3540</v>
      </c>
      <c r="H3" s="3168">
        <v>2</v>
      </c>
      <c r="I3" s="3168" t="s">
        <v>3537</v>
      </c>
      <c r="J3" s="3168">
        <v>-109</v>
      </c>
      <c r="K3" s="3168">
        <v>20.58</v>
      </c>
      <c r="L3" s="3168">
        <v>7.19</v>
      </c>
      <c r="M3" s="3168" t="s">
        <v>3542</v>
      </c>
      <c r="O3" s="3168">
        <v>2</v>
      </c>
      <c r="P3" s="3168" t="s">
        <v>3426</v>
      </c>
      <c r="Q3" s="3168">
        <v>-202</v>
      </c>
      <c r="R3" s="3168">
        <v>5.76</v>
      </c>
      <c r="S3" s="3168">
        <v>2.0099999999999998</v>
      </c>
      <c r="T3" s="3167" t="s">
        <v>3544</v>
      </c>
      <c r="V3" s="3168">
        <v>2</v>
      </c>
      <c r="W3" s="3168" t="s">
        <v>3538</v>
      </c>
      <c r="X3" s="3168">
        <v>-1002</v>
      </c>
      <c r="Y3" s="3168">
        <v>25.39</v>
      </c>
      <c r="Z3" s="3168">
        <v>8.8699999999999992</v>
      </c>
      <c r="AA3" s="3167" t="s">
        <v>3546</v>
      </c>
    </row>
    <row r="4" spans="1:27" ht="14.25">
      <c r="A4" s="3168">
        <v>3</v>
      </c>
      <c r="B4" s="3168" t="s">
        <v>3426</v>
      </c>
      <c r="C4" s="3168" t="s">
        <v>3429</v>
      </c>
      <c r="D4" s="3168">
        <v>62.09</v>
      </c>
      <c r="E4" s="3168">
        <v>21.68</v>
      </c>
      <c r="F4" s="3168" t="s">
        <v>3540</v>
      </c>
      <c r="H4" s="3168">
        <v>3</v>
      </c>
      <c r="I4" s="3168" t="s">
        <v>3537</v>
      </c>
      <c r="J4" s="3168">
        <v>-110</v>
      </c>
      <c r="K4" s="3168">
        <v>309.83999999999997</v>
      </c>
      <c r="L4" s="3168">
        <v>108.19</v>
      </c>
      <c r="M4" s="3168" t="s">
        <v>3541</v>
      </c>
      <c r="O4" s="3168">
        <v>3</v>
      </c>
      <c r="P4" s="3168" t="s">
        <v>3426</v>
      </c>
      <c r="Q4" s="3168">
        <v>-203</v>
      </c>
      <c r="R4" s="3168">
        <v>11.04</v>
      </c>
      <c r="S4" s="3168">
        <v>3.86</v>
      </c>
      <c r="T4" s="3167" t="s">
        <v>3544</v>
      </c>
      <c r="V4" s="3168">
        <v>3</v>
      </c>
      <c r="W4" s="3168" t="s">
        <v>3538</v>
      </c>
      <c r="X4" s="3168">
        <v>-1003</v>
      </c>
      <c r="Y4" s="3168">
        <v>25.39</v>
      </c>
      <c r="Z4" s="3168">
        <v>8.8699999999999992</v>
      </c>
      <c r="AA4" s="3167" t="s">
        <v>3546</v>
      </c>
    </row>
    <row r="5" spans="1:27" ht="14.25">
      <c r="A5" s="3168">
        <v>4</v>
      </c>
      <c r="B5" s="3168" t="s">
        <v>3426</v>
      </c>
      <c r="C5" s="3168" t="s">
        <v>3430</v>
      </c>
      <c r="D5" s="3168">
        <v>84.74</v>
      </c>
      <c r="E5" s="3168">
        <v>29.59</v>
      </c>
      <c r="F5" s="3168" t="s">
        <v>3540</v>
      </c>
      <c r="I5" s="3168" t="s">
        <v>3543</v>
      </c>
      <c r="K5" s="3168">
        <f>SUM(K2:K4)</f>
        <v>522.33999999999992</v>
      </c>
      <c r="L5" s="3168">
        <f>SUM(L2:L4)</f>
        <v>182.39999999999998</v>
      </c>
      <c r="O5" s="3168">
        <v>4</v>
      </c>
      <c r="P5" s="3168" t="s">
        <v>3426</v>
      </c>
      <c r="Q5" s="3168">
        <v>-204</v>
      </c>
      <c r="R5" s="3168">
        <v>9.09</v>
      </c>
      <c r="S5" s="3168">
        <v>3.17</v>
      </c>
      <c r="T5" s="3167" t="s">
        <v>3544</v>
      </c>
      <c r="V5" s="3168">
        <v>4</v>
      </c>
      <c r="W5" s="3168" t="s">
        <v>3538</v>
      </c>
      <c r="X5" s="3168">
        <v>-1004</v>
      </c>
      <c r="Y5" s="3168">
        <v>25.39</v>
      </c>
      <c r="Z5" s="3168">
        <v>8.8699999999999992</v>
      </c>
      <c r="AA5" s="3167" t="s">
        <v>3546</v>
      </c>
    </row>
    <row r="6" spans="1:27" ht="14.25">
      <c r="A6" s="3168">
        <v>5</v>
      </c>
      <c r="B6" s="3168" t="s">
        <v>3426</v>
      </c>
      <c r="C6" s="3168" t="s">
        <v>3431</v>
      </c>
      <c r="D6" s="3168">
        <v>84.38</v>
      </c>
      <c r="E6" s="3168">
        <v>29.46</v>
      </c>
      <c r="F6" s="3168" t="s">
        <v>3540</v>
      </c>
      <c r="O6" s="3168">
        <v>5</v>
      </c>
      <c r="P6" s="3168" t="s">
        <v>3426</v>
      </c>
      <c r="Q6" s="3168">
        <v>-205</v>
      </c>
      <c r="R6" s="3168">
        <v>10.51</v>
      </c>
      <c r="S6" s="3168">
        <v>3.67</v>
      </c>
      <c r="T6" s="3167" t="s">
        <v>3544</v>
      </c>
      <c r="V6" s="3168">
        <v>5</v>
      </c>
      <c r="W6" s="3168" t="s">
        <v>3538</v>
      </c>
      <c r="X6" s="3168">
        <v>-1005</v>
      </c>
      <c r="Y6" s="3168">
        <v>25.39</v>
      </c>
      <c r="Z6" s="3168">
        <v>8.8699999999999992</v>
      </c>
      <c r="AA6" s="3167" t="s">
        <v>3546</v>
      </c>
    </row>
    <row r="7" spans="1:27" ht="14.25">
      <c r="A7" s="3168">
        <v>6</v>
      </c>
      <c r="B7" s="3168" t="s">
        <v>3426</v>
      </c>
      <c r="C7" s="3168" t="s">
        <v>3432</v>
      </c>
      <c r="D7" s="3168">
        <v>84.74</v>
      </c>
      <c r="E7" s="3168">
        <v>29.59</v>
      </c>
      <c r="F7" s="3168" t="s">
        <v>3540</v>
      </c>
      <c r="O7" s="3168">
        <v>6</v>
      </c>
      <c r="P7" s="3168" t="s">
        <v>3426</v>
      </c>
      <c r="Q7" s="3168">
        <v>-206</v>
      </c>
      <c r="R7" s="3168">
        <v>10.79</v>
      </c>
      <c r="S7" s="3168">
        <v>3.77</v>
      </c>
      <c r="T7" s="3167" t="s">
        <v>3544</v>
      </c>
      <c r="V7" s="3168">
        <v>6</v>
      </c>
      <c r="W7" s="3168" t="s">
        <v>3538</v>
      </c>
      <c r="X7" s="3168">
        <v>-1006</v>
      </c>
      <c r="Y7" s="3168">
        <v>25.39</v>
      </c>
      <c r="Z7" s="3168">
        <v>8.8699999999999992</v>
      </c>
      <c r="AA7" s="3167" t="s">
        <v>3546</v>
      </c>
    </row>
    <row r="8" spans="1:27" ht="14.25">
      <c r="A8" s="3168">
        <v>7</v>
      </c>
      <c r="B8" s="3168" t="s">
        <v>3426</v>
      </c>
      <c r="C8" s="3168" t="s">
        <v>3433</v>
      </c>
      <c r="D8" s="3168">
        <v>84.38</v>
      </c>
      <c r="E8" s="3168">
        <v>29.46</v>
      </c>
      <c r="F8" s="3168" t="s">
        <v>3540</v>
      </c>
      <c r="O8" s="3168">
        <v>7</v>
      </c>
      <c r="P8" s="3168" t="s">
        <v>3426</v>
      </c>
      <c r="Q8" s="3168">
        <v>-207</v>
      </c>
      <c r="R8" s="3168">
        <v>13.88</v>
      </c>
      <c r="S8" s="3168">
        <v>4.8499999999999996</v>
      </c>
      <c r="T8" s="3167" t="s">
        <v>3544</v>
      </c>
      <c r="V8" s="3168">
        <v>7</v>
      </c>
      <c r="W8" s="3168" t="s">
        <v>3538</v>
      </c>
      <c r="X8" s="3168">
        <v>-1007</v>
      </c>
      <c r="Y8" s="3168">
        <v>25.39</v>
      </c>
      <c r="Z8" s="3168">
        <v>8.8699999999999992</v>
      </c>
      <c r="AA8" s="3167" t="s">
        <v>3546</v>
      </c>
    </row>
    <row r="9" spans="1:27" ht="14.25">
      <c r="A9" s="3168">
        <v>8</v>
      </c>
      <c r="B9" s="3168" t="s">
        <v>3426</v>
      </c>
      <c r="C9" s="3168" t="s">
        <v>3434</v>
      </c>
      <c r="D9" s="3168">
        <v>84.74</v>
      </c>
      <c r="E9" s="3168">
        <v>29.59</v>
      </c>
      <c r="F9" s="3168" t="s">
        <v>3540</v>
      </c>
      <c r="O9" s="3168">
        <v>8</v>
      </c>
      <c r="P9" s="3168" t="s">
        <v>3426</v>
      </c>
      <c r="Q9" s="3168">
        <v>-208</v>
      </c>
      <c r="R9" s="3168">
        <v>9.98</v>
      </c>
      <c r="S9" s="3168">
        <v>3.48</v>
      </c>
      <c r="T9" s="3167" t="s">
        <v>3544</v>
      </c>
      <c r="V9" s="3168">
        <v>8</v>
      </c>
      <c r="W9" s="3168" t="s">
        <v>3538</v>
      </c>
      <c r="X9" s="3168">
        <v>-1008</v>
      </c>
      <c r="Y9" s="3168">
        <v>25.39</v>
      </c>
      <c r="Z9" s="3168">
        <v>8.8699999999999992</v>
      </c>
      <c r="AA9" s="3167" t="s">
        <v>3546</v>
      </c>
    </row>
    <row r="10" spans="1:27" ht="14.25">
      <c r="A10" s="3168">
        <v>9</v>
      </c>
      <c r="B10" s="3168" t="s">
        <v>3426</v>
      </c>
      <c r="C10" s="3168" t="s">
        <v>3435</v>
      </c>
      <c r="D10" s="3168">
        <v>117.64</v>
      </c>
      <c r="E10" s="3168">
        <v>41.08</v>
      </c>
      <c r="F10" s="3168" t="s">
        <v>3540</v>
      </c>
      <c r="O10" s="3168">
        <v>9</v>
      </c>
      <c r="P10" s="3168" t="s">
        <v>3426</v>
      </c>
      <c r="Q10" s="3168">
        <v>-209</v>
      </c>
      <c r="R10" s="3168">
        <v>8.7799999999999994</v>
      </c>
      <c r="S10" s="3168">
        <v>3.07</v>
      </c>
      <c r="T10" s="3167" t="s">
        <v>3544</v>
      </c>
      <c r="V10" s="3168">
        <v>9</v>
      </c>
      <c r="W10" s="3168" t="s">
        <v>3538</v>
      </c>
      <c r="X10" s="3168">
        <v>-1009</v>
      </c>
      <c r="Y10" s="3168">
        <v>25.39</v>
      </c>
      <c r="Z10" s="3168">
        <v>8.8699999999999992</v>
      </c>
      <c r="AA10" s="3167" t="s">
        <v>3546</v>
      </c>
    </row>
    <row r="11" spans="1:27" ht="14.25">
      <c r="A11" s="3168">
        <v>10</v>
      </c>
      <c r="B11" s="3168" t="s">
        <v>3426</v>
      </c>
      <c r="C11" s="3168" t="s">
        <v>3436</v>
      </c>
      <c r="D11" s="3168">
        <v>117.64</v>
      </c>
      <c r="E11" s="3168">
        <v>41.08</v>
      </c>
      <c r="F11" s="3168" t="s">
        <v>3540</v>
      </c>
      <c r="O11" s="3168">
        <v>10</v>
      </c>
      <c r="P11" s="3168" t="s">
        <v>3441</v>
      </c>
      <c r="Q11" s="3168">
        <v>-101</v>
      </c>
      <c r="R11" s="3168">
        <v>9.7799999999999994</v>
      </c>
      <c r="S11" s="3168">
        <v>3.42</v>
      </c>
      <c r="T11" s="3167" t="s">
        <v>3544</v>
      </c>
      <c r="V11" s="3168">
        <v>10</v>
      </c>
      <c r="W11" s="3168" t="s">
        <v>3538</v>
      </c>
      <c r="X11" s="3168">
        <v>-1010</v>
      </c>
      <c r="Y11" s="3168">
        <v>25.39</v>
      </c>
      <c r="Z11" s="3168">
        <v>8.8699999999999992</v>
      </c>
      <c r="AA11" s="3167" t="s">
        <v>3546</v>
      </c>
    </row>
    <row r="12" spans="1:27" ht="14.25">
      <c r="A12" s="3168">
        <v>11</v>
      </c>
      <c r="B12" s="3168" t="s">
        <v>3426</v>
      </c>
      <c r="C12" s="3168" t="s">
        <v>3437</v>
      </c>
      <c r="D12" s="3168">
        <v>117.99</v>
      </c>
      <c r="E12" s="3168">
        <v>41.2</v>
      </c>
      <c r="F12" s="3168" t="s">
        <v>3540</v>
      </c>
      <c r="O12" s="3168">
        <v>11</v>
      </c>
      <c r="P12" s="3168" t="s">
        <v>3441</v>
      </c>
      <c r="Q12" s="3168">
        <v>-102</v>
      </c>
      <c r="R12" s="3168">
        <v>13.18</v>
      </c>
      <c r="S12" s="3168">
        <v>4.5999999999999996</v>
      </c>
      <c r="T12" s="3167" t="s">
        <v>3544</v>
      </c>
      <c r="V12" s="3168">
        <v>11</v>
      </c>
      <c r="W12" s="3168" t="s">
        <v>3538</v>
      </c>
      <c r="X12" s="3168">
        <v>-1011</v>
      </c>
      <c r="Y12" s="3168">
        <v>25.39</v>
      </c>
      <c r="Z12" s="3168">
        <v>8.8699999999999992</v>
      </c>
      <c r="AA12" s="3167" t="s">
        <v>3546</v>
      </c>
    </row>
    <row r="13" spans="1:27" ht="14.25">
      <c r="A13" s="3168">
        <v>12</v>
      </c>
      <c r="B13" s="3168" t="s">
        <v>3426</v>
      </c>
      <c r="C13" s="3168" t="s">
        <v>3438</v>
      </c>
      <c r="D13" s="3168">
        <v>117.99</v>
      </c>
      <c r="E13" s="3168">
        <v>41.2</v>
      </c>
      <c r="F13" s="3168" t="s">
        <v>3540</v>
      </c>
      <c r="O13" s="3168">
        <v>12</v>
      </c>
      <c r="P13" s="3168" t="s">
        <v>3441</v>
      </c>
      <c r="Q13" s="3168">
        <v>-103</v>
      </c>
      <c r="R13" s="3168">
        <v>15.77</v>
      </c>
      <c r="S13" s="3168">
        <v>5.51</v>
      </c>
      <c r="T13" s="3167" t="s">
        <v>3544</v>
      </c>
      <c r="V13" s="3168">
        <v>12</v>
      </c>
      <c r="W13" s="3168" t="s">
        <v>3538</v>
      </c>
      <c r="X13" s="3168">
        <v>-1012</v>
      </c>
      <c r="Y13" s="3168">
        <v>25.39</v>
      </c>
      <c r="Z13" s="3168">
        <v>8.8699999999999992</v>
      </c>
      <c r="AA13" s="3167" t="s">
        <v>3546</v>
      </c>
    </row>
    <row r="14" spans="1:27" ht="14.25">
      <c r="A14" s="3168">
        <v>13</v>
      </c>
      <c r="B14" s="3168" t="s">
        <v>3426</v>
      </c>
      <c r="C14" s="3168" t="s">
        <v>3439</v>
      </c>
      <c r="D14" s="3168">
        <v>117.99</v>
      </c>
      <c r="E14" s="3168">
        <v>41.2</v>
      </c>
      <c r="F14" s="3168" t="s">
        <v>3540</v>
      </c>
      <c r="O14" s="3168">
        <v>13</v>
      </c>
      <c r="P14" s="3168" t="s">
        <v>3441</v>
      </c>
      <c r="Q14" s="3168">
        <v>-104</v>
      </c>
      <c r="R14" s="3168">
        <v>15.77</v>
      </c>
      <c r="S14" s="3168">
        <v>5.51</v>
      </c>
      <c r="T14" s="3167" t="s">
        <v>3544</v>
      </c>
      <c r="V14" s="3168">
        <v>13</v>
      </c>
      <c r="W14" s="3168" t="s">
        <v>3538</v>
      </c>
      <c r="X14" s="3168">
        <v>-1013</v>
      </c>
      <c r="Y14" s="3168">
        <v>25.39</v>
      </c>
      <c r="Z14" s="3168">
        <v>8.8699999999999992</v>
      </c>
      <c r="AA14" s="3167" t="s">
        <v>3546</v>
      </c>
    </row>
    <row r="15" spans="1:27" ht="14.25">
      <c r="A15" s="3168">
        <v>14</v>
      </c>
      <c r="B15" s="3168" t="s">
        <v>3426</v>
      </c>
      <c r="C15" s="3168" t="s">
        <v>3440</v>
      </c>
      <c r="D15" s="3168">
        <v>117.99</v>
      </c>
      <c r="E15" s="3168">
        <v>41.2</v>
      </c>
      <c r="F15" s="3168" t="s">
        <v>3540</v>
      </c>
      <c r="O15" s="3168">
        <v>14</v>
      </c>
      <c r="P15" s="3168" t="s">
        <v>3441</v>
      </c>
      <c r="Q15" s="3168">
        <v>-105</v>
      </c>
      <c r="R15" s="3168">
        <v>9.92</v>
      </c>
      <c r="S15" s="3168">
        <v>3.46</v>
      </c>
      <c r="T15" s="3167" t="s">
        <v>3544</v>
      </c>
      <c r="V15" s="3168">
        <v>14</v>
      </c>
      <c r="W15" s="3168" t="s">
        <v>3538</v>
      </c>
      <c r="X15" s="3168">
        <v>-1014</v>
      </c>
      <c r="Y15" s="3168">
        <v>25.39</v>
      </c>
      <c r="Z15" s="3168">
        <v>8.8699999999999992</v>
      </c>
      <c r="AA15" s="3167" t="s">
        <v>3546</v>
      </c>
    </row>
    <row r="16" spans="1:27" ht="14.25">
      <c r="A16" s="3168">
        <v>15</v>
      </c>
      <c r="B16" s="3168" t="s">
        <v>3441</v>
      </c>
      <c r="C16" s="3168" t="s">
        <v>3442</v>
      </c>
      <c r="D16" s="3168">
        <v>95.69</v>
      </c>
      <c r="E16" s="3168">
        <v>33.409999999999997</v>
      </c>
      <c r="F16" s="3168" t="s">
        <v>3540</v>
      </c>
      <c r="O16" s="3168">
        <v>15</v>
      </c>
      <c r="P16" s="3168" t="s">
        <v>3441</v>
      </c>
      <c r="Q16" s="3168">
        <v>-106</v>
      </c>
      <c r="R16" s="3168">
        <v>6.32</v>
      </c>
      <c r="S16" s="3168">
        <v>2.21</v>
      </c>
      <c r="T16" s="3167" t="s">
        <v>3544</v>
      </c>
      <c r="V16" s="3168">
        <v>15</v>
      </c>
      <c r="W16" s="3168" t="s">
        <v>3538</v>
      </c>
      <c r="X16" s="3168">
        <v>-1015</v>
      </c>
      <c r="Y16" s="3168">
        <v>25.39</v>
      </c>
      <c r="Z16" s="3168">
        <v>8.8699999999999992</v>
      </c>
      <c r="AA16" s="3167" t="s">
        <v>3546</v>
      </c>
    </row>
    <row r="17" spans="1:27" ht="14.25">
      <c r="A17" s="3168">
        <v>16</v>
      </c>
      <c r="B17" s="3168" t="s">
        <v>3441</v>
      </c>
      <c r="C17" s="3168" t="s">
        <v>3443</v>
      </c>
      <c r="D17" s="3168">
        <v>95.69</v>
      </c>
      <c r="E17" s="3168">
        <v>33.409999999999997</v>
      </c>
      <c r="F17" s="3168" t="s">
        <v>3540</v>
      </c>
      <c r="O17" s="3168">
        <v>16</v>
      </c>
      <c r="P17" s="3168" t="s">
        <v>3441</v>
      </c>
      <c r="Q17" s="3168">
        <v>-107</v>
      </c>
      <c r="R17" s="3168">
        <v>9.3800000000000008</v>
      </c>
      <c r="S17" s="3168">
        <v>3.28</v>
      </c>
      <c r="T17" s="3167" t="s">
        <v>3544</v>
      </c>
      <c r="V17" s="3168">
        <v>16</v>
      </c>
      <c r="W17" s="3168" t="s">
        <v>3538</v>
      </c>
      <c r="X17" s="3168">
        <v>-1016</v>
      </c>
      <c r="Y17" s="3168">
        <v>25.39</v>
      </c>
      <c r="Z17" s="3168">
        <v>8.8699999999999992</v>
      </c>
      <c r="AA17" s="3167" t="s">
        <v>3546</v>
      </c>
    </row>
    <row r="18" spans="1:27" ht="14.25">
      <c r="A18" s="3168">
        <v>17</v>
      </c>
      <c r="B18" s="3168" t="s">
        <v>3441</v>
      </c>
      <c r="C18" s="3168" t="s">
        <v>3444</v>
      </c>
      <c r="D18" s="3168">
        <v>95.69</v>
      </c>
      <c r="E18" s="3168">
        <v>33.409999999999997</v>
      </c>
      <c r="F18" s="3168" t="s">
        <v>3540</v>
      </c>
      <c r="O18" s="3168">
        <v>17</v>
      </c>
      <c r="P18" s="3168" t="s">
        <v>3441</v>
      </c>
      <c r="Q18" s="3168">
        <v>-108</v>
      </c>
      <c r="R18" s="3168">
        <v>13.18</v>
      </c>
      <c r="S18" s="3168">
        <v>4.5999999999999996</v>
      </c>
      <c r="T18" s="3167" t="s">
        <v>3544</v>
      </c>
      <c r="V18" s="3168">
        <v>17</v>
      </c>
      <c r="W18" s="3168" t="s">
        <v>3538</v>
      </c>
      <c r="X18" s="3168">
        <v>-1017</v>
      </c>
      <c r="Y18" s="3168">
        <v>25.39</v>
      </c>
      <c r="Z18" s="3168">
        <v>8.8699999999999992</v>
      </c>
      <c r="AA18" s="3167" t="s">
        <v>3546</v>
      </c>
    </row>
    <row r="19" spans="1:27" ht="14.25">
      <c r="A19" s="3168">
        <v>18</v>
      </c>
      <c r="B19" s="3168" t="s">
        <v>3441</v>
      </c>
      <c r="C19" s="3168" t="s">
        <v>3445</v>
      </c>
      <c r="D19" s="3168">
        <v>95.69</v>
      </c>
      <c r="E19" s="3168">
        <v>33.409999999999997</v>
      </c>
      <c r="F19" s="3168" t="s">
        <v>3540</v>
      </c>
      <c r="O19" s="3168">
        <v>18</v>
      </c>
      <c r="P19" s="3168" t="s">
        <v>3441</v>
      </c>
      <c r="Q19" s="3168">
        <v>-109</v>
      </c>
      <c r="R19" s="3168">
        <v>15.06</v>
      </c>
      <c r="S19" s="3168">
        <v>5.26</v>
      </c>
      <c r="T19" s="3167" t="s">
        <v>3544</v>
      </c>
      <c r="V19" s="3168">
        <v>18</v>
      </c>
      <c r="W19" s="3168" t="s">
        <v>3538</v>
      </c>
      <c r="X19" s="3168">
        <v>-1018</v>
      </c>
      <c r="Y19" s="3168">
        <v>25.39</v>
      </c>
      <c r="Z19" s="3168">
        <v>8.8699999999999992</v>
      </c>
      <c r="AA19" s="3167" t="s">
        <v>3546</v>
      </c>
    </row>
    <row r="20" spans="1:27" ht="14.25">
      <c r="A20" s="3168">
        <v>19</v>
      </c>
      <c r="B20" s="3168" t="s">
        <v>3441</v>
      </c>
      <c r="C20" s="3168" t="s">
        <v>3428</v>
      </c>
      <c r="D20" s="3168">
        <v>68.25</v>
      </c>
      <c r="E20" s="3168">
        <v>23.83</v>
      </c>
      <c r="F20" s="3168" t="s">
        <v>3540</v>
      </c>
      <c r="H20" s="3168" t="s">
        <v>3420</v>
      </c>
      <c r="I20" s="3168" t="s">
        <v>3421</v>
      </c>
      <c r="J20" s="3168" t="s">
        <v>3422</v>
      </c>
      <c r="K20" s="3168" t="s">
        <v>3423</v>
      </c>
      <c r="L20" s="3168" t="s">
        <v>3424</v>
      </c>
      <c r="M20" s="3168" t="s">
        <v>3425</v>
      </c>
      <c r="O20" s="3168">
        <v>19</v>
      </c>
      <c r="P20" s="3168" t="s">
        <v>3441</v>
      </c>
      <c r="Q20" s="3168">
        <v>-110</v>
      </c>
      <c r="R20" s="3168">
        <v>15.06</v>
      </c>
      <c r="S20" s="3168">
        <v>5.26</v>
      </c>
      <c r="T20" s="3167" t="s">
        <v>3544</v>
      </c>
      <c r="V20" s="3168">
        <v>19</v>
      </c>
      <c r="W20" s="3168" t="s">
        <v>3538</v>
      </c>
      <c r="X20" s="3168">
        <v>-1019</v>
      </c>
      <c r="Y20" s="3168">
        <v>25.39</v>
      </c>
      <c r="Z20" s="3168">
        <v>8.8699999999999992</v>
      </c>
      <c r="AA20" s="3167" t="s">
        <v>3546</v>
      </c>
    </row>
    <row r="21" spans="1:27" ht="14.25">
      <c r="A21" s="3168">
        <v>20</v>
      </c>
      <c r="B21" s="3168" t="s">
        <v>3441</v>
      </c>
      <c r="C21" s="3168" t="s">
        <v>3429</v>
      </c>
      <c r="D21" s="3168">
        <v>95.56</v>
      </c>
      <c r="E21" s="3168">
        <v>33.369999999999997</v>
      </c>
      <c r="F21" s="3168" t="s">
        <v>3540</v>
      </c>
      <c r="H21" s="3168">
        <v>1</v>
      </c>
      <c r="I21" s="3168" t="s">
        <v>3538</v>
      </c>
      <c r="J21" s="3168">
        <v>-1540</v>
      </c>
      <c r="K21" s="3168">
        <v>269.45999999999998</v>
      </c>
      <c r="L21" s="3168">
        <v>94.09</v>
      </c>
      <c r="M21" s="3167" t="s">
        <v>3547</v>
      </c>
      <c r="O21" s="3168">
        <v>20</v>
      </c>
      <c r="P21" s="3168" t="s">
        <v>3441</v>
      </c>
      <c r="Q21" s="3168">
        <v>-111</v>
      </c>
      <c r="R21" s="3168">
        <v>13.18</v>
      </c>
      <c r="S21" s="3168">
        <v>4.5999999999999996</v>
      </c>
      <c r="T21" s="3167" t="s">
        <v>3544</v>
      </c>
      <c r="V21" s="3168">
        <v>20</v>
      </c>
      <c r="W21" s="3168" t="s">
        <v>3538</v>
      </c>
      <c r="X21" s="3168">
        <v>-1020</v>
      </c>
      <c r="Y21" s="3168">
        <v>25.39</v>
      </c>
      <c r="Z21" s="3168">
        <v>8.8699999999999992</v>
      </c>
      <c r="AA21" s="3167" t="s">
        <v>3546</v>
      </c>
    </row>
    <row r="22" spans="1:27" ht="14.25">
      <c r="A22" s="3168">
        <v>21</v>
      </c>
      <c r="B22" s="3168" t="s">
        <v>3441</v>
      </c>
      <c r="C22" s="3168" t="s">
        <v>3446</v>
      </c>
      <c r="D22" s="3168">
        <v>68.05</v>
      </c>
      <c r="E22" s="3168">
        <v>23.76</v>
      </c>
      <c r="F22" s="3168" t="s">
        <v>3540</v>
      </c>
      <c r="H22" s="3168">
        <v>2</v>
      </c>
      <c r="I22" s="3168" t="s">
        <v>3538</v>
      </c>
      <c r="J22" s="3168">
        <v>-1541</v>
      </c>
      <c r="K22" s="3168">
        <v>269.45999999999998</v>
      </c>
      <c r="L22" s="3168">
        <v>94.09</v>
      </c>
      <c r="M22" s="3167" t="s">
        <v>3547</v>
      </c>
      <c r="O22" s="3168">
        <v>21</v>
      </c>
      <c r="P22" s="3168" t="s">
        <v>3441</v>
      </c>
      <c r="Q22" s="3168">
        <v>-112</v>
      </c>
      <c r="R22" s="3168">
        <v>14.31</v>
      </c>
      <c r="S22" s="3168">
        <v>5</v>
      </c>
      <c r="T22" s="3167" t="s">
        <v>3544</v>
      </c>
      <c r="V22" s="3168">
        <v>21</v>
      </c>
      <c r="W22" s="3168" t="s">
        <v>3538</v>
      </c>
      <c r="X22" s="3168">
        <v>-1021</v>
      </c>
      <c r="Y22" s="3168">
        <v>25.39</v>
      </c>
      <c r="Z22" s="3168">
        <v>8.8699999999999992</v>
      </c>
      <c r="AA22" s="3167" t="s">
        <v>3546</v>
      </c>
    </row>
    <row r="23" spans="1:27" ht="14.25">
      <c r="A23" s="3168">
        <v>22</v>
      </c>
      <c r="B23" s="3168" t="s">
        <v>3441</v>
      </c>
      <c r="C23" s="3168" t="s">
        <v>3447</v>
      </c>
      <c r="D23" s="3168">
        <v>95.08</v>
      </c>
      <c r="E23" s="3168">
        <v>33.200000000000003</v>
      </c>
      <c r="F23" s="3168" t="s">
        <v>3540</v>
      </c>
      <c r="H23" s="3168">
        <v>3</v>
      </c>
      <c r="I23" s="3168" t="s">
        <v>3538</v>
      </c>
      <c r="J23" s="3168">
        <v>-1542</v>
      </c>
      <c r="K23" s="3168">
        <v>269.45999999999998</v>
      </c>
      <c r="L23" s="3168">
        <v>94.09</v>
      </c>
      <c r="M23" s="3167" t="s">
        <v>3547</v>
      </c>
      <c r="O23" s="3168">
        <v>22</v>
      </c>
      <c r="P23" s="3168" t="s">
        <v>3450</v>
      </c>
      <c r="Q23" s="3168">
        <v>-101</v>
      </c>
      <c r="R23" s="3168">
        <v>8.36</v>
      </c>
      <c r="S23" s="3168">
        <v>2.92</v>
      </c>
      <c r="T23" s="3167" t="s">
        <v>3544</v>
      </c>
      <c r="V23" s="3168">
        <v>22</v>
      </c>
      <c r="W23" s="3168" t="s">
        <v>3538</v>
      </c>
      <c r="X23" s="3168">
        <v>-1022</v>
      </c>
      <c r="Y23" s="3168">
        <v>25.39</v>
      </c>
      <c r="Z23" s="3168">
        <v>8.8699999999999992</v>
      </c>
      <c r="AA23" s="3167" t="s">
        <v>3546</v>
      </c>
    </row>
    <row r="24" spans="1:27" ht="14.25">
      <c r="A24" s="3168">
        <v>23</v>
      </c>
      <c r="B24" s="3168" t="s">
        <v>3441</v>
      </c>
      <c r="C24" s="3168" t="s">
        <v>3448</v>
      </c>
      <c r="D24" s="3168">
        <v>95.44</v>
      </c>
      <c r="E24" s="3168">
        <v>33.33</v>
      </c>
      <c r="F24" s="3168" t="s">
        <v>3540</v>
      </c>
      <c r="H24" s="3168">
        <v>4</v>
      </c>
      <c r="I24" s="3168" t="s">
        <v>3538</v>
      </c>
      <c r="J24" s="3168">
        <v>-1543</v>
      </c>
      <c r="K24" s="3168">
        <v>269.45999999999998</v>
      </c>
      <c r="L24" s="3168">
        <v>94.09</v>
      </c>
      <c r="M24" s="3167" t="s">
        <v>3547</v>
      </c>
      <c r="O24" s="3168">
        <v>23</v>
      </c>
      <c r="P24" s="3168" t="s">
        <v>3450</v>
      </c>
      <c r="Q24" s="3168">
        <v>-102</v>
      </c>
      <c r="R24" s="3168">
        <v>8.36</v>
      </c>
      <c r="S24" s="3168">
        <v>2.92</v>
      </c>
      <c r="T24" s="3167" t="s">
        <v>3544</v>
      </c>
      <c r="V24" s="3168">
        <v>23</v>
      </c>
      <c r="W24" s="3168" t="s">
        <v>3538</v>
      </c>
      <c r="X24" s="3168">
        <v>-1023</v>
      </c>
      <c r="Y24" s="3168">
        <v>25.39</v>
      </c>
      <c r="Z24" s="3168">
        <v>8.8699999999999992</v>
      </c>
      <c r="AA24" s="3167" t="s">
        <v>3546</v>
      </c>
    </row>
    <row r="25" spans="1:27" ht="14.25">
      <c r="A25" s="3168">
        <v>24</v>
      </c>
      <c r="B25" s="3168" t="s">
        <v>3441</v>
      </c>
      <c r="C25" s="3168" t="s">
        <v>3449</v>
      </c>
      <c r="D25" s="3168">
        <v>95.08</v>
      </c>
      <c r="E25" s="3168">
        <v>33.200000000000003</v>
      </c>
      <c r="F25" s="3168" t="s">
        <v>3540</v>
      </c>
      <c r="H25" s="3168">
        <v>5</v>
      </c>
      <c r="I25" s="3168" t="s">
        <v>3538</v>
      </c>
      <c r="J25" s="3168">
        <v>-1544</v>
      </c>
      <c r="K25" s="3168">
        <v>269.45999999999998</v>
      </c>
      <c r="L25" s="3168">
        <v>94.09</v>
      </c>
      <c r="M25" s="3167" t="s">
        <v>3547</v>
      </c>
      <c r="O25" s="3168">
        <v>24</v>
      </c>
      <c r="P25" s="3168" t="s">
        <v>3450</v>
      </c>
      <c r="Q25" s="3168">
        <v>-103</v>
      </c>
      <c r="R25" s="3168">
        <v>8.5299999999999994</v>
      </c>
      <c r="S25" s="3168">
        <v>2.98</v>
      </c>
      <c r="T25" s="3167" t="s">
        <v>3544</v>
      </c>
      <c r="V25" s="3168">
        <v>24</v>
      </c>
      <c r="W25" s="3168" t="s">
        <v>3538</v>
      </c>
      <c r="X25" s="3168">
        <v>-1024</v>
      </c>
      <c r="Y25" s="3168">
        <v>25.39</v>
      </c>
      <c r="Z25" s="3168">
        <v>8.8699999999999992</v>
      </c>
      <c r="AA25" s="3167" t="s">
        <v>3546</v>
      </c>
    </row>
    <row r="26" spans="1:27" ht="14.25">
      <c r="A26" s="3168">
        <v>25</v>
      </c>
      <c r="B26" s="3168" t="s">
        <v>3450</v>
      </c>
      <c r="C26" s="3168" t="s">
        <v>3451</v>
      </c>
      <c r="D26" s="3168">
        <v>115.04</v>
      </c>
      <c r="E26" s="3168">
        <v>40.17</v>
      </c>
      <c r="F26" s="3168" t="s">
        <v>3540</v>
      </c>
      <c r="H26" s="3168">
        <v>6</v>
      </c>
      <c r="I26" s="3168" t="s">
        <v>3538</v>
      </c>
      <c r="J26" s="3168">
        <v>-1545</v>
      </c>
      <c r="K26" s="3168">
        <v>269.45999999999998</v>
      </c>
      <c r="L26" s="3168">
        <v>94.09</v>
      </c>
      <c r="M26" s="3167" t="s">
        <v>3547</v>
      </c>
      <c r="O26" s="3168">
        <v>25</v>
      </c>
      <c r="P26" s="3168" t="s">
        <v>3450</v>
      </c>
      <c r="Q26" s="3168">
        <v>-104</v>
      </c>
      <c r="R26" s="3168">
        <v>8.89</v>
      </c>
      <c r="S26" s="3168">
        <v>3.1</v>
      </c>
      <c r="T26" s="3167" t="s">
        <v>3544</v>
      </c>
      <c r="V26" s="3168">
        <v>25</v>
      </c>
      <c r="W26" s="3168" t="s">
        <v>3538</v>
      </c>
      <c r="X26" s="3168">
        <v>-1025</v>
      </c>
      <c r="Y26" s="3168">
        <v>25.39</v>
      </c>
      <c r="Z26" s="3168">
        <v>8.8699999999999992</v>
      </c>
      <c r="AA26" s="3167" t="s">
        <v>3546</v>
      </c>
    </row>
    <row r="27" spans="1:27" ht="14.25">
      <c r="A27" s="3168">
        <v>26</v>
      </c>
      <c r="B27" s="3168" t="s">
        <v>3450</v>
      </c>
      <c r="C27" s="3168" t="s">
        <v>3452</v>
      </c>
      <c r="D27" s="3168">
        <v>111.68</v>
      </c>
      <c r="E27" s="3168">
        <v>39</v>
      </c>
      <c r="F27" s="3168" t="s">
        <v>3540</v>
      </c>
      <c r="H27" s="3168">
        <v>7</v>
      </c>
      <c r="I27" s="3168" t="s">
        <v>3538</v>
      </c>
      <c r="J27" s="3168">
        <v>-1546</v>
      </c>
      <c r="K27" s="3168">
        <v>269.45999999999998</v>
      </c>
      <c r="L27" s="3168">
        <v>94.09</v>
      </c>
      <c r="M27" s="3167" t="s">
        <v>3547</v>
      </c>
      <c r="O27" s="3168">
        <v>26</v>
      </c>
      <c r="P27" s="3168" t="s">
        <v>3450</v>
      </c>
      <c r="Q27" s="3168">
        <v>-105</v>
      </c>
      <c r="R27" s="3168">
        <v>4.66</v>
      </c>
      <c r="S27" s="3168">
        <v>1.63</v>
      </c>
      <c r="T27" s="3167" t="s">
        <v>3544</v>
      </c>
      <c r="V27" s="3168">
        <v>26</v>
      </c>
      <c r="W27" s="3168" t="s">
        <v>3538</v>
      </c>
      <c r="X27" s="3168">
        <v>-1026</v>
      </c>
      <c r="Y27" s="3168">
        <v>25.39</v>
      </c>
      <c r="Z27" s="3168">
        <v>8.8699999999999992</v>
      </c>
      <c r="AA27" s="3167" t="s">
        <v>3546</v>
      </c>
    </row>
    <row r="28" spans="1:27" ht="14.25">
      <c r="A28" s="3168">
        <v>27</v>
      </c>
      <c r="B28" s="3168" t="s">
        <v>3450</v>
      </c>
      <c r="C28" s="3168" t="s">
        <v>3453</v>
      </c>
      <c r="D28" s="3168">
        <v>115.04</v>
      </c>
      <c r="E28" s="3168">
        <v>40.17</v>
      </c>
      <c r="F28" s="3168" t="s">
        <v>3540</v>
      </c>
      <c r="K28" s="3168">
        <f>SUM(K21:K27)</f>
        <v>1886.22</v>
      </c>
      <c r="L28" s="3168">
        <f>SUM(L21:L27)</f>
        <v>658.63000000000011</v>
      </c>
      <c r="O28" s="3168">
        <v>27</v>
      </c>
      <c r="P28" s="3168" t="s">
        <v>3450</v>
      </c>
      <c r="Q28" s="3168">
        <v>-106</v>
      </c>
      <c r="R28" s="3168">
        <v>11.98</v>
      </c>
      <c r="S28" s="3168">
        <v>4.18</v>
      </c>
      <c r="T28" s="3167" t="s">
        <v>3544</v>
      </c>
      <c r="V28" s="3168">
        <v>27</v>
      </c>
      <c r="W28" s="3168" t="s">
        <v>3538</v>
      </c>
      <c r="X28" s="3168">
        <v>-1027</v>
      </c>
      <c r="Y28" s="3168">
        <v>25.39</v>
      </c>
      <c r="Z28" s="3168">
        <v>8.8699999999999992</v>
      </c>
      <c r="AA28" s="3167" t="s">
        <v>3546</v>
      </c>
    </row>
    <row r="29" spans="1:27" ht="14.25">
      <c r="A29" s="3168">
        <v>28</v>
      </c>
      <c r="B29" s="3168" t="s">
        <v>3450</v>
      </c>
      <c r="C29" s="3168" t="s">
        <v>3427</v>
      </c>
      <c r="D29" s="3168">
        <v>115.04</v>
      </c>
      <c r="E29" s="3168">
        <v>40.17</v>
      </c>
      <c r="F29" s="3168" t="s">
        <v>3540</v>
      </c>
      <c r="O29" s="3168">
        <v>28</v>
      </c>
      <c r="P29" s="3168" t="s">
        <v>3450</v>
      </c>
      <c r="Q29" s="3168">
        <v>-107</v>
      </c>
      <c r="R29" s="3168">
        <v>11.98</v>
      </c>
      <c r="S29" s="3168">
        <v>4.18</v>
      </c>
      <c r="T29" s="3167" t="s">
        <v>3544</v>
      </c>
      <c r="V29" s="3168">
        <v>28</v>
      </c>
      <c r="W29" s="3168" t="s">
        <v>3538</v>
      </c>
      <c r="X29" s="3168">
        <v>-1028</v>
      </c>
      <c r="Y29" s="3168">
        <v>25.39</v>
      </c>
      <c r="Z29" s="3168">
        <v>8.8699999999999992</v>
      </c>
      <c r="AA29" s="3167" t="s">
        <v>3546</v>
      </c>
    </row>
    <row r="30" spans="1:27" ht="14.25">
      <c r="A30" s="3168">
        <v>29</v>
      </c>
      <c r="B30" s="3168" t="s">
        <v>3450</v>
      </c>
      <c r="C30" s="3168" t="s">
        <v>3428</v>
      </c>
      <c r="D30" s="3168">
        <v>111.68</v>
      </c>
      <c r="E30" s="3168">
        <v>39</v>
      </c>
      <c r="F30" s="3168" t="s">
        <v>3540</v>
      </c>
      <c r="O30" s="3168">
        <v>29</v>
      </c>
      <c r="P30" s="3168" t="s">
        <v>3450</v>
      </c>
      <c r="Q30" s="3168">
        <v>-108</v>
      </c>
      <c r="R30" s="3168">
        <v>8.89</v>
      </c>
      <c r="S30" s="3168">
        <v>3.1</v>
      </c>
      <c r="T30" s="3167" t="s">
        <v>3544</v>
      </c>
      <c r="V30" s="3168">
        <v>29</v>
      </c>
      <c r="W30" s="3168" t="s">
        <v>3538</v>
      </c>
      <c r="X30" s="3168">
        <v>-1029</v>
      </c>
      <c r="Y30" s="3168">
        <v>25.39</v>
      </c>
      <c r="Z30" s="3168">
        <v>8.8699999999999992</v>
      </c>
      <c r="AA30" s="3167" t="s">
        <v>3546</v>
      </c>
    </row>
    <row r="31" spans="1:27" ht="14.25">
      <c r="A31" s="3168">
        <v>30</v>
      </c>
      <c r="B31" s="3168" t="s">
        <v>3450</v>
      </c>
      <c r="C31" s="3168" t="s">
        <v>3454</v>
      </c>
      <c r="D31" s="3168">
        <v>115.04</v>
      </c>
      <c r="E31" s="3168">
        <v>40.17</v>
      </c>
      <c r="F31" s="3168" t="s">
        <v>3540</v>
      </c>
      <c r="K31" s="3167" t="s">
        <v>3548</v>
      </c>
      <c r="L31" s="3167" t="s">
        <v>3549</v>
      </c>
      <c r="O31" s="3168">
        <v>30</v>
      </c>
      <c r="P31" s="3168" t="s">
        <v>3450</v>
      </c>
      <c r="Q31" s="3168">
        <v>-109</v>
      </c>
      <c r="R31" s="3168">
        <v>8.5299999999999994</v>
      </c>
      <c r="S31" s="3168">
        <v>2.98</v>
      </c>
      <c r="T31" s="3167" t="s">
        <v>3544</v>
      </c>
      <c r="V31" s="3168">
        <v>30</v>
      </c>
      <c r="W31" s="3168" t="s">
        <v>3538</v>
      </c>
      <c r="X31" s="3168">
        <v>-1030</v>
      </c>
      <c r="Y31" s="3168">
        <v>25.39</v>
      </c>
      <c r="Z31" s="3168">
        <v>8.8699999999999992</v>
      </c>
      <c r="AA31" s="3167" t="s">
        <v>3546</v>
      </c>
    </row>
    <row r="32" spans="1:27" ht="14.25">
      <c r="A32" s="3168">
        <v>31</v>
      </c>
      <c r="B32" s="3168" t="s">
        <v>3450</v>
      </c>
      <c r="C32" s="3168" t="s">
        <v>3455</v>
      </c>
      <c r="D32" s="3168">
        <v>111.68</v>
      </c>
      <c r="E32" s="3168">
        <v>39</v>
      </c>
      <c r="F32" s="3168" t="s">
        <v>3540</v>
      </c>
      <c r="J32" s="3167" t="s">
        <v>2542</v>
      </c>
      <c r="K32" s="3168">
        <f>D479</f>
        <v>55618.469999999863</v>
      </c>
      <c r="L32" s="3168">
        <f>E479</f>
        <v>19421.170000000031</v>
      </c>
      <c r="O32" s="3168">
        <v>31</v>
      </c>
      <c r="P32" s="3168" t="s">
        <v>3450</v>
      </c>
      <c r="Q32" s="3168">
        <v>-110</v>
      </c>
      <c r="R32" s="3168">
        <v>8.36</v>
      </c>
      <c r="S32" s="3168">
        <v>2.92</v>
      </c>
      <c r="T32" s="3167" t="s">
        <v>3544</v>
      </c>
      <c r="V32" s="3168">
        <v>31</v>
      </c>
      <c r="W32" s="3168" t="s">
        <v>3538</v>
      </c>
      <c r="X32" s="3168">
        <v>-1031</v>
      </c>
      <c r="Y32" s="3168">
        <v>25.39</v>
      </c>
      <c r="Z32" s="3168">
        <v>8.8699999999999992</v>
      </c>
      <c r="AA32" s="3167" t="s">
        <v>3546</v>
      </c>
    </row>
    <row r="33" spans="1:27" ht="14.25">
      <c r="A33" s="3168">
        <v>32</v>
      </c>
      <c r="B33" s="3168" t="s">
        <v>3450</v>
      </c>
      <c r="C33" s="3168" t="s">
        <v>3456</v>
      </c>
      <c r="D33" s="3168">
        <v>115.04</v>
      </c>
      <c r="E33" s="3168">
        <v>40.17</v>
      </c>
      <c r="F33" s="3168" t="s">
        <v>3540</v>
      </c>
      <c r="J33" s="3167" t="s">
        <v>3550</v>
      </c>
      <c r="K33" s="3168">
        <f>K5</f>
        <v>522.33999999999992</v>
      </c>
      <c r="L33" s="3168">
        <f>L5</f>
        <v>182.39999999999998</v>
      </c>
      <c r="O33" s="3168">
        <v>32</v>
      </c>
      <c r="P33" s="3168" t="s">
        <v>3450</v>
      </c>
      <c r="Q33" s="3168">
        <v>-111</v>
      </c>
      <c r="R33" s="3168">
        <v>8.36</v>
      </c>
      <c r="S33" s="3168">
        <v>2.92</v>
      </c>
      <c r="T33" s="3167" t="s">
        <v>3544</v>
      </c>
      <c r="V33" s="3168">
        <v>32</v>
      </c>
      <c r="W33" s="3168" t="s">
        <v>3538</v>
      </c>
      <c r="X33" s="3168">
        <v>-1032</v>
      </c>
      <c r="Y33" s="3168">
        <v>25.39</v>
      </c>
      <c r="Z33" s="3168">
        <v>8.8699999999999992</v>
      </c>
      <c r="AA33" s="3167" t="s">
        <v>3546</v>
      </c>
    </row>
    <row r="34" spans="1:27" ht="14.25">
      <c r="A34" s="3168">
        <v>33</v>
      </c>
      <c r="B34" s="3168" t="s">
        <v>3450</v>
      </c>
      <c r="C34" s="3168" t="s">
        <v>3457</v>
      </c>
      <c r="D34" s="3168">
        <v>111.68</v>
      </c>
      <c r="E34" s="3168">
        <v>39</v>
      </c>
      <c r="F34" s="3168" t="s">
        <v>3540</v>
      </c>
      <c r="J34" s="3167" t="s">
        <v>3544</v>
      </c>
      <c r="K34" s="3168">
        <f>R261</f>
        <v>2565.2700000000004</v>
      </c>
      <c r="L34" s="3168">
        <f>S261</f>
        <v>895.81</v>
      </c>
      <c r="O34" s="3168">
        <v>33</v>
      </c>
      <c r="P34" s="3168" t="s">
        <v>3450</v>
      </c>
      <c r="Q34" s="3168">
        <v>-112</v>
      </c>
      <c r="R34" s="3168">
        <v>7.57</v>
      </c>
      <c r="S34" s="3168">
        <v>2.64</v>
      </c>
      <c r="T34" s="3167" t="s">
        <v>3544</v>
      </c>
      <c r="V34" s="3168">
        <v>33</v>
      </c>
      <c r="W34" s="3168" t="s">
        <v>3538</v>
      </c>
      <c r="X34" s="3168">
        <v>-1033</v>
      </c>
      <c r="Y34" s="3168">
        <v>25.39</v>
      </c>
      <c r="Z34" s="3168">
        <v>8.8699999999999992</v>
      </c>
      <c r="AA34" s="3167" t="s">
        <v>3546</v>
      </c>
    </row>
    <row r="35" spans="1:27" ht="14.25">
      <c r="A35" s="3168">
        <v>34</v>
      </c>
      <c r="B35" s="3168" t="s">
        <v>3450</v>
      </c>
      <c r="C35" s="3168" t="s">
        <v>3458</v>
      </c>
      <c r="D35" s="3168">
        <v>115.04</v>
      </c>
      <c r="E35" s="3168">
        <v>40.17</v>
      </c>
      <c r="F35" s="3168" t="s">
        <v>3540</v>
      </c>
      <c r="J35" s="3167" t="s">
        <v>3551</v>
      </c>
      <c r="K35" s="3168">
        <f>Y541</f>
        <v>13761.349999999919</v>
      </c>
      <c r="L35" s="3168">
        <f>Z541</f>
        <v>4807.5099999999557</v>
      </c>
      <c r="O35" s="3168">
        <v>34</v>
      </c>
      <c r="P35" s="3168" t="s">
        <v>3450</v>
      </c>
      <c r="Q35" s="3168">
        <v>-113</v>
      </c>
      <c r="R35" s="3168">
        <v>7.07</v>
      </c>
      <c r="S35" s="3168">
        <v>2.4700000000000002</v>
      </c>
      <c r="T35" s="3167" t="s">
        <v>3544</v>
      </c>
      <c r="V35" s="3168">
        <v>34</v>
      </c>
      <c r="W35" s="3168" t="s">
        <v>3538</v>
      </c>
      <c r="X35" s="3168">
        <v>-1034</v>
      </c>
      <c r="Y35" s="3168">
        <v>25.39</v>
      </c>
      <c r="Z35" s="3168">
        <v>8.8699999999999992</v>
      </c>
      <c r="AA35" s="3167" t="s">
        <v>3546</v>
      </c>
    </row>
    <row r="36" spans="1:27" ht="14.25">
      <c r="A36" s="3168">
        <v>35</v>
      </c>
      <c r="B36" s="3168" t="s">
        <v>3450</v>
      </c>
      <c r="C36" s="3168" t="s">
        <v>3459</v>
      </c>
      <c r="D36" s="3168">
        <v>111.68</v>
      </c>
      <c r="E36" s="3168">
        <v>39</v>
      </c>
      <c r="F36" s="3168" t="s">
        <v>3540</v>
      </c>
      <c r="J36" s="3167" t="s">
        <v>3547</v>
      </c>
      <c r="K36" s="3168">
        <f>K28</f>
        <v>1886.22</v>
      </c>
      <c r="L36" s="3168">
        <f>L28</f>
        <v>658.63000000000011</v>
      </c>
      <c r="O36" s="3168">
        <v>35</v>
      </c>
      <c r="P36" s="3168" t="s">
        <v>3450</v>
      </c>
      <c r="Q36" s="3168">
        <v>-114</v>
      </c>
      <c r="R36" s="3168">
        <v>7.07</v>
      </c>
      <c r="S36" s="3168">
        <v>2.4700000000000002</v>
      </c>
      <c r="T36" s="3167" t="s">
        <v>3544</v>
      </c>
      <c r="V36" s="3168">
        <v>35</v>
      </c>
      <c r="W36" s="3168" t="s">
        <v>3538</v>
      </c>
      <c r="X36" s="3168">
        <v>-1035</v>
      </c>
      <c r="Y36" s="3168">
        <v>25.39</v>
      </c>
      <c r="Z36" s="3168">
        <v>8.8699999999999992</v>
      </c>
      <c r="AA36" s="3167" t="s">
        <v>3546</v>
      </c>
    </row>
    <row r="37" spans="1:27" ht="14.25">
      <c r="A37" s="3168">
        <v>36</v>
      </c>
      <c r="B37" s="3168" t="s">
        <v>3450</v>
      </c>
      <c r="C37" s="3168" t="s">
        <v>3460</v>
      </c>
      <c r="D37" s="3168">
        <v>115.04</v>
      </c>
      <c r="E37" s="3168">
        <v>40.17</v>
      </c>
      <c r="F37" s="3168" t="s">
        <v>3540</v>
      </c>
      <c r="K37" s="3168">
        <f>SUM(K32:K36)</f>
        <v>74353.649999999776</v>
      </c>
      <c r="L37" s="3168">
        <f>SUM(L32:L36)</f>
        <v>25965.51999999999</v>
      </c>
      <c r="O37" s="3168">
        <v>36</v>
      </c>
      <c r="P37" s="3168" t="s">
        <v>3450</v>
      </c>
      <c r="Q37" s="3168">
        <v>-115</v>
      </c>
      <c r="R37" s="3168">
        <v>7.96</v>
      </c>
      <c r="S37" s="3168">
        <v>2.78</v>
      </c>
      <c r="T37" s="3167" t="s">
        <v>3544</v>
      </c>
      <c r="V37" s="3168">
        <v>36</v>
      </c>
      <c r="W37" s="3168" t="s">
        <v>3538</v>
      </c>
      <c r="X37" s="3168">
        <v>-1036</v>
      </c>
      <c r="Y37" s="3168">
        <v>25.39</v>
      </c>
      <c r="Z37" s="3168">
        <v>8.8699999999999992</v>
      </c>
      <c r="AA37" s="3167" t="s">
        <v>3546</v>
      </c>
    </row>
    <row r="38" spans="1:27" ht="14.25">
      <c r="A38" s="3168">
        <v>37</v>
      </c>
      <c r="B38" s="3168" t="s">
        <v>3450</v>
      </c>
      <c r="C38" s="3168" t="s">
        <v>3461</v>
      </c>
      <c r="D38" s="3168">
        <v>111.68</v>
      </c>
      <c r="E38" s="3168">
        <v>39</v>
      </c>
      <c r="F38" s="3168" t="s">
        <v>3540</v>
      </c>
      <c r="O38" s="3168">
        <v>37</v>
      </c>
      <c r="P38" s="3168" t="s">
        <v>3450</v>
      </c>
      <c r="Q38" s="3168">
        <v>-116</v>
      </c>
      <c r="R38" s="3168">
        <v>10.16</v>
      </c>
      <c r="S38" s="3168">
        <v>3.55</v>
      </c>
      <c r="T38" s="3167" t="s">
        <v>3544</v>
      </c>
      <c r="V38" s="3168">
        <v>37</v>
      </c>
      <c r="W38" s="3168" t="s">
        <v>3538</v>
      </c>
      <c r="X38" s="3168">
        <v>-1037</v>
      </c>
      <c r="Y38" s="3168">
        <v>25.39</v>
      </c>
      <c r="Z38" s="3168">
        <v>8.8699999999999992</v>
      </c>
      <c r="AA38" s="3167" t="s">
        <v>3546</v>
      </c>
    </row>
    <row r="39" spans="1:27" ht="14.25">
      <c r="A39" s="3168">
        <v>38</v>
      </c>
      <c r="B39" s="3168" t="s">
        <v>3450</v>
      </c>
      <c r="C39" s="3168" t="s">
        <v>3429</v>
      </c>
      <c r="D39" s="3168">
        <v>112.01</v>
      </c>
      <c r="E39" s="3168">
        <v>39.11</v>
      </c>
      <c r="F39" s="3168" t="s">
        <v>3540</v>
      </c>
      <c r="O39" s="3168">
        <v>38</v>
      </c>
      <c r="P39" s="3168" t="s">
        <v>3450</v>
      </c>
      <c r="Q39" s="3168">
        <v>-117</v>
      </c>
      <c r="R39" s="3168">
        <v>11.48</v>
      </c>
      <c r="S39" s="3168">
        <v>4.01</v>
      </c>
      <c r="T39" s="3167" t="s">
        <v>3544</v>
      </c>
      <c r="V39" s="3168">
        <v>38</v>
      </c>
      <c r="W39" s="3168" t="s">
        <v>3538</v>
      </c>
      <c r="X39" s="3168">
        <v>-1038</v>
      </c>
      <c r="Y39" s="3168">
        <v>25.39</v>
      </c>
      <c r="Z39" s="3168">
        <v>8.8699999999999992</v>
      </c>
      <c r="AA39" s="3167" t="s">
        <v>3546</v>
      </c>
    </row>
    <row r="40" spans="1:27" ht="14.25">
      <c r="A40" s="3168">
        <v>39</v>
      </c>
      <c r="B40" s="3168" t="s">
        <v>3450</v>
      </c>
      <c r="C40" s="3168" t="s">
        <v>3462</v>
      </c>
      <c r="D40" s="3168">
        <v>111.66</v>
      </c>
      <c r="E40" s="3168">
        <v>38.99</v>
      </c>
      <c r="F40" s="3168" t="s">
        <v>3540</v>
      </c>
      <c r="O40" s="3168">
        <v>39</v>
      </c>
      <c r="P40" s="3168" t="s">
        <v>3450</v>
      </c>
      <c r="Q40" s="3168">
        <v>-118</v>
      </c>
      <c r="R40" s="3168">
        <v>7.5</v>
      </c>
      <c r="S40" s="3168">
        <v>2.62</v>
      </c>
      <c r="T40" s="3167" t="s">
        <v>3544</v>
      </c>
      <c r="V40" s="3168">
        <v>39</v>
      </c>
      <c r="W40" s="3168" t="s">
        <v>3538</v>
      </c>
      <c r="X40" s="3168">
        <v>-1039</v>
      </c>
      <c r="Y40" s="3168">
        <v>25.39</v>
      </c>
      <c r="Z40" s="3168">
        <v>8.8699999999999992</v>
      </c>
      <c r="AA40" s="3167" t="s">
        <v>3546</v>
      </c>
    </row>
    <row r="41" spans="1:27" ht="14.25">
      <c r="A41" s="3168">
        <v>40</v>
      </c>
      <c r="B41" s="3168" t="s">
        <v>3450</v>
      </c>
      <c r="C41" s="3168" t="s">
        <v>3463</v>
      </c>
      <c r="D41" s="3168">
        <v>112.01</v>
      </c>
      <c r="E41" s="3168">
        <v>39.11</v>
      </c>
      <c r="F41" s="3168" t="s">
        <v>3540</v>
      </c>
      <c r="O41" s="3168">
        <v>40</v>
      </c>
      <c r="P41" s="3168" t="s">
        <v>3450</v>
      </c>
      <c r="Q41" s="3168">
        <v>-119</v>
      </c>
      <c r="R41" s="3168">
        <v>4.75</v>
      </c>
      <c r="S41" s="3168">
        <v>1.66</v>
      </c>
      <c r="T41" s="3167" t="s">
        <v>3544</v>
      </c>
      <c r="V41" s="3168">
        <v>40</v>
      </c>
      <c r="W41" s="3168" t="s">
        <v>3538</v>
      </c>
      <c r="X41" s="3168">
        <v>-1040</v>
      </c>
      <c r="Y41" s="3168">
        <v>25.39</v>
      </c>
      <c r="Z41" s="3168">
        <v>8.8699999999999992</v>
      </c>
      <c r="AA41" s="3167" t="s">
        <v>3546</v>
      </c>
    </row>
    <row r="42" spans="1:27" ht="14.25">
      <c r="A42" s="3168">
        <v>41</v>
      </c>
      <c r="B42" s="3168" t="s">
        <v>3450</v>
      </c>
      <c r="C42" s="3168" t="s">
        <v>3464</v>
      </c>
      <c r="D42" s="3168">
        <v>111.66</v>
      </c>
      <c r="E42" s="3168">
        <v>38.99</v>
      </c>
      <c r="F42" s="3168" t="s">
        <v>3540</v>
      </c>
      <c r="O42" s="3168">
        <v>41</v>
      </c>
      <c r="P42" s="3168" t="s">
        <v>3450</v>
      </c>
      <c r="Q42" s="3168">
        <v>-120</v>
      </c>
      <c r="R42" s="3168">
        <v>8.83</v>
      </c>
      <c r="S42" s="3168">
        <v>3.08</v>
      </c>
      <c r="T42" s="3167" t="s">
        <v>3544</v>
      </c>
      <c r="V42" s="3168">
        <v>41</v>
      </c>
      <c r="W42" s="3168" t="s">
        <v>3538</v>
      </c>
      <c r="X42" s="3168">
        <v>-1041</v>
      </c>
      <c r="Y42" s="3168">
        <v>25.39</v>
      </c>
      <c r="Z42" s="3168">
        <v>8.8699999999999992</v>
      </c>
      <c r="AA42" s="3167" t="s">
        <v>3546</v>
      </c>
    </row>
    <row r="43" spans="1:27" ht="14.25">
      <c r="A43" s="3168">
        <v>42</v>
      </c>
      <c r="B43" s="3168" t="s">
        <v>3450</v>
      </c>
      <c r="C43" s="3168" t="s">
        <v>3432</v>
      </c>
      <c r="D43" s="3168">
        <v>111.66</v>
      </c>
      <c r="E43" s="3168">
        <v>38.99</v>
      </c>
      <c r="F43" s="3168" t="s">
        <v>3540</v>
      </c>
      <c r="O43" s="3168">
        <v>42</v>
      </c>
      <c r="P43" s="3168" t="s">
        <v>3450</v>
      </c>
      <c r="Q43" s="3168">
        <v>-121</v>
      </c>
      <c r="R43" s="3168">
        <v>8.83</v>
      </c>
      <c r="S43" s="3168">
        <v>3.08</v>
      </c>
      <c r="T43" s="3167" t="s">
        <v>3544</v>
      </c>
      <c r="V43" s="3168">
        <v>42</v>
      </c>
      <c r="W43" s="3168" t="s">
        <v>3538</v>
      </c>
      <c r="X43" s="3168">
        <v>-1042</v>
      </c>
      <c r="Y43" s="3168">
        <v>25.39</v>
      </c>
      <c r="Z43" s="3168">
        <v>8.8699999999999992</v>
      </c>
      <c r="AA43" s="3167" t="s">
        <v>3546</v>
      </c>
    </row>
    <row r="44" spans="1:27" ht="14.25">
      <c r="A44" s="3168">
        <v>43</v>
      </c>
      <c r="B44" s="3168" t="s">
        <v>3450</v>
      </c>
      <c r="C44" s="3168" t="s">
        <v>3433</v>
      </c>
      <c r="D44" s="3168">
        <v>112.01</v>
      </c>
      <c r="E44" s="3168">
        <v>39.11</v>
      </c>
      <c r="F44" s="3168" t="s">
        <v>3540</v>
      </c>
      <c r="O44" s="3168">
        <v>43</v>
      </c>
      <c r="P44" s="3168" t="s">
        <v>3450</v>
      </c>
      <c r="Q44" s="3168">
        <v>-122</v>
      </c>
      <c r="R44" s="3168">
        <v>10.56</v>
      </c>
      <c r="S44" s="3168">
        <v>3.69</v>
      </c>
      <c r="T44" s="3167" t="s">
        <v>3544</v>
      </c>
      <c r="V44" s="3168">
        <v>43</v>
      </c>
      <c r="W44" s="3168" t="s">
        <v>3538</v>
      </c>
      <c r="X44" s="3168">
        <v>-1043</v>
      </c>
      <c r="Y44" s="3168">
        <v>25.39</v>
      </c>
      <c r="Z44" s="3168">
        <v>8.8699999999999992</v>
      </c>
      <c r="AA44" s="3167" t="s">
        <v>3546</v>
      </c>
    </row>
    <row r="45" spans="1:27" ht="14.25">
      <c r="A45" s="3168">
        <v>44</v>
      </c>
      <c r="B45" s="3168" t="s">
        <v>3450</v>
      </c>
      <c r="C45" s="3168" t="s">
        <v>3434</v>
      </c>
      <c r="D45" s="3168">
        <v>112.06</v>
      </c>
      <c r="E45" s="3168">
        <v>39.130000000000003</v>
      </c>
      <c r="F45" s="3168" t="s">
        <v>3540</v>
      </c>
      <c r="O45" s="3168">
        <v>44</v>
      </c>
      <c r="P45" s="3168" t="s">
        <v>3474</v>
      </c>
      <c r="Q45" s="3168">
        <v>-201</v>
      </c>
      <c r="R45" s="3168">
        <v>13.8</v>
      </c>
      <c r="S45" s="3168">
        <v>4.82</v>
      </c>
      <c r="T45" s="3167" t="s">
        <v>3544</v>
      </c>
      <c r="V45" s="3168">
        <v>44</v>
      </c>
      <c r="W45" s="3168" t="s">
        <v>3538</v>
      </c>
      <c r="X45" s="3168">
        <v>-1044</v>
      </c>
      <c r="Y45" s="3168">
        <v>25.39</v>
      </c>
      <c r="Z45" s="3168">
        <v>8.8699999999999992</v>
      </c>
      <c r="AA45" s="3167" t="s">
        <v>3546</v>
      </c>
    </row>
    <row r="46" spans="1:27" ht="14.25">
      <c r="A46" s="3168">
        <v>45</v>
      </c>
      <c r="B46" s="3168" t="s">
        <v>3450</v>
      </c>
      <c r="C46" s="3168" t="s">
        <v>3465</v>
      </c>
      <c r="D46" s="3168">
        <v>112.01</v>
      </c>
      <c r="E46" s="3168">
        <v>39.11</v>
      </c>
      <c r="F46" s="3168" t="s">
        <v>3540</v>
      </c>
      <c r="O46" s="3168">
        <v>45</v>
      </c>
      <c r="P46" s="3168" t="s">
        <v>3474</v>
      </c>
      <c r="Q46" s="3168">
        <v>-202</v>
      </c>
      <c r="R46" s="3168">
        <v>11.18</v>
      </c>
      <c r="S46" s="3168">
        <v>3.9</v>
      </c>
      <c r="T46" s="3167" t="s">
        <v>3544</v>
      </c>
      <c r="V46" s="3168">
        <v>45</v>
      </c>
      <c r="W46" s="3168" t="s">
        <v>3538</v>
      </c>
      <c r="X46" s="3168">
        <v>-1045</v>
      </c>
      <c r="Y46" s="3168">
        <v>25.39</v>
      </c>
      <c r="Z46" s="3168">
        <v>8.8699999999999992</v>
      </c>
      <c r="AA46" s="3167" t="s">
        <v>3546</v>
      </c>
    </row>
    <row r="47" spans="1:27" ht="14.25">
      <c r="A47" s="3168">
        <v>46</v>
      </c>
      <c r="B47" s="3168" t="s">
        <v>3450</v>
      </c>
      <c r="C47" s="3168" t="s">
        <v>3466</v>
      </c>
      <c r="D47" s="3168">
        <v>112.06</v>
      </c>
      <c r="E47" s="3168">
        <v>39.130000000000003</v>
      </c>
      <c r="F47" s="3168" t="s">
        <v>3540</v>
      </c>
      <c r="O47" s="3168">
        <v>46</v>
      </c>
      <c r="P47" s="3168" t="s">
        <v>3474</v>
      </c>
      <c r="Q47" s="3168">
        <v>-203</v>
      </c>
      <c r="R47" s="3168">
        <v>9.32</v>
      </c>
      <c r="S47" s="3168">
        <v>3.25</v>
      </c>
      <c r="T47" s="3167" t="s">
        <v>3544</v>
      </c>
      <c r="V47" s="3168">
        <v>46</v>
      </c>
      <c r="W47" s="3168" t="s">
        <v>3538</v>
      </c>
      <c r="X47" s="3168">
        <v>-1046</v>
      </c>
      <c r="Y47" s="3168">
        <v>25.39</v>
      </c>
      <c r="Z47" s="3168">
        <v>8.8699999999999992</v>
      </c>
      <c r="AA47" s="3167" t="s">
        <v>3546</v>
      </c>
    </row>
    <row r="48" spans="1:27" ht="14.25">
      <c r="A48" s="3168">
        <v>47</v>
      </c>
      <c r="B48" s="3168" t="s">
        <v>3450</v>
      </c>
      <c r="C48" s="3168" t="s">
        <v>3467</v>
      </c>
      <c r="D48" s="3168">
        <v>112.01</v>
      </c>
      <c r="E48" s="3168">
        <v>39.11</v>
      </c>
      <c r="F48" s="3168" t="s">
        <v>3540</v>
      </c>
      <c r="O48" s="3168">
        <v>47</v>
      </c>
      <c r="P48" s="3168" t="s">
        <v>3474</v>
      </c>
      <c r="Q48" s="3168">
        <v>-204</v>
      </c>
      <c r="R48" s="3168">
        <v>10.16</v>
      </c>
      <c r="S48" s="3168">
        <v>3.55</v>
      </c>
      <c r="T48" s="3167" t="s">
        <v>3544</v>
      </c>
      <c r="V48" s="3168">
        <v>47</v>
      </c>
      <c r="W48" s="3168" t="s">
        <v>3538</v>
      </c>
      <c r="X48" s="3168">
        <v>-1047</v>
      </c>
      <c r="Y48" s="3168">
        <v>25.39</v>
      </c>
      <c r="Z48" s="3168">
        <v>8.8699999999999992</v>
      </c>
      <c r="AA48" s="3167" t="s">
        <v>3546</v>
      </c>
    </row>
    <row r="49" spans="1:27" ht="14.25">
      <c r="A49" s="3168">
        <v>48</v>
      </c>
      <c r="B49" s="3168" t="s">
        <v>3450</v>
      </c>
      <c r="C49" s="3168" t="s">
        <v>3468</v>
      </c>
      <c r="D49" s="3168">
        <v>112.06</v>
      </c>
      <c r="E49" s="3168">
        <v>39.130000000000003</v>
      </c>
      <c r="F49" s="3168" t="s">
        <v>3540</v>
      </c>
      <c r="O49" s="3168">
        <v>48</v>
      </c>
      <c r="P49" s="3168" t="s">
        <v>3474</v>
      </c>
      <c r="Q49" s="3168">
        <v>-205</v>
      </c>
      <c r="R49" s="3168">
        <v>9.56</v>
      </c>
      <c r="S49" s="3168">
        <v>3.34</v>
      </c>
      <c r="T49" s="3167" t="s">
        <v>3544</v>
      </c>
      <c r="V49" s="3168">
        <v>48</v>
      </c>
      <c r="W49" s="3168" t="s">
        <v>3538</v>
      </c>
      <c r="X49" s="3168">
        <v>-1048</v>
      </c>
      <c r="Y49" s="3168">
        <v>25.39</v>
      </c>
      <c r="Z49" s="3168">
        <v>8.8699999999999992</v>
      </c>
      <c r="AA49" s="3167" t="s">
        <v>3546</v>
      </c>
    </row>
    <row r="50" spans="1:27" ht="14.25">
      <c r="A50" s="3168">
        <v>49</v>
      </c>
      <c r="B50" s="3168" t="s">
        <v>3450</v>
      </c>
      <c r="C50" s="3168" t="s">
        <v>3469</v>
      </c>
      <c r="D50" s="3168">
        <v>112.01</v>
      </c>
      <c r="E50" s="3168">
        <v>39.11</v>
      </c>
      <c r="F50" s="3168" t="s">
        <v>3540</v>
      </c>
      <c r="O50" s="3168">
        <v>49</v>
      </c>
      <c r="P50" s="3168" t="s">
        <v>3474</v>
      </c>
      <c r="Q50" s="3168">
        <v>-206</v>
      </c>
      <c r="R50" s="3168">
        <v>17.22</v>
      </c>
      <c r="S50" s="3168">
        <v>6.01</v>
      </c>
      <c r="T50" s="3167" t="s">
        <v>3544</v>
      </c>
      <c r="V50" s="3168">
        <v>49</v>
      </c>
      <c r="W50" s="3168" t="s">
        <v>3538</v>
      </c>
      <c r="X50" s="3168">
        <v>-1049</v>
      </c>
      <c r="Y50" s="3168">
        <v>25.39</v>
      </c>
      <c r="Z50" s="3168">
        <v>8.8699999999999992</v>
      </c>
      <c r="AA50" s="3167" t="s">
        <v>3546</v>
      </c>
    </row>
    <row r="51" spans="1:27" ht="14.25">
      <c r="A51" s="3168">
        <v>50</v>
      </c>
      <c r="B51" s="3168" t="s">
        <v>3450</v>
      </c>
      <c r="C51" s="3168" t="s">
        <v>3470</v>
      </c>
      <c r="D51" s="3168">
        <v>112.06</v>
      </c>
      <c r="E51" s="3168">
        <v>39.130000000000003</v>
      </c>
      <c r="F51" s="3168" t="s">
        <v>3540</v>
      </c>
      <c r="O51" s="3168">
        <v>50</v>
      </c>
      <c r="P51" s="3168" t="s">
        <v>3474</v>
      </c>
      <c r="Q51" s="3168">
        <v>-207</v>
      </c>
      <c r="R51" s="3168">
        <v>11.96</v>
      </c>
      <c r="S51" s="3168">
        <v>4.18</v>
      </c>
      <c r="T51" s="3167" t="s">
        <v>3544</v>
      </c>
      <c r="V51" s="3168">
        <v>50</v>
      </c>
      <c r="W51" s="3168" t="s">
        <v>3538</v>
      </c>
      <c r="X51" s="3168">
        <v>-1050</v>
      </c>
      <c r="Y51" s="3168">
        <v>25.39</v>
      </c>
      <c r="Z51" s="3168">
        <v>8.8699999999999992</v>
      </c>
      <c r="AA51" s="3167" t="s">
        <v>3546</v>
      </c>
    </row>
    <row r="52" spans="1:27" ht="14.25">
      <c r="A52" s="3168">
        <v>51</v>
      </c>
      <c r="B52" s="3168" t="s">
        <v>3450</v>
      </c>
      <c r="C52" s="3168" t="s">
        <v>3471</v>
      </c>
      <c r="D52" s="3168">
        <v>112.01</v>
      </c>
      <c r="E52" s="3168">
        <v>39.11</v>
      </c>
      <c r="F52" s="3168" t="s">
        <v>3540</v>
      </c>
      <c r="O52" s="3168">
        <v>51</v>
      </c>
      <c r="P52" s="3168" t="s">
        <v>3474</v>
      </c>
      <c r="Q52" s="3168">
        <v>-208</v>
      </c>
      <c r="R52" s="3168">
        <v>13.79</v>
      </c>
      <c r="S52" s="3168">
        <v>4.82</v>
      </c>
      <c r="T52" s="3167" t="s">
        <v>3544</v>
      </c>
      <c r="V52" s="3168">
        <v>51</v>
      </c>
      <c r="W52" s="3168" t="s">
        <v>3538</v>
      </c>
      <c r="X52" s="3168">
        <v>-1051</v>
      </c>
      <c r="Y52" s="3168">
        <v>25.39</v>
      </c>
      <c r="Z52" s="3168">
        <v>8.8699999999999992</v>
      </c>
      <c r="AA52" s="3167" t="s">
        <v>3546</v>
      </c>
    </row>
    <row r="53" spans="1:27" ht="14.25">
      <c r="A53" s="3168">
        <v>52</v>
      </c>
      <c r="B53" s="3168" t="s">
        <v>3450</v>
      </c>
      <c r="C53" s="3168" t="s">
        <v>3472</v>
      </c>
      <c r="D53" s="3168">
        <v>112.06</v>
      </c>
      <c r="E53" s="3168">
        <v>39.130000000000003</v>
      </c>
      <c r="F53" s="3168" t="s">
        <v>3540</v>
      </c>
      <c r="O53" s="3168">
        <v>52</v>
      </c>
      <c r="P53" s="3168" t="s">
        <v>3474</v>
      </c>
      <c r="Q53" s="3168">
        <v>-209</v>
      </c>
      <c r="R53" s="3168">
        <v>8.1300000000000008</v>
      </c>
      <c r="S53" s="3168">
        <v>2.84</v>
      </c>
      <c r="T53" s="3167" t="s">
        <v>3544</v>
      </c>
      <c r="V53" s="3168">
        <v>52</v>
      </c>
      <c r="W53" s="3168" t="s">
        <v>3538</v>
      </c>
      <c r="X53" s="3168">
        <v>-1052</v>
      </c>
      <c r="Y53" s="3168">
        <v>25.39</v>
      </c>
      <c r="Z53" s="3168">
        <v>8.8699999999999992</v>
      </c>
      <c r="AA53" s="3167" t="s">
        <v>3546</v>
      </c>
    </row>
    <row r="54" spans="1:27" ht="14.25">
      <c r="A54" s="3168">
        <v>53</v>
      </c>
      <c r="B54" s="3168" t="s">
        <v>3450</v>
      </c>
      <c r="C54" s="3168" t="s">
        <v>3473</v>
      </c>
      <c r="D54" s="3168">
        <v>84.19</v>
      </c>
      <c r="E54" s="3168">
        <v>29.4</v>
      </c>
      <c r="F54" s="3168" t="s">
        <v>3540</v>
      </c>
      <c r="O54" s="3168">
        <v>53</v>
      </c>
      <c r="P54" s="3168" t="s">
        <v>3474</v>
      </c>
      <c r="Q54" s="3168">
        <v>-210</v>
      </c>
      <c r="R54" s="3168">
        <v>8.09</v>
      </c>
      <c r="S54" s="3168">
        <v>2.82</v>
      </c>
      <c r="T54" s="3167" t="s">
        <v>3544</v>
      </c>
      <c r="V54" s="3168">
        <v>53</v>
      </c>
      <c r="W54" s="3168" t="s">
        <v>3538</v>
      </c>
      <c r="X54" s="3168">
        <v>-1053</v>
      </c>
      <c r="Y54" s="3168">
        <v>25.39</v>
      </c>
      <c r="Z54" s="3168">
        <v>8.8699999999999992</v>
      </c>
      <c r="AA54" s="3167" t="s">
        <v>3546</v>
      </c>
    </row>
    <row r="55" spans="1:27" ht="14.25">
      <c r="A55" s="3168">
        <v>54</v>
      </c>
      <c r="B55" s="3168" t="s">
        <v>3474</v>
      </c>
      <c r="C55" s="3168" t="s">
        <v>3451</v>
      </c>
      <c r="D55" s="3168">
        <v>108.87</v>
      </c>
      <c r="E55" s="3168">
        <v>38.020000000000003</v>
      </c>
      <c r="F55" s="3168" t="s">
        <v>3540</v>
      </c>
      <c r="O55" s="3168">
        <v>54</v>
      </c>
      <c r="P55" s="3168" t="s">
        <v>3474</v>
      </c>
      <c r="Q55" s="3168">
        <v>-211</v>
      </c>
      <c r="R55" s="3168">
        <v>16.45</v>
      </c>
      <c r="S55" s="3168">
        <v>5.74</v>
      </c>
      <c r="T55" s="3167" t="s">
        <v>3544</v>
      </c>
      <c r="V55" s="3168">
        <v>54</v>
      </c>
      <c r="W55" s="3168" t="s">
        <v>3538</v>
      </c>
      <c r="X55" s="3168">
        <v>-1054</v>
      </c>
      <c r="Y55" s="3168">
        <v>25.39</v>
      </c>
      <c r="Z55" s="3168">
        <v>8.8699999999999992</v>
      </c>
      <c r="AA55" s="3167" t="s">
        <v>3546</v>
      </c>
    </row>
    <row r="56" spans="1:27" ht="14.25">
      <c r="A56" s="3168">
        <v>55</v>
      </c>
      <c r="B56" s="3168" t="s">
        <v>3474</v>
      </c>
      <c r="C56" s="3168" t="s">
        <v>3452</v>
      </c>
      <c r="D56" s="3168">
        <v>130.21</v>
      </c>
      <c r="E56" s="3168">
        <v>45.47</v>
      </c>
      <c r="F56" s="3168" t="s">
        <v>3540</v>
      </c>
      <c r="O56" s="3168">
        <v>55</v>
      </c>
      <c r="P56" s="3168" t="s">
        <v>3474</v>
      </c>
      <c r="Q56" s="3168">
        <v>-212</v>
      </c>
      <c r="R56" s="3168">
        <v>8.09</v>
      </c>
      <c r="S56" s="3168">
        <v>2.82</v>
      </c>
      <c r="T56" s="3167" t="s">
        <v>3544</v>
      </c>
      <c r="V56" s="3168">
        <v>55</v>
      </c>
      <c r="W56" s="3168" t="s">
        <v>3538</v>
      </c>
      <c r="X56" s="3168">
        <v>-1055</v>
      </c>
      <c r="Y56" s="3168">
        <v>25.39</v>
      </c>
      <c r="Z56" s="3168">
        <v>8.8699999999999992</v>
      </c>
      <c r="AA56" s="3167" t="s">
        <v>3546</v>
      </c>
    </row>
    <row r="57" spans="1:27" ht="14.25">
      <c r="A57" s="3168">
        <v>56</v>
      </c>
      <c r="B57" s="3168" t="s">
        <v>3474</v>
      </c>
      <c r="C57" s="3168" t="s">
        <v>3475</v>
      </c>
      <c r="D57" s="3168">
        <v>130.6</v>
      </c>
      <c r="E57" s="3168">
        <v>45.6</v>
      </c>
      <c r="F57" s="3168" t="s">
        <v>3540</v>
      </c>
      <c r="O57" s="3168">
        <v>56</v>
      </c>
      <c r="P57" s="3168" t="s">
        <v>3474</v>
      </c>
      <c r="Q57" s="3168">
        <v>-213</v>
      </c>
      <c r="R57" s="3168">
        <v>6.86</v>
      </c>
      <c r="S57" s="3168">
        <v>2.4</v>
      </c>
      <c r="T57" s="3167" t="s">
        <v>3544</v>
      </c>
      <c r="V57" s="3168">
        <v>56</v>
      </c>
      <c r="W57" s="3168" t="s">
        <v>3538</v>
      </c>
      <c r="X57" s="3168">
        <v>-1056</v>
      </c>
      <c r="Y57" s="3168">
        <v>25.39</v>
      </c>
      <c r="Z57" s="3168">
        <v>8.8699999999999992</v>
      </c>
      <c r="AA57" s="3167" t="s">
        <v>3546</v>
      </c>
    </row>
    <row r="58" spans="1:27" ht="14.25">
      <c r="A58" s="3168">
        <v>57</v>
      </c>
      <c r="B58" s="3168" t="s">
        <v>3474</v>
      </c>
      <c r="C58" s="3168" t="s">
        <v>3476</v>
      </c>
      <c r="D58" s="3168">
        <v>130.21</v>
      </c>
      <c r="E58" s="3168">
        <v>45.47</v>
      </c>
      <c r="F58" s="3168" t="s">
        <v>3540</v>
      </c>
      <c r="O58" s="3168">
        <v>57</v>
      </c>
      <c r="P58" s="3168" t="s">
        <v>3518</v>
      </c>
      <c r="Q58" s="3168">
        <v>-101</v>
      </c>
      <c r="R58" s="3168">
        <v>5.77</v>
      </c>
      <c r="S58" s="3168">
        <v>2.0099999999999998</v>
      </c>
      <c r="T58" s="3167" t="s">
        <v>3544</v>
      </c>
      <c r="V58" s="3168">
        <v>57</v>
      </c>
      <c r="W58" s="3168" t="s">
        <v>3538</v>
      </c>
      <c r="X58" s="3168">
        <v>-1057</v>
      </c>
      <c r="Y58" s="3168">
        <v>25.39</v>
      </c>
      <c r="Z58" s="3168">
        <v>8.8699999999999992</v>
      </c>
      <c r="AA58" s="3167" t="s">
        <v>3546</v>
      </c>
    </row>
    <row r="59" spans="1:27" ht="14.25">
      <c r="A59" s="3168">
        <v>58</v>
      </c>
      <c r="B59" s="3168" t="s">
        <v>3474</v>
      </c>
      <c r="C59" s="3168" t="s">
        <v>3477</v>
      </c>
      <c r="D59" s="3168">
        <v>130.6</v>
      </c>
      <c r="E59" s="3168">
        <v>45.6</v>
      </c>
      <c r="F59" s="3168" t="s">
        <v>3540</v>
      </c>
      <c r="O59" s="3168">
        <v>58</v>
      </c>
      <c r="P59" s="3168" t="s">
        <v>3518</v>
      </c>
      <c r="Q59" s="3168">
        <v>-102</v>
      </c>
      <c r="R59" s="3168">
        <v>16.940000000000001</v>
      </c>
      <c r="S59" s="3168">
        <v>5.92</v>
      </c>
      <c r="T59" s="3167" t="s">
        <v>3544</v>
      </c>
      <c r="V59" s="3168">
        <v>58</v>
      </c>
      <c r="W59" s="3168" t="s">
        <v>3538</v>
      </c>
      <c r="X59" s="3168">
        <v>-1058</v>
      </c>
      <c r="Y59" s="3168">
        <v>25.39</v>
      </c>
      <c r="Z59" s="3168">
        <v>8.8699999999999992</v>
      </c>
      <c r="AA59" s="3167" t="s">
        <v>3546</v>
      </c>
    </row>
    <row r="60" spans="1:27" ht="14.25">
      <c r="A60" s="3168">
        <v>59</v>
      </c>
      <c r="B60" s="3168" t="s">
        <v>3474</v>
      </c>
      <c r="C60" s="3168" t="s">
        <v>3478</v>
      </c>
      <c r="D60" s="3168">
        <v>130.21</v>
      </c>
      <c r="E60" s="3168">
        <v>45.47</v>
      </c>
      <c r="F60" s="3168" t="s">
        <v>3540</v>
      </c>
      <c r="O60" s="3168">
        <v>59</v>
      </c>
      <c r="P60" s="3168" t="s">
        <v>3518</v>
      </c>
      <c r="Q60" s="3168">
        <v>-103</v>
      </c>
      <c r="R60" s="3168">
        <v>20.59</v>
      </c>
      <c r="S60" s="3168">
        <v>7.19</v>
      </c>
      <c r="T60" s="3167" t="s">
        <v>3544</v>
      </c>
      <c r="V60" s="3168">
        <v>59</v>
      </c>
      <c r="W60" s="3168" t="s">
        <v>3538</v>
      </c>
      <c r="X60" s="3168">
        <v>-1059</v>
      </c>
      <c r="Y60" s="3168">
        <v>25.39</v>
      </c>
      <c r="Z60" s="3168">
        <v>8.8699999999999992</v>
      </c>
      <c r="AA60" s="3167" t="s">
        <v>3546</v>
      </c>
    </row>
    <row r="61" spans="1:27" ht="14.25">
      <c r="A61" s="3168">
        <v>60</v>
      </c>
      <c r="B61" s="3168" t="s">
        <v>3474</v>
      </c>
      <c r="C61" s="3168" t="s">
        <v>3479</v>
      </c>
      <c r="D61" s="3168">
        <v>130.6</v>
      </c>
      <c r="E61" s="3168">
        <v>45.6</v>
      </c>
      <c r="F61" s="3168" t="s">
        <v>3540</v>
      </c>
      <c r="O61" s="3168">
        <v>60</v>
      </c>
      <c r="P61" s="3168" t="s">
        <v>3518</v>
      </c>
      <c r="Q61" s="3168">
        <v>-104</v>
      </c>
      <c r="R61" s="3168">
        <v>20.59</v>
      </c>
      <c r="S61" s="3168">
        <v>7.19</v>
      </c>
      <c r="T61" s="3167" t="s">
        <v>3544</v>
      </c>
      <c r="V61" s="3168">
        <v>60</v>
      </c>
      <c r="W61" s="3168" t="s">
        <v>3538</v>
      </c>
      <c r="X61" s="3168">
        <v>-1060</v>
      </c>
      <c r="Y61" s="3168">
        <v>25.39</v>
      </c>
      <c r="Z61" s="3168">
        <v>8.8699999999999992</v>
      </c>
      <c r="AA61" s="3167" t="s">
        <v>3546</v>
      </c>
    </row>
    <row r="62" spans="1:27" ht="14.25">
      <c r="A62" s="3168">
        <v>61</v>
      </c>
      <c r="B62" s="3168" t="s">
        <v>3474</v>
      </c>
      <c r="C62" s="3168" t="s">
        <v>3480</v>
      </c>
      <c r="D62" s="3168">
        <v>130.21</v>
      </c>
      <c r="E62" s="3168">
        <v>45.47</v>
      </c>
      <c r="F62" s="3168" t="s">
        <v>3540</v>
      </c>
      <c r="O62" s="3168">
        <v>61</v>
      </c>
      <c r="P62" s="3168" t="s">
        <v>3518</v>
      </c>
      <c r="Q62" s="3168">
        <v>-105</v>
      </c>
      <c r="R62" s="3168">
        <v>16.940000000000001</v>
      </c>
      <c r="S62" s="3168">
        <v>5.92</v>
      </c>
      <c r="T62" s="3167" t="s">
        <v>3544</v>
      </c>
      <c r="V62" s="3168">
        <v>61</v>
      </c>
      <c r="W62" s="3168" t="s">
        <v>3538</v>
      </c>
      <c r="X62" s="3168">
        <v>-1061</v>
      </c>
      <c r="Y62" s="3168">
        <v>25.39</v>
      </c>
      <c r="Z62" s="3168">
        <v>8.8699999999999992</v>
      </c>
      <c r="AA62" s="3167" t="s">
        <v>3546</v>
      </c>
    </row>
    <row r="63" spans="1:27" ht="14.25">
      <c r="A63" s="3168">
        <v>62</v>
      </c>
      <c r="B63" s="3168" t="s">
        <v>3474</v>
      </c>
      <c r="C63" s="3168" t="s">
        <v>3442</v>
      </c>
      <c r="D63" s="3168">
        <v>130.6</v>
      </c>
      <c r="E63" s="3168">
        <v>45.6</v>
      </c>
      <c r="F63" s="3168" t="s">
        <v>3540</v>
      </c>
      <c r="O63" s="3168">
        <v>62</v>
      </c>
      <c r="P63" s="3168" t="s">
        <v>3518</v>
      </c>
      <c r="Q63" s="3168">
        <v>-106</v>
      </c>
      <c r="R63" s="3168">
        <v>10</v>
      </c>
      <c r="S63" s="3168">
        <v>3.49</v>
      </c>
      <c r="T63" s="3167" t="s">
        <v>3544</v>
      </c>
      <c r="V63" s="3168">
        <v>62</v>
      </c>
      <c r="W63" s="3168" t="s">
        <v>3538</v>
      </c>
      <c r="X63" s="3168">
        <v>-1062</v>
      </c>
      <c r="Y63" s="3168">
        <v>25.39</v>
      </c>
      <c r="Z63" s="3168">
        <v>8.8699999999999992</v>
      </c>
      <c r="AA63" s="3167" t="s">
        <v>3546</v>
      </c>
    </row>
    <row r="64" spans="1:27" ht="14.25">
      <c r="A64" s="3168">
        <v>63</v>
      </c>
      <c r="B64" s="3168" t="s">
        <v>3474</v>
      </c>
      <c r="C64" s="3168" t="s">
        <v>3481</v>
      </c>
      <c r="D64" s="3168">
        <v>130.21</v>
      </c>
      <c r="E64" s="3168">
        <v>45.47</v>
      </c>
      <c r="F64" s="3168" t="s">
        <v>3540</v>
      </c>
      <c r="O64" s="3168">
        <v>63</v>
      </c>
      <c r="P64" s="3168" t="s">
        <v>3518</v>
      </c>
      <c r="Q64" s="3168">
        <v>-107</v>
      </c>
      <c r="R64" s="3168">
        <v>25.49</v>
      </c>
      <c r="S64" s="3168">
        <v>8.9</v>
      </c>
      <c r="T64" s="3167" t="s">
        <v>3544</v>
      </c>
      <c r="V64" s="3168">
        <v>63</v>
      </c>
      <c r="W64" s="3168" t="s">
        <v>3538</v>
      </c>
      <c r="X64" s="3168">
        <v>-1063</v>
      </c>
      <c r="Y64" s="3168">
        <v>25.39</v>
      </c>
      <c r="Z64" s="3168">
        <v>8.8699999999999992</v>
      </c>
      <c r="AA64" s="3167" t="s">
        <v>3546</v>
      </c>
    </row>
    <row r="65" spans="1:27" ht="14.25">
      <c r="A65" s="3168">
        <v>64</v>
      </c>
      <c r="B65" s="3168" t="s">
        <v>3474</v>
      </c>
      <c r="C65" s="3168" t="s">
        <v>3482</v>
      </c>
      <c r="D65" s="3168">
        <v>130.6</v>
      </c>
      <c r="E65" s="3168">
        <v>45.6</v>
      </c>
      <c r="F65" s="3168" t="s">
        <v>3540</v>
      </c>
      <c r="O65" s="3168">
        <v>64</v>
      </c>
      <c r="P65" s="3168" t="s">
        <v>3518</v>
      </c>
      <c r="Q65" s="3168">
        <v>-108</v>
      </c>
      <c r="R65" s="3168">
        <v>25.49</v>
      </c>
      <c r="S65" s="3168">
        <v>8.9</v>
      </c>
      <c r="T65" s="3167" t="s">
        <v>3544</v>
      </c>
      <c r="V65" s="3168">
        <v>64</v>
      </c>
      <c r="W65" s="3168" t="s">
        <v>3538</v>
      </c>
      <c r="X65" s="3168">
        <v>-1064</v>
      </c>
      <c r="Y65" s="3168">
        <v>25.39</v>
      </c>
      <c r="Z65" s="3168">
        <v>8.8699999999999992</v>
      </c>
      <c r="AA65" s="3167" t="s">
        <v>3546</v>
      </c>
    </row>
    <row r="66" spans="1:27" ht="14.25">
      <c r="A66" s="3168">
        <v>65</v>
      </c>
      <c r="B66" s="3168" t="s">
        <v>3474</v>
      </c>
      <c r="C66" s="3168" t="s">
        <v>3483</v>
      </c>
      <c r="D66" s="3168">
        <v>130.21</v>
      </c>
      <c r="E66" s="3168">
        <v>45.47</v>
      </c>
      <c r="F66" s="3168" t="s">
        <v>3540</v>
      </c>
      <c r="O66" s="3168">
        <v>65</v>
      </c>
      <c r="P66" s="3168" t="s">
        <v>3518</v>
      </c>
      <c r="Q66" s="3168">
        <v>-109</v>
      </c>
      <c r="R66" s="3168">
        <v>10</v>
      </c>
      <c r="S66" s="3168">
        <v>3.49</v>
      </c>
      <c r="T66" s="3167" t="s">
        <v>3544</v>
      </c>
      <c r="V66" s="3168">
        <v>65</v>
      </c>
      <c r="W66" s="3168" t="s">
        <v>3538</v>
      </c>
      <c r="X66" s="3168">
        <v>-1065</v>
      </c>
      <c r="Y66" s="3168">
        <v>25.39</v>
      </c>
      <c r="Z66" s="3168">
        <v>8.8699999999999992</v>
      </c>
      <c r="AA66" s="3167" t="s">
        <v>3546</v>
      </c>
    </row>
    <row r="67" spans="1:27" ht="14.25">
      <c r="A67" s="3168">
        <v>66</v>
      </c>
      <c r="B67" s="3168" t="s">
        <v>3474</v>
      </c>
      <c r="C67" s="3168" t="s">
        <v>3443</v>
      </c>
      <c r="D67" s="3168">
        <v>130.6</v>
      </c>
      <c r="E67" s="3168">
        <v>45.6</v>
      </c>
      <c r="F67" s="3168" t="s">
        <v>3540</v>
      </c>
      <c r="O67" s="3168">
        <v>66</v>
      </c>
      <c r="P67" s="3168" t="s">
        <v>3518</v>
      </c>
      <c r="Q67" s="3168">
        <v>-110</v>
      </c>
      <c r="R67" s="3168">
        <v>8.9</v>
      </c>
      <c r="S67" s="3168">
        <v>3.11</v>
      </c>
      <c r="T67" s="3167" t="s">
        <v>3544</v>
      </c>
      <c r="V67" s="3168">
        <v>66</v>
      </c>
      <c r="W67" s="3168" t="s">
        <v>3538</v>
      </c>
      <c r="X67" s="3168">
        <v>-1066</v>
      </c>
      <c r="Y67" s="3168">
        <v>25.39</v>
      </c>
      <c r="Z67" s="3168">
        <v>8.8699999999999992</v>
      </c>
      <c r="AA67" s="3167" t="s">
        <v>3546</v>
      </c>
    </row>
    <row r="68" spans="1:27" ht="14.25">
      <c r="A68" s="3168">
        <v>67</v>
      </c>
      <c r="B68" s="3168" t="s">
        <v>3474</v>
      </c>
      <c r="C68" s="3168" t="s">
        <v>3484</v>
      </c>
      <c r="D68" s="3168">
        <v>130.21</v>
      </c>
      <c r="E68" s="3168">
        <v>45.47</v>
      </c>
      <c r="F68" s="3168" t="s">
        <v>3540</v>
      </c>
      <c r="O68" s="3168">
        <v>67</v>
      </c>
      <c r="P68" s="3168" t="s">
        <v>3518</v>
      </c>
      <c r="Q68" s="3168">
        <v>-111</v>
      </c>
      <c r="R68" s="3168">
        <v>8.9</v>
      </c>
      <c r="S68" s="3168">
        <v>3.11</v>
      </c>
      <c r="T68" s="3167" t="s">
        <v>3544</v>
      </c>
      <c r="V68" s="3168">
        <v>67</v>
      </c>
      <c r="W68" s="3168" t="s">
        <v>3538</v>
      </c>
      <c r="X68" s="3168">
        <v>-1067</v>
      </c>
      <c r="Y68" s="3168">
        <v>25.39</v>
      </c>
      <c r="Z68" s="3168">
        <v>8.8699999999999992</v>
      </c>
      <c r="AA68" s="3167" t="s">
        <v>3546</v>
      </c>
    </row>
    <row r="69" spans="1:27" ht="14.25">
      <c r="A69" s="3168">
        <v>68</v>
      </c>
      <c r="B69" s="3168" t="s">
        <v>3474</v>
      </c>
      <c r="C69" s="3168" t="s">
        <v>3453</v>
      </c>
      <c r="D69" s="3168">
        <v>130.6</v>
      </c>
      <c r="E69" s="3168">
        <v>45.6</v>
      </c>
      <c r="F69" s="3168" t="s">
        <v>3540</v>
      </c>
      <c r="O69" s="3168">
        <v>68</v>
      </c>
      <c r="P69" s="3168" t="s">
        <v>3518</v>
      </c>
      <c r="Q69" s="3168">
        <v>-112</v>
      </c>
      <c r="R69" s="3168">
        <v>5.77</v>
      </c>
      <c r="S69" s="3168">
        <v>2.0099999999999998</v>
      </c>
      <c r="T69" s="3167" t="s">
        <v>3544</v>
      </c>
      <c r="V69" s="3168">
        <v>68</v>
      </c>
      <c r="W69" s="3168" t="s">
        <v>3538</v>
      </c>
      <c r="X69" s="3168">
        <v>-1068</v>
      </c>
      <c r="Y69" s="3168">
        <v>25.39</v>
      </c>
      <c r="Z69" s="3168">
        <v>8.8699999999999992</v>
      </c>
      <c r="AA69" s="3167" t="s">
        <v>3546</v>
      </c>
    </row>
    <row r="70" spans="1:27" ht="14.25">
      <c r="A70" s="3168">
        <v>69</v>
      </c>
      <c r="B70" s="3168" t="s">
        <v>3474</v>
      </c>
      <c r="C70" s="3168" t="s">
        <v>3485</v>
      </c>
      <c r="D70" s="3168">
        <v>130.21</v>
      </c>
      <c r="E70" s="3168">
        <v>45.47</v>
      </c>
      <c r="F70" s="3168" t="s">
        <v>3540</v>
      </c>
      <c r="O70" s="3168">
        <v>69</v>
      </c>
      <c r="P70" s="3168" t="s">
        <v>3518</v>
      </c>
      <c r="Q70" s="3168">
        <v>-113</v>
      </c>
      <c r="R70" s="3168">
        <v>16.940000000000001</v>
      </c>
      <c r="S70" s="3168">
        <v>5.92</v>
      </c>
      <c r="T70" s="3167" t="s">
        <v>3544</v>
      </c>
      <c r="V70" s="3168">
        <v>69</v>
      </c>
      <c r="W70" s="3168" t="s">
        <v>3538</v>
      </c>
      <c r="X70" s="3168">
        <v>-1069</v>
      </c>
      <c r="Y70" s="3168">
        <v>25.39</v>
      </c>
      <c r="Z70" s="3168">
        <v>8.8699999999999992</v>
      </c>
      <c r="AA70" s="3167" t="s">
        <v>3546</v>
      </c>
    </row>
    <row r="71" spans="1:27" ht="14.25">
      <c r="A71" s="3168">
        <v>70</v>
      </c>
      <c r="B71" s="3168" t="s">
        <v>3474</v>
      </c>
      <c r="C71" s="3168" t="s">
        <v>3486</v>
      </c>
      <c r="D71" s="3168">
        <v>130.6</v>
      </c>
      <c r="E71" s="3168">
        <v>45.6</v>
      </c>
      <c r="F71" s="3168" t="s">
        <v>3540</v>
      </c>
      <c r="O71" s="3168">
        <v>70</v>
      </c>
      <c r="P71" s="3168" t="s">
        <v>3518</v>
      </c>
      <c r="Q71" s="3168">
        <v>-114</v>
      </c>
      <c r="R71" s="3168">
        <v>20.59</v>
      </c>
      <c r="S71" s="3168">
        <v>7.19</v>
      </c>
      <c r="T71" s="3167" t="s">
        <v>3544</v>
      </c>
      <c r="V71" s="3168">
        <v>70</v>
      </c>
      <c r="W71" s="3168" t="s">
        <v>3538</v>
      </c>
      <c r="X71" s="3168">
        <v>-1070</v>
      </c>
      <c r="Y71" s="3168">
        <v>25.39</v>
      </c>
      <c r="Z71" s="3168">
        <v>8.8699999999999992</v>
      </c>
      <c r="AA71" s="3167" t="s">
        <v>3546</v>
      </c>
    </row>
    <row r="72" spans="1:27" ht="14.25">
      <c r="A72" s="3168">
        <v>71</v>
      </c>
      <c r="B72" s="3168" t="s">
        <v>3474</v>
      </c>
      <c r="C72" s="3168" t="s">
        <v>3444</v>
      </c>
      <c r="D72" s="3168">
        <v>130.21</v>
      </c>
      <c r="E72" s="3168">
        <v>45.47</v>
      </c>
      <c r="F72" s="3168" t="s">
        <v>3540</v>
      </c>
      <c r="O72" s="3168">
        <v>71</v>
      </c>
      <c r="P72" s="3168" t="s">
        <v>3518</v>
      </c>
      <c r="Q72" s="3168">
        <v>-115</v>
      </c>
      <c r="R72" s="3168">
        <v>10.17</v>
      </c>
      <c r="S72" s="3168">
        <v>3.55</v>
      </c>
      <c r="T72" s="3167" t="s">
        <v>3544</v>
      </c>
      <c r="V72" s="3168">
        <v>71</v>
      </c>
      <c r="W72" s="3168" t="s">
        <v>3538</v>
      </c>
      <c r="X72" s="3168">
        <v>-1071</v>
      </c>
      <c r="Y72" s="3168">
        <v>25.39</v>
      </c>
      <c r="Z72" s="3168">
        <v>8.8699999999999992</v>
      </c>
      <c r="AA72" s="3167" t="s">
        <v>3546</v>
      </c>
    </row>
    <row r="73" spans="1:27" ht="14.25">
      <c r="A73" s="3168">
        <v>72</v>
      </c>
      <c r="B73" s="3168" t="s">
        <v>3474</v>
      </c>
      <c r="C73" s="3168" t="s">
        <v>3487</v>
      </c>
      <c r="D73" s="3168">
        <v>130.6</v>
      </c>
      <c r="E73" s="3168">
        <v>45.6</v>
      </c>
      <c r="F73" s="3168" t="s">
        <v>3540</v>
      </c>
      <c r="O73" s="3168">
        <v>72</v>
      </c>
      <c r="P73" s="3168" t="s">
        <v>3518</v>
      </c>
      <c r="Q73" s="3168">
        <v>-116</v>
      </c>
      <c r="R73" s="3168">
        <v>10</v>
      </c>
      <c r="S73" s="3168">
        <v>3.49</v>
      </c>
      <c r="T73" s="3167" t="s">
        <v>3544</v>
      </c>
      <c r="V73" s="3168">
        <v>72</v>
      </c>
      <c r="W73" s="3168" t="s">
        <v>3538</v>
      </c>
      <c r="X73" s="3168">
        <v>-1072</v>
      </c>
      <c r="Y73" s="3168">
        <v>25.39</v>
      </c>
      <c r="Z73" s="3168">
        <v>8.8699999999999992</v>
      </c>
      <c r="AA73" s="3167" t="s">
        <v>3546</v>
      </c>
    </row>
    <row r="74" spans="1:27" ht="14.25">
      <c r="A74" s="3168">
        <v>73</v>
      </c>
      <c r="B74" s="3168" t="s">
        <v>3474</v>
      </c>
      <c r="C74" s="3168" t="s">
        <v>3445</v>
      </c>
      <c r="D74" s="3168">
        <v>130.21</v>
      </c>
      <c r="E74" s="3168">
        <v>45.47</v>
      </c>
      <c r="F74" s="3168" t="s">
        <v>3540</v>
      </c>
      <c r="O74" s="3168">
        <v>73</v>
      </c>
      <c r="P74" s="3168" t="s">
        <v>3518</v>
      </c>
      <c r="Q74" s="3168">
        <v>-117</v>
      </c>
      <c r="R74" s="3168">
        <v>10</v>
      </c>
      <c r="S74" s="3168">
        <v>3.49</v>
      </c>
      <c r="T74" s="3167" t="s">
        <v>3544</v>
      </c>
      <c r="V74" s="3168">
        <v>73</v>
      </c>
      <c r="W74" s="3168" t="s">
        <v>3538</v>
      </c>
      <c r="X74" s="3168">
        <v>-1073</v>
      </c>
      <c r="Y74" s="3168">
        <v>25.39</v>
      </c>
      <c r="Z74" s="3168">
        <v>8.8699999999999992</v>
      </c>
      <c r="AA74" s="3167" t="s">
        <v>3546</v>
      </c>
    </row>
    <row r="75" spans="1:27" ht="14.25">
      <c r="A75" s="3168">
        <v>74</v>
      </c>
      <c r="B75" s="3168" t="s">
        <v>3474</v>
      </c>
      <c r="C75" s="3168" t="s">
        <v>3427</v>
      </c>
      <c r="D75" s="3168">
        <v>130.6</v>
      </c>
      <c r="E75" s="3168">
        <v>45.6</v>
      </c>
      <c r="F75" s="3168" t="s">
        <v>3540</v>
      </c>
      <c r="O75" s="3168">
        <v>74</v>
      </c>
      <c r="P75" s="3168" t="s">
        <v>3518</v>
      </c>
      <c r="Q75" s="3168">
        <v>-118</v>
      </c>
      <c r="R75" s="3168">
        <v>10.17</v>
      </c>
      <c r="S75" s="3168">
        <v>3.55</v>
      </c>
      <c r="T75" s="3167" t="s">
        <v>3544</v>
      </c>
      <c r="V75" s="3168">
        <v>74</v>
      </c>
      <c r="W75" s="3168" t="s">
        <v>3538</v>
      </c>
      <c r="X75" s="3168">
        <v>-1074</v>
      </c>
      <c r="Y75" s="3168">
        <v>25.39</v>
      </c>
      <c r="Z75" s="3168">
        <v>8.8699999999999992</v>
      </c>
      <c r="AA75" s="3167" t="s">
        <v>3546</v>
      </c>
    </row>
    <row r="76" spans="1:27" ht="14.25">
      <c r="A76" s="3168">
        <v>75</v>
      </c>
      <c r="B76" s="3168" t="s">
        <v>3474</v>
      </c>
      <c r="C76" s="3168" t="s">
        <v>3428</v>
      </c>
      <c r="D76" s="3168">
        <v>130.21</v>
      </c>
      <c r="E76" s="3168">
        <v>45.47</v>
      </c>
      <c r="F76" s="3168" t="s">
        <v>3540</v>
      </c>
      <c r="O76" s="3168">
        <v>75</v>
      </c>
      <c r="P76" s="3168" t="s">
        <v>3518</v>
      </c>
      <c r="Q76" s="3168">
        <v>-121</v>
      </c>
      <c r="R76" s="3168">
        <v>5.77</v>
      </c>
      <c r="S76" s="3168">
        <v>2.0099999999999998</v>
      </c>
      <c r="T76" s="3167" t="s">
        <v>3544</v>
      </c>
      <c r="V76" s="3168">
        <v>75</v>
      </c>
      <c r="W76" s="3168" t="s">
        <v>3538</v>
      </c>
      <c r="X76" s="3168">
        <v>-1075</v>
      </c>
      <c r="Y76" s="3168">
        <v>25.39</v>
      </c>
      <c r="Z76" s="3168">
        <v>8.8699999999999992</v>
      </c>
      <c r="AA76" s="3167" t="s">
        <v>3546</v>
      </c>
    </row>
    <row r="77" spans="1:27" ht="14.25">
      <c r="A77" s="3168">
        <v>76</v>
      </c>
      <c r="B77" s="3168" t="s">
        <v>3474</v>
      </c>
      <c r="C77" s="3168" t="s">
        <v>3429</v>
      </c>
      <c r="D77" s="3168">
        <v>111.49</v>
      </c>
      <c r="E77" s="3168">
        <v>38.93</v>
      </c>
      <c r="F77" s="3168" t="s">
        <v>3540</v>
      </c>
      <c r="O77" s="3168">
        <v>76</v>
      </c>
      <c r="P77" s="3168" t="s">
        <v>3521</v>
      </c>
      <c r="Q77" s="3168">
        <v>-101</v>
      </c>
      <c r="R77" s="3168">
        <v>14.06</v>
      </c>
      <c r="S77" s="3168">
        <v>4.91</v>
      </c>
      <c r="T77" s="3167" t="s">
        <v>3544</v>
      </c>
      <c r="V77" s="3168">
        <v>76</v>
      </c>
      <c r="W77" s="3168" t="s">
        <v>3538</v>
      </c>
      <c r="X77" s="3168">
        <v>-1076</v>
      </c>
      <c r="Y77" s="3168">
        <v>25.39</v>
      </c>
      <c r="Z77" s="3168">
        <v>8.8699999999999992</v>
      </c>
      <c r="AA77" s="3167" t="s">
        <v>3546</v>
      </c>
    </row>
    <row r="78" spans="1:27" ht="14.25">
      <c r="A78" s="3168">
        <v>77</v>
      </c>
      <c r="B78" s="3168" t="s">
        <v>3474</v>
      </c>
      <c r="C78" s="3168" t="s">
        <v>3463</v>
      </c>
      <c r="D78" s="3168">
        <v>111.49</v>
      </c>
      <c r="E78" s="3168">
        <v>38.93</v>
      </c>
      <c r="F78" s="3168" t="s">
        <v>3540</v>
      </c>
      <c r="O78" s="3168">
        <v>77</v>
      </c>
      <c r="P78" s="3168" t="s">
        <v>3521</v>
      </c>
      <c r="Q78" s="3168">
        <v>-102</v>
      </c>
      <c r="R78" s="3168">
        <v>5.49</v>
      </c>
      <c r="S78" s="3168">
        <v>1.92</v>
      </c>
      <c r="T78" s="3167" t="s">
        <v>3544</v>
      </c>
      <c r="V78" s="3168">
        <v>77</v>
      </c>
      <c r="W78" s="3168" t="s">
        <v>3538</v>
      </c>
      <c r="X78" s="3168">
        <v>-1077</v>
      </c>
      <c r="Y78" s="3168">
        <v>25.39</v>
      </c>
      <c r="Z78" s="3168">
        <v>8.8699999999999992</v>
      </c>
      <c r="AA78" s="3167" t="s">
        <v>3546</v>
      </c>
    </row>
    <row r="79" spans="1:27" ht="14.25">
      <c r="A79" s="3168">
        <v>78</v>
      </c>
      <c r="B79" s="3168" t="s">
        <v>3474</v>
      </c>
      <c r="C79" s="3168" t="s">
        <v>3488</v>
      </c>
      <c r="D79" s="3168">
        <v>111.49</v>
      </c>
      <c r="E79" s="3168">
        <v>38.93</v>
      </c>
      <c r="F79" s="3168" t="s">
        <v>3540</v>
      </c>
      <c r="O79" s="3168">
        <v>78</v>
      </c>
      <c r="P79" s="3168" t="s">
        <v>3521</v>
      </c>
      <c r="Q79" s="3168">
        <v>-103</v>
      </c>
      <c r="R79" s="3168">
        <v>14.73</v>
      </c>
      <c r="S79" s="3168">
        <v>5.14</v>
      </c>
      <c r="T79" s="3167" t="s">
        <v>3544</v>
      </c>
      <c r="V79" s="3168">
        <v>78</v>
      </c>
      <c r="W79" s="3168" t="s">
        <v>3538</v>
      </c>
      <c r="X79" s="3168">
        <v>-1078</v>
      </c>
      <c r="Y79" s="3168">
        <v>25.39</v>
      </c>
      <c r="Z79" s="3168">
        <v>8.8699999999999992</v>
      </c>
      <c r="AA79" s="3167" t="s">
        <v>3546</v>
      </c>
    </row>
    <row r="80" spans="1:27" ht="14.25">
      <c r="A80" s="3168">
        <v>79</v>
      </c>
      <c r="B80" s="3168" t="s">
        <v>3474</v>
      </c>
      <c r="C80" s="3168" t="s">
        <v>3489</v>
      </c>
      <c r="D80" s="3168">
        <v>111.84</v>
      </c>
      <c r="E80" s="3168">
        <v>39.049999999999997</v>
      </c>
      <c r="F80" s="3168" t="s">
        <v>3540</v>
      </c>
      <c r="O80" s="3168">
        <v>79</v>
      </c>
      <c r="P80" s="3168" t="s">
        <v>3521</v>
      </c>
      <c r="Q80" s="3168">
        <v>-104</v>
      </c>
      <c r="R80" s="3168">
        <v>13.21</v>
      </c>
      <c r="S80" s="3168">
        <v>4.6100000000000003</v>
      </c>
      <c r="T80" s="3167" t="s">
        <v>3544</v>
      </c>
      <c r="V80" s="3168">
        <v>79</v>
      </c>
      <c r="W80" s="3168" t="s">
        <v>3538</v>
      </c>
      <c r="X80" s="3168">
        <v>-1079</v>
      </c>
      <c r="Y80" s="3168">
        <v>25.39</v>
      </c>
      <c r="Z80" s="3168">
        <v>8.8699999999999992</v>
      </c>
      <c r="AA80" s="3167" t="s">
        <v>3546</v>
      </c>
    </row>
    <row r="81" spans="1:27" ht="14.25">
      <c r="A81" s="3168">
        <v>80</v>
      </c>
      <c r="B81" s="3168" t="s">
        <v>3474</v>
      </c>
      <c r="C81" s="3168" t="s">
        <v>3490</v>
      </c>
      <c r="D81" s="3168">
        <v>111.49</v>
      </c>
      <c r="E81" s="3168">
        <v>38.93</v>
      </c>
      <c r="F81" s="3168" t="s">
        <v>3540</v>
      </c>
      <c r="O81" s="3168">
        <v>80</v>
      </c>
      <c r="P81" s="3168" t="s">
        <v>3521</v>
      </c>
      <c r="Q81" s="3168">
        <v>-105</v>
      </c>
      <c r="R81" s="3168">
        <v>17.670000000000002</v>
      </c>
      <c r="S81" s="3168">
        <v>6.17</v>
      </c>
      <c r="T81" s="3167" t="s">
        <v>3544</v>
      </c>
      <c r="V81" s="3168">
        <v>80</v>
      </c>
      <c r="W81" s="3168" t="s">
        <v>3538</v>
      </c>
      <c r="X81" s="3168">
        <v>-1080</v>
      </c>
      <c r="Y81" s="3168">
        <v>25.39</v>
      </c>
      <c r="Z81" s="3168">
        <v>8.8699999999999992</v>
      </c>
      <c r="AA81" s="3167" t="s">
        <v>3546</v>
      </c>
    </row>
    <row r="82" spans="1:27" ht="14.25">
      <c r="A82" s="3168">
        <v>81</v>
      </c>
      <c r="B82" s="3168" t="s">
        <v>3474</v>
      </c>
      <c r="C82" s="3168" t="s">
        <v>3491</v>
      </c>
      <c r="D82" s="3168">
        <v>111.84</v>
      </c>
      <c r="E82" s="3168">
        <v>39.049999999999997</v>
      </c>
      <c r="F82" s="3168" t="s">
        <v>3540</v>
      </c>
      <c r="O82" s="3168">
        <v>81</v>
      </c>
      <c r="P82" s="3168" t="s">
        <v>3521</v>
      </c>
      <c r="Q82" s="3168">
        <v>-106</v>
      </c>
      <c r="R82" s="3168">
        <v>6.89</v>
      </c>
      <c r="S82" s="3168">
        <v>2.41</v>
      </c>
      <c r="T82" s="3167" t="s">
        <v>3544</v>
      </c>
      <c r="V82" s="3168">
        <v>81</v>
      </c>
      <c r="W82" s="3168" t="s">
        <v>3538</v>
      </c>
      <c r="X82" s="3168">
        <v>-1081</v>
      </c>
      <c r="Y82" s="3168">
        <v>25.39</v>
      </c>
      <c r="Z82" s="3168">
        <v>8.8699999999999992</v>
      </c>
      <c r="AA82" s="3167" t="s">
        <v>3546</v>
      </c>
    </row>
    <row r="83" spans="1:27" ht="14.25">
      <c r="A83" s="3168">
        <v>82</v>
      </c>
      <c r="B83" s="3168" t="s">
        <v>3474</v>
      </c>
      <c r="C83" s="3168" t="s">
        <v>3492</v>
      </c>
      <c r="D83" s="3168">
        <v>111.49</v>
      </c>
      <c r="E83" s="3168">
        <v>38.93</v>
      </c>
      <c r="F83" s="3168" t="s">
        <v>3540</v>
      </c>
      <c r="O83" s="3168">
        <v>82</v>
      </c>
      <c r="P83" s="3168" t="s">
        <v>3521</v>
      </c>
      <c r="Q83" s="3168">
        <v>-107</v>
      </c>
      <c r="R83" s="3168">
        <v>6.89</v>
      </c>
      <c r="S83" s="3168">
        <v>2.41</v>
      </c>
      <c r="T83" s="3167" t="s">
        <v>3544</v>
      </c>
      <c r="V83" s="3168">
        <v>82</v>
      </c>
      <c r="W83" s="3168" t="s">
        <v>3538</v>
      </c>
      <c r="X83" s="3168">
        <v>-1082</v>
      </c>
      <c r="Y83" s="3168">
        <v>25.39</v>
      </c>
      <c r="Z83" s="3168">
        <v>8.8699999999999992</v>
      </c>
      <c r="AA83" s="3167" t="s">
        <v>3546</v>
      </c>
    </row>
    <row r="84" spans="1:27" ht="14.25">
      <c r="A84" s="3168">
        <v>83</v>
      </c>
      <c r="B84" s="3168" t="s">
        <v>3474</v>
      </c>
      <c r="C84" s="3168" t="s">
        <v>3493</v>
      </c>
      <c r="D84" s="3168">
        <v>111.84</v>
      </c>
      <c r="E84" s="3168">
        <v>39.049999999999997</v>
      </c>
      <c r="F84" s="3168" t="s">
        <v>3540</v>
      </c>
      <c r="O84" s="3168">
        <v>83</v>
      </c>
      <c r="P84" s="3168" t="s">
        <v>3521</v>
      </c>
      <c r="Q84" s="3168">
        <v>-108</v>
      </c>
      <c r="R84" s="3168">
        <v>7.95</v>
      </c>
      <c r="S84" s="3168">
        <v>2.78</v>
      </c>
      <c r="T84" s="3167" t="s">
        <v>3544</v>
      </c>
      <c r="V84" s="3168">
        <v>83</v>
      </c>
      <c r="W84" s="3168" t="s">
        <v>3538</v>
      </c>
      <c r="X84" s="3168">
        <v>-1083</v>
      </c>
      <c r="Y84" s="3168">
        <v>25.39</v>
      </c>
      <c r="Z84" s="3168">
        <v>8.8699999999999992</v>
      </c>
      <c r="AA84" s="3167" t="s">
        <v>3546</v>
      </c>
    </row>
    <row r="85" spans="1:27" ht="14.25">
      <c r="A85" s="3168">
        <v>84</v>
      </c>
      <c r="B85" s="3168" t="s">
        <v>3474</v>
      </c>
      <c r="C85" s="3168" t="s">
        <v>3494</v>
      </c>
      <c r="D85" s="3168">
        <v>111.49</v>
      </c>
      <c r="E85" s="3168">
        <v>38.93</v>
      </c>
      <c r="F85" s="3168" t="s">
        <v>3540</v>
      </c>
      <c r="O85" s="3168">
        <v>84</v>
      </c>
      <c r="P85" s="3168" t="s">
        <v>3521</v>
      </c>
      <c r="Q85" s="3168">
        <v>-109</v>
      </c>
      <c r="R85" s="3168">
        <v>7.95</v>
      </c>
      <c r="S85" s="3168">
        <v>2.78</v>
      </c>
      <c r="T85" s="3167" t="s">
        <v>3544</v>
      </c>
      <c r="V85" s="3168">
        <v>84</v>
      </c>
      <c r="W85" s="3168" t="s">
        <v>3538</v>
      </c>
      <c r="X85" s="3168">
        <v>-1084</v>
      </c>
      <c r="Y85" s="3168">
        <v>25.39</v>
      </c>
      <c r="Z85" s="3168">
        <v>8.8699999999999992</v>
      </c>
      <c r="AA85" s="3167" t="s">
        <v>3546</v>
      </c>
    </row>
    <row r="86" spans="1:27" ht="14.25">
      <c r="A86" s="3168">
        <v>85</v>
      </c>
      <c r="B86" s="3168" t="s">
        <v>3474</v>
      </c>
      <c r="C86" s="3168" t="s">
        <v>3495</v>
      </c>
      <c r="D86" s="3168">
        <v>111.84</v>
      </c>
      <c r="E86" s="3168">
        <v>39.049999999999997</v>
      </c>
      <c r="F86" s="3168" t="s">
        <v>3540</v>
      </c>
      <c r="O86" s="3168">
        <v>85</v>
      </c>
      <c r="P86" s="3168" t="s">
        <v>3521</v>
      </c>
      <c r="Q86" s="3168">
        <v>-110</v>
      </c>
      <c r="R86" s="3168">
        <v>6.89</v>
      </c>
      <c r="S86" s="3168">
        <v>2.41</v>
      </c>
      <c r="T86" s="3167" t="s">
        <v>3544</v>
      </c>
      <c r="V86" s="3168">
        <v>85</v>
      </c>
      <c r="W86" s="3168" t="s">
        <v>3538</v>
      </c>
      <c r="X86" s="3168">
        <v>-1085</v>
      </c>
      <c r="Y86" s="3168">
        <v>25.39</v>
      </c>
      <c r="Z86" s="3168">
        <v>8.8699999999999992</v>
      </c>
      <c r="AA86" s="3167" t="s">
        <v>3546</v>
      </c>
    </row>
    <row r="87" spans="1:27" ht="14.25">
      <c r="A87" s="3168">
        <v>86</v>
      </c>
      <c r="B87" s="3168" t="s">
        <v>3474</v>
      </c>
      <c r="C87" s="3168" t="s">
        <v>3496</v>
      </c>
      <c r="D87" s="3168">
        <v>111.49</v>
      </c>
      <c r="E87" s="3168">
        <v>38.93</v>
      </c>
      <c r="F87" s="3168" t="s">
        <v>3540</v>
      </c>
      <c r="O87" s="3168">
        <v>86</v>
      </c>
      <c r="P87" s="3168" t="s">
        <v>3521</v>
      </c>
      <c r="Q87" s="3168">
        <v>-111</v>
      </c>
      <c r="R87" s="3168">
        <v>6.89</v>
      </c>
      <c r="S87" s="3168">
        <v>2.41</v>
      </c>
      <c r="T87" s="3167" t="s">
        <v>3544</v>
      </c>
      <c r="V87" s="3168">
        <v>86</v>
      </c>
      <c r="W87" s="3168" t="s">
        <v>3538</v>
      </c>
      <c r="X87" s="3168">
        <v>-1086</v>
      </c>
      <c r="Y87" s="3168">
        <v>25.39</v>
      </c>
      <c r="Z87" s="3168">
        <v>8.8699999999999992</v>
      </c>
      <c r="AA87" s="3167" t="s">
        <v>3546</v>
      </c>
    </row>
    <row r="88" spans="1:27" ht="14.25">
      <c r="A88" s="3168">
        <v>87</v>
      </c>
      <c r="B88" s="3168" t="s">
        <v>3474</v>
      </c>
      <c r="C88" s="3168" t="s">
        <v>3446</v>
      </c>
      <c r="D88" s="3168">
        <v>111.84</v>
      </c>
      <c r="E88" s="3168">
        <v>39.049999999999997</v>
      </c>
      <c r="F88" s="3168" t="s">
        <v>3540</v>
      </c>
      <c r="O88" s="3168">
        <v>87</v>
      </c>
      <c r="P88" s="3168" t="s">
        <v>3521</v>
      </c>
      <c r="Q88" s="3168">
        <v>-112</v>
      </c>
      <c r="R88" s="3168">
        <v>10.07</v>
      </c>
      <c r="S88" s="3168">
        <v>3.52</v>
      </c>
      <c r="T88" s="3167" t="s">
        <v>3544</v>
      </c>
      <c r="V88" s="3168">
        <v>87</v>
      </c>
      <c r="W88" s="3168" t="s">
        <v>3538</v>
      </c>
      <c r="X88" s="3168">
        <v>-1087</v>
      </c>
      <c r="Y88" s="3168">
        <v>25.39</v>
      </c>
      <c r="Z88" s="3168">
        <v>8.8699999999999992</v>
      </c>
      <c r="AA88" s="3167" t="s">
        <v>3546</v>
      </c>
    </row>
    <row r="89" spans="1:27" ht="14.25">
      <c r="A89" s="3168">
        <v>88</v>
      </c>
      <c r="B89" s="3168" t="s">
        <v>3474</v>
      </c>
      <c r="C89" s="3168" t="s">
        <v>3497</v>
      </c>
      <c r="D89" s="3168">
        <v>111.49</v>
      </c>
      <c r="E89" s="3168">
        <v>38.93</v>
      </c>
      <c r="F89" s="3168" t="s">
        <v>3540</v>
      </c>
      <c r="O89" s="3168">
        <v>88</v>
      </c>
      <c r="P89" s="3168" t="s">
        <v>3521</v>
      </c>
      <c r="Q89" s="3168">
        <v>-113</v>
      </c>
      <c r="R89" s="3168">
        <v>10.07</v>
      </c>
      <c r="S89" s="3168">
        <v>3.52</v>
      </c>
      <c r="T89" s="3167" t="s">
        <v>3544</v>
      </c>
      <c r="V89" s="3168">
        <v>88</v>
      </c>
      <c r="W89" s="3168" t="s">
        <v>3538</v>
      </c>
      <c r="X89" s="3168">
        <v>-1088</v>
      </c>
      <c r="Y89" s="3168">
        <v>25.39</v>
      </c>
      <c r="Z89" s="3168">
        <v>8.8699999999999992</v>
      </c>
      <c r="AA89" s="3167" t="s">
        <v>3546</v>
      </c>
    </row>
    <row r="90" spans="1:27" ht="14.25">
      <c r="A90" s="3168">
        <v>89</v>
      </c>
      <c r="B90" s="3168" t="s">
        <v>3474</v>
      </c>
      <c r="C90" s="3168" t="s">
        <v>3430</v>
      </c>
      <c r="D90" s="3168">
        <v>111.84</v>
      </c>
      <c r="E90" s="3168">
        <v>39.049999999999997</v>
      </c>
      <c r="F90" s="3168" t="s">
        <v>3540</v>
      </c>
      <c r="O90" s="3168">
        <v>89</v>
      </c>
      <c r="P90" s="3168" t="s">
        <v>3521</v>
      </c>
      <c r="Q90" s="3168">
        <v>-114</v>
      </c>
      <c r="R90" s="3168">
        <v>6.89</v>
      </c>
      <c r="S90" s="3168">
        <v>2.41</v>
      </c>
      <c r="T90" s="3167" t="s">
        <v>3544</v>
      </c>
      <c r="V90" s="3168">
        <v>89</v>
      </c>
      <c r="W90" s="3168" t="s">
        <v>3538</v>
      </c>
      <c r="X90" s="3168">
        <v>-1089</v>
      </c>
      <c r="Y90" s="3168">
        <v>25.39</v>
      </c>
      <c r="Z90" s="3168">
        <v>8.8699999999999992</v>
      </c>
      <c r="AA90" s="3167" t="s">
        <v>3546</v>
      </c>
    </row>
    <row r="91" spans="1:27" ht="14.25">
      <c r="A91" s="3168">
        <v>90</v>
      </c>
      <c r="B91" s="3168" t="s">
        <v>3474</v>
      </c>
      <c r="C91" s="3168" t="s">
        <v>3431</v>
      </c>
      <c r="D91" s="3168">
        <v>111.49</v>
      </c>
      <c r="E91" s="3168">
        <v>38.93</v>
      </c>
      <c r="F91" s="3168" t="s">
        <v>3540</v>
      </c>
      <c r="O91" s="3168">
        <v>90</v>
      </c>
      <c r="P91" s="3168" t="s">
        <v>3521</v>
      </c>
      <c r="Q91" s="3168">
        <v>-115</v>
      </c>
      <c r="R91" s="3168">
        <v>6.89</v>
      </c>
      <c r="S91" s="3168">
        <v>2.41</v>
      </c>
      <c r="T91" s="3167" t="s">
        <v>3544</v>
      </c>
      <c r="V91" s="3168">
        <v>90</v>
      </c>
      <c r="W91" s="3168" t="s">
        <v>3538</v>
      </c>
      <c r="X91" s="3168">
        <v>-1090</v>
      </c>
      <c r="Y91" s="3168">
        <v>25.39</v>
      </c>
      <c r="Z91" s="3168">
        <v>8.8699999999999992</v>
      </c>
      <c r="AA91" s="3167" t="s">
        <v>3546</v>
      </c>
    </row>
    <row r="92" spans="1:27" ht="14.25">
      <c r="A92" s="3168">
        <v>91</v>
      </c>
      <c r="B92" s="3168" t="s">
        <v>3474</v>
      </c>
      <c r="C92" s="3168" t="s">
        <v>3432</v>
      </c>
      <c r="D92" s="3168">
        <v>111.84</v>
      </c>
      <c r="E92" s="3168">
        <v>39.049999999999997</v>
      </c>
      <c r="F92" s="3168" t="s">
        <v>3540</v>
      </c>
      <c r="O92" s="3168">
        <v>91</v>
      </c>
      <c r="P92" s="3168" t="s">
        <v>3521</v>
      </c>
      <c r="Q92" s="3168">
        <v>-116</v>
      </c>
      <c r="R92" s="3168">
        <v>7.95</v>
      </c>
      <c r="S92" s="3168">
        <v>2.78</v>
      </c>
      <c r="T92" s="3167" t="s">
        <v>3544</v>
      </c>
      <c r="V92" s="3168">
        <v>91</v>
      </c>
      <c r="W92" s="3168" t="s">
        <v>3538</v>
      </c>
      <c r="X92" s="3168">
        <v>-1091</v>
      </c>
      <c r="Y92" s="3168">
        <v>25.39</v>
      </c>
      <c r="Z92" s="3168">
        <v>8.8699999999999992</v>
      </c>
      <c r="AA92" s="3167" t="s">
        <v>3546</v>
      </c>
    </row>
    <row r="93" spans="1:27" ht="14.25">
      <c r="A93" s="3168">
        <v>92</v>
      </c>
      <c r="B93" s="3168" t="s">
        <v>3474</v>
      </c>
      <c r="C93" s="3168" t="s">
        <v>3433</v>
      </c>
      <c r="D93" s="3168">
        <v>111.49</v>
      </c>
      <c r="E93" s="3168">
        <v>38.93</v>
      </c>
      <c r="F93" s="3168" t="s">
        <v>3540</v>
      </c>
      <c r="O93" s="3168">
        <v>92</v>
      </c>
      <c r="P93" s="3168" t="s">
        <v>3521</v>
      </c>
      <c r="Q93" s="3168">
        <v>-117</v>
      </c>
      <c r="R93" s="3168">
        <v>7.95</v>
      </c>
      <c r="S93" s="3168">
        <v>2.78</v>
      </c>
      <c r="T93" s="3167" t="s">
        <v>3544</v>
      </c>
      <c r="V93" s="3168">
        <v>92</v>
      </c>
      <c r="W93" s="3168" t="s">
        <v>3538</v>
      </c>
      <c r="X93" s="3168">
        <v>-1092</v>
      </c>
      <c r="Y93" s="3168">
        <v>25.39</v>
      </c>
      <c r="Z93" s="3168">
        <v>8.8699999999999992</v>
      </c>
      <c r="AA93" s="3167" t="s">
        <v>3546</v>
      </c>
    </row>
    <row r="94" spans="1:27" ht="14.25">
      <c r="A94" s="3168">
        <v>93</v>
      </c>
      <c r="B94" s="3168" t="s">
        <v>3474</v>
      </c>
      <c r="C94" s="3168" t="s">
        <v>3434</v>
      </c>
      <c r="D94" s="3168">
        <v>111.84</v>
      </c>
      <c r="E94" s="3168">
        <v>39.049999999999997</v>
      </c>
      <c r="F94" s="3168" t="s">
        <v>3540</v>
      </c>
      <c r="O94" s="3168">
        <v>93</v>
      </c>
      <c r="P94" s="3168" t="s">
        <v>3521</v>
      </c>
      <c r="Q94" s="3168">
        <v>-118</v>
      </c>
      <c r="R94" s="3168">
        <v>6.89</v>
      </c>
      <c r="S94" s="3168">
        <v>2.41</v>
      </c>
      <c r="T94" s="3167" t="s">
        <v>3544</v>
      </c>
      <c r="V94" s="3168">
        <v>93</v>
      </c>
      <c r="W94" s="3168" t="s">
        <v>3538</v>
      </c>
      <c r="X94" s="3168">
        <v>-1093</v>
      </c>
      <c r="Y94" s="3168">
        <v>25.39</v>
      </c>
      <c r="Z94" s="3168">
        <v>8.8699999999999992</v>
      </c>
      <c r="AA94" s="3167" t="s">
        <v>3546</v>
      </c>
    </row>
    <row r="95" spans="1:27" ht="14.25">
      <c r="A95" s="3168">
        <v>94</v>
      </c>
      <c r="B95" s="3168" t="s">
        <v>3474</v>
      </c>
      <c r="C95" s="3168" t="s">
        <v>3465</v>
      </c>
      <c r="D95" s="3168">
        <v>111.89</v>
      </c>
      <c r="E95" s="3168">
        <v>39.07</v>
      </c>
      <c r="F95" s="3168" t="s">
        <v>3540</v>
      </c>
      <c r="O95" s="3168">
        <v>94</v>
      </c>
      <c r="P95" s="3168" t="s">
        <v>3521</v>
      </c>
      <c r="Q95" s="3168">
        <v>-119</v>
      </c>
      <c r="R95" s="3168">
        <v>6.89</v>
      </c>
      <c r="S95" s="3168">
        <v>2.41</v>
      </c>
      <c r="T95" s="3167" t="s">
        <v>3544</v>
      </c>
      <c r="V95" s="3168">
        <v>94</v>
      </c>
      <c r="W95" s="3168" t="s">
        <v>3538</v>
      </c>
      <c r="X95" s="3168">
        <v>-1094</v>
      </c>
      <c r="Y95" s="3168">
        <v>25.39</v>
      </c>
      <c r="Z95" s="3168">
        <v>8.8699999999999992</v>
      </c>
      <c r="AA95" s="3167" t="s">
        <v>3546</v>
      </c>
    </row>
    <row r="96" spans="1:27" ht="14.25">
      <c r="A96" s="3168">
        <v>95</v>
      </c>
      <c r="B96" s="3168" t="s">
        <v>3474</v>
      </c>
      <c r="C96" s="3168" t="s">
        <v>3466</v>
      </c>
      <c r="D96" s="3168">
        <v>111.84</v>
      </c>
      <c r="E96" s="3168">
        <v>39.049999999999997</v>
      </c>
      <c r="F96" s="3168" t="s">
        <v>3540</v>
      </c>
      <c r="O96" s="3168">
        <v>95</v>
      </c>
      <c r="P96" s="3168" t="s">
        <v>3521</v>
      </c>
      <c r="Q96" s="3168">
        <v>-120</v>
      </c>
      <c r="R96" s="3168">
        <v>10.47</v>
      </c>
      <c r="S96" s="3168">
        <v>3.66</v>
      </c>
      <c r="T96" s="3167" t="s">
        <v>3544</v>
      </c>
      <c r="V96" s="3168">
        <v>95</v>
      </c>
      <c r="W96" s="3168" t="s">
        <v>3538</v>
      </c>
      <c r="X96" s="3168">
        <v>-1095</v>
      </c>
      <c r="Y96" s="3168">
        <v>25.39</v>
      </c>
      <c r="Z96" s="3168">
        <v>8.8699999999999992</v>
      </c>
      <c r="AA96" s="3167" t="s">
        <v>3546</v>
      </c>
    </row>
    <row r="97" spans="1:27" ht="14.25">
      <c r="A97" s="3168">
        <v>96</v>
      </c>
      <c r="B97" s="3168" t="s">
        <v>3474</v>
      </c>
      <c r="C97" s="3168" t="s">
        <v>3467</v>
      </c>
      <c r="D97" s="3168">
        <v>111.89</v>
      </c>
      <c r="E97" s="3168">
        <v>39.07</v>
      </c>
      <c r="F97" s="3168" t="s">
        <v>3540</v>
      </c>
      <c r="O97" s="3168">
        <v>96</v>
      </c>
      <c r="P97" s="3168" t="s">
        <v>3521</v>
      </c>
      <c r="Q97" s="3168">
        <v>-121</v>
      </c>
      <c r="R97" s="3168">
        <v>10.47</v>
      </c>
      <c r="S97" s="3168">
        <v>3.66</v>
      </c>
      <c r="T97" s="3167" t="s">
        <v>3544</v>
      </c>
      <c r="V97" s="3168">
        <v>96</v>
      </c>
      <c r="W97" s="3168" t="s">
        <v>3538</v>
      </c>
      <c r="X97" s="3168">
        <v>-1096</v>
      </c>
      <c r="Y97" s="3168">
        <v>25.39</v>
      </c>
      <c r="Z97" s="3168">
        <v>8.8699999999999992</v>
      </c>
      <c r="AA97" s="3167" t="s">
        <v>3546</v>
      </c>
    </row>
    <row r="98" spans="1:27" ht="14.25">
      <c r="A98" s="3168">
        <v>97</v>
      </c>
      <c r="B98" s="3168" t="s">
        <v>3474</v>
      </c>
      <c r="C98" s="3168" t="s">
        <v>3468</v>
      </c>
      <c r="D98" s="3168">
        <v>111.84</v>
      </c>
      <c r="E98" s="3168">
        <v>39.049999999999997</v>
      </c>
      <c r="F98" s="3168" t="s">
        <v>3540</v>
      </c>
      <c r="O98" s="3168">
        <v>97</v>
      </c>
      <c r="P98" s="3168" t="s">
        <v>3521</v>
      </c>
      <c r="Q98" s="3168">
        <v>-122</v>
      </c>
      <c r="R98" s="3168">
        <v>6.87</v>
      </c>
      <c r="S98" s="3168">
        <v>2.4</v>
      </c>
      <c r="T98" s="3167" t="s">
        <v>3544</v>
      </c>
      <c r="V98" s="3168">
        <v>97</v>
      </c>
      <c r="W98" s="3168" t="s">
        <v>3538</v>
      </c>
      <c r="X98" s="3168">
        <v>-1097</v>
      </c>
      <c r="Y98" s="3168">
        <v>25.39</v>
      </c>
      <c r="Z98" s="3168">
        <v>8.8699999999999992</v>
      </c>
      <c r="AA98" s="3167" t="s">
        <v>3546</v>
      </c>
    </row>
    <row r="99" spans="1:27" ht="14.25">
      <c r="A99" s="3168">
        <v>98</v>
      </c>
      <c r="B99" s="3168" t="s">
        <v>3474</v>
      </c>
      <c r="C99" s="3168" t="s">
        <v>3469</v>
      </c>
      <c r="D99" s="3168">
        <v>111.89</v>
      </c>
      <c r="E99" s="3168">
        <v>39.07</v>
      </c>
      <c r="F99" s="3168" t="s">
        <v>3540</v>
      </c>
      <c r="O99" s="3168">
        <v>98</v>
      </c>
      <c r="P99" s="3168" t="s">
        <v>3521</v>
      </c>
      <c r="Q99" s="3168">
        <v>-123</v>
      </c>
      <c r="R99" s="3168">
        <v>6.91</v>
      </c>
      <c r="S99" s="3168">
        <v>2.41</v>
      </c>
      <c r="T99" s="3167" t="s">
        <v>3544</v>
      </c>
      <c r="V99" s="3168">
        <v>98</v>
      </c>
      <c r="W99" s="3168" t="s">
        <v>3538</v>
      </c>
      <c r="X99" s="3168">
        <v>-1098</v>
      </c>
      <c r="Y99" s="3168">
        <v>25.39</v>
      </c>
      <c r="Z99" s="3168">
        <v>8.8699999999999992</v>
      </c>
      <c r="AA99" s="3167" t="s">
        <v>3546</v>
      </c>
    </row>
    <row r="100" spans="1:27" ht="14.25">
      <c r="A100" s="3168">
        <v>99</v>
      </c>
      <c r="B100" s="3168" t="s">
        <v>3474</v>
      </c>
      <c r="C100" s="3168" t="s">
        <v>3470</v>
      </c>
      <c r="D100" s="3168">
        <v>111.84</v>
      </c>
      <c r="E100" s="3168">
        <v>39.049999999999997</v>
      </c>
      <c r="F100" s="3168" t="s">
        <v>3540</v>
      </c>
      <c r="O100" s="3168">
        <v>99</v>
      </c>
      <c r="P100" s="3168" t="s">
        <v>3521</v>
      </c>
      <c r="Q100" s="3168">
        <v>-124</v>
      </c>
      <c r="R100" s="3168">
        <v>7.95</v>
      </c>
      <c r="S100" s="3168">
        <v>2.78</v>
      </c>
      <c r="T100" s="3167" t="s">
        <v>3544</v>
      </c>
      <c r="V100" s="3168">
        <v>99</v>
      </c>
      <c r="W100" s="3168" t="s">
        <v>3538</v>
      </c>
      <c r="X100" s="3168">
        <v>-1099</v>
      </c>
      <c r="Y100" s="3168">
        <v>25.39</v>
      </c>
      <c r="Z100" s="3168">
        <v>8.8699999999999992</v>
      </c>
      <c r="AA100" s="3167" t="s">
        <v>3546</v>
      </c>
    </row>
    <row r="101" spans="1:27" ht="14.25">
      <c r="A101" s="3168">
        <v>100</v>
      </c>
      <c r="B101" s="3168" t="s">
        <v>3474</v>
      </c>
      <c r="C101" s="3168" t="s">
        <v>3471</v>
      </c>
      <c r="D101" s="3168">
        <v>111.89</v>
      </c>
      <c r="E101" s="3168">
        <v>39.07</v>
      </c>
      <c r="F101" s="3168" t="s">
        <v>3540</v>
      </c>
      <c r="O101" s="3168">
        <v>100</v>
      </c>
      <c r="P101" s="3168" t="s">
        <v>3521</v>
      </c>
      <c r="Q101" s="3168">
        <v>-125</v>
      </c>
      <c r="R101" s="3168">
        <v>7.95</v>
      </c>
      <c r="S101" s="3168">
        <v>2.78</v>
      </c>
      <c r="T101" s="3167" t="s">
        <v>3544</v>
      </c>
      <c r="V101" s="3168">
        <v>100</v>
      </c>
      <c r="W101" s="3168" t="s">
        <v>3538</v>
      </c>
      <c r="X101" s="3168">
        <v>-1100</v>
      </c>
      <c r="Y101" s="3168">
        <v>25.39</v>
      </c>
      <c r="Z101" s="3168">
        <v>8.8699999999999992</v>
      </c>
      <c r="AA101" s="3167" t="s">
        <v>3546</v>
      </c>
    </row>
    <row r="102" spans="1:27" ht="14.25">
      <c r="A102" s="3168">
        <v>101</v>
      </c>
      <c r="B102" s="3168" t="s">
        <v>3474</v>
      </c>
      <c r="C102" s="3168" t="s">
        <v>3472</v>
      </c>
      <c r="D102" s="3168">
        <v>111.84</v>
      </c>
      <c r="E102" s="3168">
        <v>39.049999999999997</v>
      </c>
      <c r="F102" s="3168" t="s">
        <v>3540</v>
      </c>
      <c r="O102" s="3168">
        <v>101</v>
      </c>
      <c r="P102" s="3168" t="s">
        <v>3521</v>
      </c>
      <c r="Q102" s="3168">
        <v>-126</v>
      </c>
      <c r="R102" s="3168">
        <v>7.86</v>
      </c>
      <c r="S102" s="3168">
        <v>2.74</v>
      </c>
      <c r="T102" s="3167" t="s">
        <v>3544</v>
      </c>
      <c r="V102" s="3168">
        <v>101</v>
      </c>
      <c r="W102" s="3168" t="s">
        <v>3538</v>
      </c>
      <c r="X102" s="3168">
        <v>-1101</v>
      </c>
      <c r="Y102" s="3168">
        <v>25.39</v>
      </c>
      <c r="Z102" s="3168">
        <v>8.8699999999999992</v>
      </c>
      <c r="AA102" s="3167" t="s">
        <v>3546</v>
      </c>
    </row>
    <row r="103" spans="1:27" ht="14.25">
      <c r="A103" s="3168">
        <v>102</v>
      </c>
      <c r="B103" s="3168" t="s">
        <v>3474</v>
      </c>
      <c r="C103" s="3168" t="s">
        <v>3498</v>
      </c>
      <c r="D103" s="3168">
        <v>114.85</v>
      </c>
      <c r="E103" s="3168">
        <v>40.1</v>
      </c>
      <c r="F103" s="3168" t="s">
        <v>3540</v>
      </c>
      <c r="O103" s="3168">
        <v>102</v>
      </c>
      <c r="P103" s="3168" t="s">
        <v>3521</v>
      </c>
      <c r="Q103" s="3168">
        <v>-127</v>
      </c>
      <c r="R103" s="3168">
        <v>8.23</v>
      </c>
      <c r="S103" s="3168">
        <v>2.87</v>
      </c>
      <c r="T103" s="3167" t="s">
        <v>3544</v>
      </c>
      <c r="V103" s="3168">
        <v>102</v>
      </c>
      <c r="W103" s="3168" t="s">
        <v>3538</v>
      </c>
      <c r="X103" s="3168">
        <v>-1102</v>
      </c>
      <c r="Y103" s="3168">
        <v>25.39</v>
      </c>
      <c r="Z103" s="3168">
        <v>8.8699999999999992</v>
      </c>
      <c r="AA103" s="3167" t="s">
        <v>3546</v>
      </c>
    </row>
    <row r="104" spans="1:27" ht="14.25">
      <c r="A104" s="3168">
        <v>103</v>
      </c>
      <c r="B104" s="3168" t="s">
        <v>3474</v>
      </c>
      <c r="C104" s="3168" t="s">
        <v>3435</v>
      </c>
      <c r="D104" s="3168">
        <v>111.5</v>
      </c>
      <c r="E104" s="3168">
        <v>38.93</v>
      </c>
      <c r="F104" s="3168" t="s">
        <v>3540</v>
      </c>
      <c r="O104" s="3168">
        <v>103</v>
      </c>
      <c r="P104" s="3168" t="s">
        <v>3521</v>
      </c>
      <c r="Q104" s="3168">
        <v>-128</v>
      </c>
      <c r="R104" s="3168">
        <v>7.71</v>
      </c>
      <c r="S104" s="3168">
        <v>2.69</v>
      </c>
      <c r="T104" s="3167" t="s">
        <v>3544</v>
      </c>
      <c r="V104" s="3168">
        <v>103</v>
      </c>
      <c r="W104" s="3168" t="s">
        <v>3538</v>
      </c>
      <c r="X104" s="3168">
        <v>-1103</v>
      </c>
      <c r="Y104" s="3168">
        <v>25.39</v>
      </c>
      <c r="Z104" s="3168">
        <v>8.8699999999999992</v>
      </c>
      <c r="AA104" s="3167" t="s">
        <v>3546</v>
      </c>
    </row>
    <row r="105" spans="1:27" ht="14.25">
      <c r="A105" s="3168">
        <v>104</v>
      </c>
      <c r="B105" s="3168" t="s">
        <v>3474</v>
      </c>
      <c r="C105" s="3168" t="s">
        <v>3499</v>
      </c>
      <c r="D105" s="3168">
        <v>114.85</v>
      </c>
      <c r="E105" s="3168">
        <v>40.1</v>
      </c>
      <c r="F105" s="3168" t="s">
        <v>3540</v>
      </c>
      <c r="O105" s="3168">
        <v>104</v>
      </c>
      <c r="P105" s="3168" t="s">
        <v>3521</v>
      </c>
      <c r="Q105" s="3168">
        <v>-129</v>
      </c>
      <c r="R105" s="3168">
        <v>7.89</v>
      </c>
      <c r="S105" s="3168">
        <v>2.76</v>
      </c>
      <c r="T105" s="3167" t="s">
        <v>3544</v>
      </c>
      <c r="V105" s="3168">
        <v>104</v>
      </c>
      <c r="W105" s="3168" t="s">
        <v>3538</v>
      </c>
      <c r="X105" s="3168">
        <v>-1104</v>
      </c>
      <c r="Y105" s="3168">
        <v>25.39</v>
      </c>
      <c r="Z105" s="3168">
        <v>8.8699999999999992</v>
      </c>
      <c r="AA105" s="3167" t="s">
        <v>3546</v>
      </c>
    </row>
    <row r="106" spans="1:27" ht="14.25">
      <c r="A106" s="3168">
        <v>105</v>
      </c>
      <c r="B106" s="3168" t="s">
        <v>3474</v>
      </c>
      <c r="C106" s="3168" t="s">
        <v>3500</v>
      </c>
      <c r="D106" s="3168">
        <v>111.5</v>
      </c>
      <c r="E106" s="3168">
        <v>38.93</v>
      </c>
      <c r="F106" s="3168" t="s">
        <v>3540</v>
      </c>
      <c r="O106" s="3168">
        <v>105</v>
      </c>
      <c r="P106" s="3168" t="s">
        <v>3521</v>
      </c>
      <c r="Q106" s="3168">
        <v>-130</v>
      </c>
      <c r="R106" s="3168">
        <v>9.51</v>
      </c>
      <c r="S106" s="3168">
        <v>3.32</v>
      </c>
      <c r="T106" s="3167" t="s">
        <v>3544</v>
      </c>
      <c r="V106" s="3168">
        <v>105</v>
      </c>
      <c r="W106" s="3168" t="s">
        <v>3538</v>
      </c>
      <c r="X106" s="3168">
        <v>-1105</v>
      </c>
      <c r="Y106" s="3168">
        <v>25.39</v>
      </c>
      <c r="Z106" s="3168">
        <v>8.8699999999999992</v>
      </c>
      <c r="AA106" s="3167" t="s">
        <v>3546</v>
      </c>
    </row>
    <row r="107" spans="1:27" ht="14.25">
      <c r="A107" s="3168">
        <v>106</v>
      </c>
      <c r="B107" s="3168" t="s">
        <v>3474</v>
      </c>
      <c r="C107" s="3168" t="s">
        <v>3448</v>
      </c>
      <c r="D107" s="3168">
        <v>114.85</v>
      </c>
      <c r="E107" s="3168">
        <v>40.1</v>
      </c>
      <c r="F107" s="3168" t="s">
        <v>3540</v>
      </c>
      <c r="O107" s="3168">
        <v>106</v>
      </c>
      <c r="P107" s="3168" t="s">
        <v>3521</v>
      </c>
      <c r="Q107" s="3168">
        <v>-131</v>
      </c>
      <c r="R107" s="3168">
        <v>9.51</v>
      </c>
      <c r="S107" s="3168">
        <v>3.32</v>
      </c>
      <c r="T107" s="3167" t="s">
        <v>3544</v>
      </c>
      <c r="V107" s="3168">
        <v>106</v>
      </c>
      <c r="W107" s="3168" t="s">
        <v>3538</v>
      </c>
      <c r="X107" s="3168">
        <v>-1106</v>
      </c>
      <c r="Y107" s="3168">
        <v>25.39</v>
      </c>
      <c r="Z107" s="3168">
        <v>8.8699999999999992</v>
      </c>
      <c r="AA107" s="3167" t="s">
        <v>3546</v>
      </c>
    </row>
    <row r="108" spans="1:27" ht="14.25">
      <c r="A108" s="3168">
        <v>107</v>
      </c>
      <c r="B108" s="3168" t="s">
        <v>3474</v>
      </c>
      <c r="C108" s="3168" t="s">
        <v>3501</v>
      </c>
      <c r="D108" s="3168">
        <v>111.5</v>
      </c>
      <c r="E108" s="3168">
        <v>38.93</v>
      </c>
      <c r="F108" s="3168" t="s">
        <v>3540</v>
      </c>
      <c r="O108" s="3168">
        <v>107</v>
      </c>
      <c r="P108" s="3168" t="s">
        <v>3521</v>
      </c>
      <c r="Q108" s="3168">
        <v>-132</v>
      </c>
      <c r="R108" s="3168">
        <v>7.89</v>
      </c>
      <c r="S108" s="3168">
        <v>2.76</v>
      </c>
      <c r="T108" s="3167" t="s">
        <v>3544</v>
      </c>
      <c r="V108" s="3168">
        <v>107</v>
      </c>
      <c r="W108" s="3168" t="s">
        <v>3538</v>
      </c>
      <c r="X108" s="3168">
        <v>-1107</v>
      </c>
      <c r="Y108" s="3168">
        <v>25.39</v>
      </c>
      <c r="Z108" s="3168">
        <v>8.8699999999999992</v>
      </c>
      <c r="AA108" s="3167" t="s">
        <v>3546</v>
      </c>
    </row>
    <row r="109" spans="1:27" ht="14.25">
      <c r="A109" s="3168">
        <v>108</v>
      </c>
      <c r="B109" s="3168" t="s">
        <v>3474</v>
      </c>
      <c r="C109" s="3168" t="s">
        <v>3502</v>
      </c>
      <c r="D109" s="3168">
        <v>114.85</v>
      </c>
      <c r="E109" s="3168">
        <v>40.1</v>
      </c>
      <c r="F109" s="3168" t="s">
        <v>3540</v>
      </c>
      <c r="O109" s="3168">
        <v>108</v>
      </c>
      <c r="P109" s="3168" t="s">
        <v>3521</v>
      </c>
      <c r="Q109" s="3168">
        <v>-133</v>
      </c>
      <c r="R109" s="3168">
        <v>7.71</v>
      </c>
      <c r="S109" s="3168">
        <v>2.69</v>
      </c>
      <c r="T109" s="3167" t="s">
        <v>3544</v>
      </c>
      <c r="V109" s="3168">
        <v>108</v>
      </c>
      <c r="W109" s="3168" t="s">
        <v>3538</v>
      </c>
      <c r="X109" s="3168">
        <v>-1108</v>
      </c>
      <c r="Y109" s="3168">
        <v>25.39</v>
      </c>
      <c r="Z109" s="3168">
        <v>8.8699999999999992</v>
      </c>
      <c r="AA109" s="3167" t="s">
        <v>3546</v>
      </c>
    </row>
    <row r="110" spans="1:27" ht="14.25">
      <c r="A110" s="3168">
        <v>109</v>
      </c>
      <c r="B110" s="3168" t="s">
        <v>3474</v>
      </c>
      <c r="C110" s="3168" t="s">
        <v>3436</v>
      </c>
      <c r="D110" s="3168">
        <v>111.5</v>
      </c>
      <c r="E110" s="3168">
        <v>38.93</v>
      </c>
      <c r="F110" s="3168" t="s">
        <v>3540</v>
      </c>
      <c r="O110" s="3168">
        <v>109</v>
      </c>
      <c r="P110" s="3168" t="s">
        <v>3521</v>
      </c>
      <c r="Q110" s="3168">
        <v>-134</v>
      </c>
      <c r="R110" s="3168">
        <v>8.23</v>
      </c>
      <c r="S110" s="3168">
        <v>2.87</v>
      </c>
      <c r="T110" s="3167" t="s">
        <v>3544</v>
      </c>
      <c r="V110" s="3168">
        <v>109</v>
      </c>
      <c r="W110" s="3168" t="s">
        <v>3538</v>
      </c>
      <c r="X110" s="3168">
        <v>-1109</v>
      </c>
      <c r="Y110" s="3168">
        <v>25.39</v>
      </c>
      <c r="Z110" s="3168">
        <v>8.8699999999999992</v>
      </c>
      <c r="AA110" s="3167" t="s">
        <v>3546</v>
      </c>
    </row>
    <row r="111" spans="1:27" ht="14.25">
      <c r="A111" s="3168">
        <v>110</v>
      </c>
      <c r="B111" s="3168" t="s">
        <v>3474</v>
      </c>
      <c r="C111" s="3168" t="s">
        <v>3437</v>
      </c>
      <c r="D111" s="3168">
        <v>114.85</v>
      </c>
      <c r="E111" s="3168">
        <v>40.1</v>
      </c>
      <c r="F111" s="3168" t="s">
        <v>3540</v>
      </c>
      <c r="O111" s="3168">
        <v>110</v>
      </c>
      <c r="P111" s="3168" t="s">
        <v>3521</v>
      </c>
      <c r="Q111" s="3168">
        <v>-135</v>
      </c>
      <c r="R111" s="3168">
        <v>7.86</v>
      </c>
      <c r="S111" s="3168">
        <v>2.74</v>
      </c>
      <c r="T111" s="3167" t="s">
        <v>3544</v>
      </c>
      <c r="V111" s="3168">
        <v>110</v>
      </c>
      <c r="W111" s="3168" t="s">
        <v>3538</v>
      </c>
      <c r="X111" s="3168">
        <v>-1110</v>
      </c>
      <c r="Y111" s="3168">
        <v>25.39</v>
      </c>
      <c r="Z111" s="3168">
        <v>8.8699999999999992</v>
      </c>
      <c r="AA111" s="3167" t="s">
        <v>3546</v>
      </c>
    </row>
    <row r="112" spans="1:27" ht="14.25">
      <c r="A112" s="3168">
        <v>111</v>
      </c>
      <c r="B112" s="3168" t="s">
        <v>3474</v>
      </c>
      <c r="C112" s="3168" t="s">
        <v>3503</v>
      </c>
      <c r="D112" s="3168">
        <v>111.5</v>
      </c>
      <c r="E112" s="3168">
        <v>38.93</v>
      </c>
      <c r="F112" s="3168" t="s">
        <v>3540</v>
      </c>
      <c r="O112" s="3168">
        <v>111</v>
      </c>
      <c r="P112" s="3168" t="s">
        <v>3521</v>
      </c>
      <c r="Q112" s="3168">
        <v>-136</v>
      </c>
      <c r="R112" s="3168">
        <v>5.99</v>
      </c>
      <c r="S112" s="3168">
        <v>2.09</v>
      </c>
      <c r="T112" s="3167" t="s">
        <v>3544</v>
      </c>
      <c r="V112" s="3168">
        <v>111</v>
      </c>
      <c r="W112" s="3168" t="s">
        <v>3538</v>
      </c>
      <c r="X112" s="3168">
        <v>-1111</v>
      </c>
      <c r="Y112" s="3168">
        <v>25.39</v>
      </c>
      <c r="Z112" s="3168">
        <v>8.8699999999999992</v>
      </c>
      <c r="AA112" s="3167" t="s">
        <v>3546</v>
      </c>
    </row>
    <row r="113" spans="1:27" ht="14.25">
      <c r="A113" s="3168">
        <v>112</v>
      </c>
      <c r="B113" s="3168" t="s">
        <v>3474</v>
      </c>
      <c r="C113" s="3168" t="s">
        <v>3438</v>
      </c>
      <c r="D113" s="3168">
        <v>114.85</v>
      </c>
      <c r="E113" s="3168">
        <v>40.1</v>
      </c>
      <c r="F113" s="3168" t="s">
        <v>3540</v>
      </c>
      <c r="O113" s="3168">
        <v>112</v>
      </c>
      <c r="P113" s="3168" t="s">
        <v>3521</v>
      </c>
      <c r="Q113" s="3168">
        <v>-137</v>
      </c>
      <c r="R113" s="3168">
        <v>14.06</v>
      </c>
      <c r="S113" s="3168">
        <v>4.91</v>
      </c>
      <c r="T113" s="3167" t="s">
        <v>3544</v>
      </c>
      <c r="V113" s="3168">
        <v>112</v>
      </c>
      <c r="W113" s="3168" t="s">
        <v>3538</v>
      </c>
      <c r="X113" s="3168">
        <v>-1112</v>
      </c>
      <c r="Y113" s="3168">
        <v>25.39</v>
      </c>
      <c r="Z113" s="3168">
        <v>8.8699999999999992</v>
      </c>
      <c r="AA113" s="3167" t="s">
        <v>3546</v>
      </c>
    </row>
    <row r="114" spans="1:27" ht="14.25">
      <c r="A114" s="3168">
        <v>113</v>
      </c>
      <c r="B114" s="3168" t="s">
        <v>3474</v>
      </c>
      <c r="C114" s="3168" t="s">
        <v>3449</v>
      </c>
      <c r="D114" s="3168">
        <v>111.5</v>
      </c>
      <c r="E114" s="3168">
        <v>38.93</v>
      </c>
      <c r="F114" s="3168" t="s">
        <v>3540</v>
      </c>
      <c r="O114" s="3168">
        <v>113</v>
      </c>
      <c r="P114" s="3168" t="s">
        <v>3521</v>
      </c>
      <c r="Q114" s="3168">
        <v>-138</v>
      </c>
      <c r="R114" s="3168">
        <v>5.49</v>
      </c>
      <c r="S114" s="3168">
        <v>1.92</v>
      </c>
      <c r="T114" s="3167" t="s">
        <v>3544</v>
      </c>
      <c r="V114" s="3168">
        <v>113</v>
      </c>
      <c r="W114" s="3168" t="s">
        <v>3538</v>
      </c>
      <c r="X114" s="3168">
        <v>-1113</v>
      </c>
      <c r="Y114" s="3168">
        <v>25.39</v>
      </c>
      <c r="Z114" s="3168">
        <v>8.8699999999999992</v>
      </c>
      <c r="AA114" s="3167" t="s">
        <v>3546</v>
      </c>
    </row>
    <row r="115" spans="1:27" ht="14.25">
      <c r="A115" s="3168">
        <v>114</v>
      </c>
      <c r="B115" s="3168" t="s">
        <v>3474</v>
      </c>
      <c r="C115" s="3168" t="s">
        <v>3439</v>
      </c>
      <c r="D115" s="3168">
        <v>114.85</v>
      </c>
      <c r="E115" s="3168">
        <v>40.1</v>
      </c>
      <c r="F115" s="3168" t="s">
        <v>3540</v>
      </c>
      <c r="O115" s="3168">
        <v>114</v>
      </c>
      <c r="P115" s="3168" t="s">
        <v>3521</v>
      </c>
      <c r="Q115" s="3168">
        <v>-139</v>
      </c>
      <c r="R115" s="3168">
        <v>13.42</v>
      </c>
      <c r="S115" s="3168">
        <v>4.6900000000000004</v>
      </c>
      <c r="T115" s="3167" t="s">
        <v>3544</v>
      </c>
      <c r="V115" s="3168">
        <v>114</v>
      </c>
      <c r="W115" s="3168" t="s">
        <v>3538</v>
      </c>
      <c r="X115" s="3168">
        <v>-1114</v>
      </c>
      <c r="Y115" s="3168">
        <v>25.39</v>
      </c>
      <c r="Z115" s="3168">
        <v>8.8699999999999992</v>
      </c>
      <c r="AA115" s="3167" t="s">
        <v>3546</v>
      </c>
    </row>
    <row r="116" spans="1:27" ht="14.25">
      <c r="A116" s="3168">
        <v>115</v>
      </c>
      <c r="B116" s="3168" t="s">
        <v>3474</v>
      </c>
      <c r="C116" s="3168" t="s">
        <v>3504</v>
      </c>
      <c r="D116" s="3168">
        <v>111.5</v>
      </c>
      <c r="E116" s="3168">
        <v>38.93</v>
      </c>
      <c r="F116" s="3168" t="s">
        <v>3540</v>
      </c>
      <c r="O116" s="3168">
        <v>115</v>
      </c>
      <c r="P116" s="3168" t="s">
        <v>3521</v>
      </c>
      <c r="Q116" s="3168">
        <v>-140</v>
      </c>
      <c r="R116" s="3168">
        <v>9.35</v>
      </c>
      <c r="S116" s="3168">
        <v>3.26</v>
      </c>
      <c r="T116" s="3167" t="s">
        <v>3544</v>
      </c>
      <c r="V116" s="3168">
        <v>115</v>
      </c>
      <c r="W116" s="3168" t="s">
        <v>3538</v>
      </c>
      <c r="X116" s="3168">
        <v>-1115</v>
      </c>
      <c r="Y116" s="3168">
        <v>25.39</v>
      </c>
      <c r="Z116" s="3168">
        <v>8.8699999999999992</v>
      </c>
      <c r="AA116" s="3167" t="s">
        <v>3546</v>
      </c>
    </row>
    <row r="117" spans="1:27" ht="14.25">
      <c r="A117" s="3168">
        <v>116</v>
      </c>
      <c r="B117" s="3168" t="s">
        <v>3474</v>
      </c>
      <c r="C117" s="3168" t="s">
        <v>3440</v>
      </c>
      <c r="D117" s="3168">
        <v>114.85</v>
      </c>
      <c r="E117" s="3168">
        <v>40.1</v>
      </c>
      <c r="F117" s="3168" t="s">
        <v>3540</v>
      </c>
      <c r="O117" s="3168">
        <v>116</v>
      </c>
      <c r="P117" s="3168" t="s">
        <v>3521</v>
      </c>
      <c r="Q117" s="3168">
        <v>-141</v>
      </c>
      <c r="R117" s="3168">
        <v>9.51</v>
      </c>
      <c r="S117" s="3168">
        <v>3.32</v>
      </c>
      <c r="T117" s="3167" t="s">
        <v>3544</v>
      </c>
      <c r="V117" s="3168">
        <v>116</v>
      </c>
      <c r="W117" s="3168" t="s">
        <v>3538</v>
      </c>
      <c r="X117" s="3168">
        <v>-1116</v>
      </c>
      <c r="Y117" s="3168">
        <v>25.39</v>
      </c>
      <c r="Z117" s="3168">
        <v>8.8699999999999992</v>
      </c>
      <c r="AA117" s="3167" t="s">
        <v>3546</v>
      </c>
    </row>
    <row r="118" spans="1:27" ht="14.25">
      <c r="A118" s="3168">
        <v>117</v>
      </c>
      <c r="B118" s="3168" t="s">
        <v>3474</v>
      </c>
      <c r="C118" s="3168" t="s">
        <v>3473</v>
      </c>
      <c r="D118" s="3168">
        <v>111.5</v>
      </c>
      <c r="E118" s="3168">
        <v>38.93</v>
      </c>
      <c r="F118" s="3168" t="s">
        <v>3540</v>
      </c>
      <c r="O118" s="3168">
        <v>117</v>
      </c>
      <c r="P118" s="3168" t="s">
        <v>3521</v>
      </c>
      <c r="Q118" s="3168">
        <v>-142</v>
      </c>
      <c r="R118" s="3168">
        <v>7.89</v>
      </c>
      <c r="S118" s="3168">
        <v>2.76</v>
      </c>
      <c r="T118" s="3167" t="s">
        <v>3544</v>
      </c>
      <c r="V118" s="3168">
        <v>117</v>
      </c>
      <c r="W118" s="3168" t="s">
        <v>3538</v>
      </c>
      <c r="X118" s="3168">
        <v>-1117</v>
      </c>
      <c r="Y118" s="3168">
        <v>25.39</v>
      </c>
      <c r="Z118" s="3168">
        <v>8.8699999999999992</v>
      </c>
      <c r="AA118" s="3167" t="s">
        <v>3546</v>
      </c>
    </row>
    <row r="119" spans="1:27" ht="14.25">
      <c r="A119" s="3168">
        <v>118</v>
      </c>
      <c r="B119" s="3168" t="s">
        <v>3474</v>
      </c>
      <c r="C119" s="3168" t="s">
        <v>3505</v>
      </c>
      <c r="D119" s="3168">
        <v>114.85</v>
      </c>
      <c r="E119" s="3168">
        <v>40.1</v>
      </c>
      <c r="F119" s="3168" t="s">
        <v>3540</v>
      </c>
      <c r="O119" s="3168">
        <v>118</v>
      </c>
      <c r="P119" s="3168" t="s">
        <v>3521</v>
      </c>
      <c r="Q119" s="3168">
        <v>-143</v>
      </c>
      <c r="R119" s="3168">
        <v>7.71</v>
      </c>
      <c r="S119" s="3168">
        <v>2.69</v>
      </c>
      <c r="T119" s="3167" t="s">
        <v>3544</v>
      </c>
      <c r="V119" s="3168">
        <v>118</v>
      </c>
      <c r="W119" s="3168" t="s">
        <v>3538</v>
      </c>
      <c r="X119" s="3168">
        <v>-1118</v>
      </c>
      <c r="Y119" s="3168">
        <v>25.39</v>
      </c>
      <c r="Z119" s="3168">
        <v>8.8699999999999992</v>
      </c>
      <c r="AA119" s="3167" t="s">
        <v>3546</v>
      </c>
    </row>
    <row r="120" spans="1:27" ht="14.25">
      <c r="A120" s="3168">
        <v>119</v>
      </c>
      <c r="B120" s="3168" t="s">
        <v>3474</v>
      </c>
      <c r="C120" s="3168" t="s">
        <v>3506</v>
      </c>
      <c r="D120" s="3168">
        <v>111.5</v>
      </c>
      <c r="E120" s="3168">
        <v>38.93</v>
      </c>
      <c r="F120" s="3168" t="s">
        <v>3540</v>
      </c>
      <c r="O120" s="3168">
        <v>119</v>
      </c>
      <c r="P120" s="3168" t="s">
        <v>3521</v>
      </c>
      <c r="Q120" s="3168">
        <v>-144</v>
      </c>
      <c r="R120" s="3168">
        <v>8.23</v>
      </c>
      <c r="S120" s="3168">
        <v>2.87</v>
      </c>
      <c r="T120" s="3167" t="s">
        <v>3544</v>
      </c>
      <c r="V120" s="3168">
        <v>119</v>
      </c>
      <c r="W120" s="3168" t="s">
        <v>3538</v>
      </c>
      <c r="X120" s="3168">
        <v>-1119</v>
      </c>
      <c r="Y120" s="3168">
        <v>25.39</v>
      </c>
      <c r="Z120" s="3168">
        <v>8.8699999999999992</v>
      </c>
      <c r="AA120" s="3167" t="s">
        <v>3546</v>
      </c>
    </row>
    <row r="121" spans="1:27" ht="14.25">
      <c r="A121" s="3168">
        <v>120</v>
      </c>
      <c r="B121" s="3168" t="s">
        <v>3474</v>
      </c>
      <c r="C121" s="3168" t="s">
        <v>3507</v>
      </c>
      <c r="D121" s="3168">
        <v>114.85</v>
      </c>
      <c r="E121" s="3168">
        <v>40.1</v>
      </c>
      <c r="F121" s="3168" t="s">
        <v>3540</v>
      </c>
      <c r="O121" s="3168">
        <v>120</v>
      </c>
      <c r="P121" s="3168" t="s">
        <v>3521</v>
      </c>
      <c r="Q121" s="3168">
        <v>-145</v>
      </c>
      <c r="R121" s="3168">
        <v>7.86</v>
      </c>
      <c r="S121" s="3168">
        <v>2.74</v>
      </c>
      <c r="T121" s="3167" t="s">
        <v>3544</v>
      </c>
      <c r="V121" s="3168">
        <v>120</v>
      </c>
      <c r="W121" s="3168" t="s">
        <v>3538</v>
      </c>
      <c r="X121" s="3168">
        <v>-1120</v>
      </c>
      <c r="Y121" s="3168">
        <v>25.39</v>
      </c>
      <c r="Z121" s="3168">
        <v>8.8699999999999992</v>
      </c>
      <c r="AA121" s="3167" t="s">
        <v>3546</v>
      </c>
    </row>
    <row r="122" spans="1:27" ht="14.25">
      <c r="A122" s="3168">
        <v>121</v>
      </c>
      <c r="B122" s="3168" t="s">
        <v>3474</v>
      </c>
      <c r="C122" s="3168" t="s">
        <v>3508</v>
      </c>
      <c r="D122" s="3168">
        <v>111.5</v>
      </c>
      <c r="E122" s="3168">
        <v>38.93</v>
      </c>
      <c r="F122" s="3168" t="s">
        <v>3540</v>
      </c>
      <c r="O122" s="3168">
        <v>121</v>
      </c>
      <c r="P122" s="3168" t="s">
        <v>3521</v>
      </c>
      <c r="Q122" s="3168">
        <v>-146</v>
      </c>
      <c r="R122" s="3168">
        <v>5.99</v>
      </c>
      <c r="S122" s="3168">
        <v>2.09</v>
      </c>
      <c r="T122" s="3167" t="s">
        <v>3544</v>
      </c>
      <c r="V122" s="3168">
        <v>121</v>
      </c>
      <c r="W122" s="3168" t="s">
        <v>3538</v>
      </c>
      <c r="X122" s="3168">
        <v>-1121</v>
      </c>
      <c r="Y122" s="3168">
        <v>25.39</v>
      </c>
      <c r="Z122" s="3168">
        <v>8.8699999999999992</v>
      </c>
      <c r="AA122" s="3167" t="s">
        <v>3546</v>
      </c>
    </row>
    <row r="123" spans="1:27" ht="14.25">
      <c r="A123" s="3168">
        <v>122</v>
      </c>
      <c r="B123" s="3168" t="s">
        <v>3474</v>
      </c>
      <c r="C123" s="3168" t="s">
        <v>3509</v>
      </c>
      <c r="D123" s="3168">
        <v>114.85</v>
      </c>
      <c r="E123" s="3168">
        <v>40.1</v>
      </c>
      <c r="F123" s="3168" t="s">
        <v>3540</v>
      </c>
      <c r="O123" s="3168">
        <v>122</v>
      </c>
      <c r="P123" s="3168" t="s">
        <v>3522</v>
      </c>
      <c r="Q123" s="3168">
        <v>-101</v>
      </c>
      <c r="R123" s="3168">
        <v>10.79</v>
      </c>
      <c r="S123" s="3168">
        <v>3.77</v>
      </c>
      <c r="T123" s="3167" t="s">
        <v>3544</v>
      </c>
      <c r="V123" s="3168">
        <v>122</v>
      </c>
      <c r="W123" s="3168" t="s">
        <v>3538</v>
      </c>
      <c r="X123" s="3168">
        <v>-1122</v>
      </c>
      <c r="Y123" s="3168">
        <v>25.39</v>
      </c>
      <c r="Z123" s="3168">
        <v>8.8699999999999992</v>
      </c>
      <c r="AA123" s="3167" t="s">
        <v>3546</v>
      </c>
    </row>
    <row r="124" spans="1:27" ht="14.25">
      <c r="A124" s="3168">
        <v>123</v>
      </c>
      <c r="B124" s="3168" t="s">
        <v>3474</v>
      </c>
      <c r="C124" s="3168" t="s">
        <v>3510</v>
      </c>
      <c r="D124" s="3168">
        <v>111.5</v>
      </c>
      <c r="E124" s="3168">
        <v>38.93</v>
      </c>
      <c r="F124" s="3168" t="s">
        <v>3540</v>
      </c>
      <c r="O124" s="3168">
        <v>123</v>
      </c>
      <c r="P124" s="3168" t="s">
        <v>3522</v>
      </c>
      <c r="Q124" s="3168">
        <v>-102</v>
      </c>
      <c r="R124" s="3168">
        <v>12.07</v>
      </c>
      <c r="S124" s="3168">
        <v>4.21</v>
      </c>
      <c r="T124" s="3167" t="s">
        <v>3544</v>
      </c>
      <c r="V124" s="3168">
        <v>123</v>
      </c>
      <c r="W124" s="3168" t="s">
        <v>3538</v>
      </c>
      <c r="X124" s="3168">
        <v>-1123</v>
      </c>
      <c r="Y124" s="3168">
        <v>25.39</v>
      </c>
      <c r="Z124" s="3168">
        <v>8.8699999999999992</v>
      </c>
      <c r="AA124" s="3167" t="s">
        <v>3546</v>
      </c>
    </row>
    <row r="125" spans="1:27" ht="14.25">
      <c r="A125" s="3168">
        <v>124</v>
      </c>
      <c r="B125" s="3168" t="s">
        <v>3474</v>
      </c>
      <c r="C125" s="3168" t="s">
        <v>3511</v>
      </c>
      <c r="D125" s="3168">
        <v>114.85</v>
      </c>
      <c r="E125" s="3168">
        <v>40.1</v>
      </c>
      <c r="F125" s="3168" t="s">
        <v>3540</v>
      </c>
      <c r="O125" s="3168">
        <v>124</v>
      </c>
      <c r="P125" s="3168" t="s">
        <v>3522</v>
      </c>
      <c r="Q125" s="3168">
        <v>-103</v>
      </c>
      <c r="R125" s="3168">
        <v>8.9</v>
      </c>
      <c r="S125" s="3168">
        <v>3.11</v>
      </c>
      <c r="T125" s="3167" t="s">
        <v>3544</v>
      </c>
      <c r="V125" s="3168">
        <v>124</v>
      </c>
      <c r="W125" s="3168" t="s">
        <v>3538</v>
      </c>
      <c r="X125" s="3168">
        <v>-1124</v>
      </c>
      <c r="Y125" s="3168">
        <v>25.39</v>
      </c>
      <c r="Z125" s="3168">
        <v>8.8699999999999992</v>
      </c>
      <c r="AA125" s="3167" t="s">
        <v>3546</v>
      </c>
    </row>
    <row r="126" spans="1:27" ht="14.25">
      <c r="A126" s="3168">
        <v>125</v>
      </c>
      <c r="B126" s="3168" t="s">
        <v>3474</v>
      </c>
      <c r="C126" s="3168" t="s">
        <v>3512</v>
      </c>
      <c r="D126" s="3168">
        <v>111.5</v>
      </c>
      <c r="E126" s="3168">
        <v>38.93</v>
      </c>
      <c r="F126" s="3168" t="s">
        <v>3540</v>
      </c>
      <c r="O126" s="3168">
        <v>125</v>
      </c>
      <c r="P126" s="3168" t="s">
        <v>3522</v>
      </c>
      <c r="Q126" s="3168">
        <v>-104</v>
      </c>
      <c r="R126" s="3168">
        <v>16.149999999999999</v>
      </c>
      <c r="S126" s="3168">
        <v>5.64</v>
      </c>
      <c r="T126" s="3167" t="s">
        <v>3544</v>
      </c>
      <c r="V126" s="3168">
        <v>125</v>
      </c>
      <c r="W126" s="3168" t="s">
        <v>3538</v>
      </c>
      <c r="X126" s="3168">
        <v>-1125</v>
      </c>
      <c r="Y126" s="3168">
        <v>25.39</v>
      </c>
      <c r="Z126" s="3168">
        <v>8.8699999999999992</v>
      </c>
      <c r="AA126" s="3167" t="s">
        <v>3546</v>
      </c>
    </row>
    <row r="127" spans="1:27" ht="14.25">
      <c r="A127" s="3168">
        <v>126</v>
      </c>
      <c r="B127" s="3168" t="s">
        <v>3474</v>
      </c>
      <c r="C127" s="3168" t="s">
        <v>3513</v>
      </c>
      <c r="D127" s="3168">
        <v>114.85</v>
      </c>
      <c r="E127" s="3168">
        <v>40.1</v>
      </c>
      <c r="F127" s="3168" t="s">
        <v>3540</v>
      </c>
      <c r="O127" s="3168">
        <v>126</v>
      </c>
      <c r="P127" s="3168" t="s">
        <v>3522</v>
      </c>
      <c r="Q127" s="3168">
        <v>-105</v>
      </c>
      <c r="R127" s="3168">
        <v>7.74</v>
      </c>
      <c r="S127" s="3168">
        <v>2.7</v>
      </c>
      <c r="T127" s="3167" t="s">
        <v>3544</v>
      </c>
      <c r="V127" s="3168">
        <v>126</v>
      </c>
      <c r="W127" s="3168" t="s">
        <v>3538</v>
      </c>
      <c r="X127" s="3168">
        <v>-1126</v>
      </c>
      <c r="Y127" s="3168">
        <v>25.39</v>
      </c>
      <c r="Z127" s="3168">
        <v>8.8699999999999992</v>
      </c>
      <c r="AA127" s="3167" t="s">
        <v>3546</v>
      </c>
    </row>
    <row r="128" spans="1:27" ht="14.25">
      <c r="A128" s="3168">
        <v>127</v>
      </c>
      <c r="B128" s="3168" t="s">
        <v>3474</v>
      </c>
      <c r="C128" s="3168" t="s">
        <v>3514</v>
      </c>
      <c r="D128" s="3168">
        <v>111.5</v>
      </c>
      <c r="E128" s="3168">
        <v>38.93</v>
      </c>
      <c r="F128" s="3168" t="s">
        <v>3540</v>
      </c>
      <c r="O128" s="3168">
        <v>127</v>
      </c>
      <c r="P128" s="3168" t="s">
        <v>3522</v>
      </c>
      <c r="Q128" s="3168">
        <v>-106</v>
      </c>
      <c r="R128" s="3168">
        <v>7.13</v>
      </c>
      <c r="S128" s="3168">
        <v>2.4900000000000002</v>
      </c>
      <c r="T128" s="3167" t="s">
        <v>3544</v>
      </c>
      <c r="V128" s="3168">
        <v>127</v>
      </c>
      <c r="W128" s="3168" t="s">
        <v>3538</v>
      </c>
      <c r="X128" s="3168">
        <v>-1127</v>
      </c>
      <c r="Y128" s="3168">
        <v>25.39</v>
      </c>
      <c r="Z128" s="3168">
        <v>8.8699999999999992</v>
      </c>
      <c r="AA128" s="3167" t="s">
        <v>3546</v>
      </c>
    </row>
    <row r="129" spans="1:27" ht="14.25">
      <c r="A129" s="3168">
        <v>128</v>
      </c>
      <c r="B129" s="3168" t="s">
        <v>3474</v>
      </c>
      <c r="C129" s="3168" t="s">
        <v>3515</v>
      </c>
      <c r="D129" s="3168">
        <v>114.85</v>
      </c>
      <c r="E129" s="3168">
        <v>40.1</v>
      </c>
      <c r="F129" s="3168" t="s">
        <v>3540</v>
      </c>
      <c r="O129" s="3168">
        <v>128</v>
      </c>
      <c r="P129" s="3168" t="s">
        <v>3522</v>
      </c>
      <c r="Q129" s="3168">
        <v>-107</v>
      </c>
      <c r="R129" s="3168">
        <v>7.74</v>
      </c>
      <c r="S129" s="3168">
        <v>2.7</v>
      </c>
      <c r="T129" s="3167" t="s">
        <v>3544</v>
      </c>
      <c r="V129" s="3168">
        <v>128</v>
      </c>
      <c r="W129" s="3168" t="s">
        <v>3538</v>
      </c>
      <c r="X129" s="3168">
        <v>-1128</v>
      </c>
      <c r="Y129" s="3168">
        <v>25.39</v>
      </c>
      <c r="Z129" s="3168">
        <v>8.8699999999999992</v>
      </c>
      <c r="AA129" s="3167" t="s">
        <v>3546</v>
      </c>
    </row>
    <row r="130" spans="1:27" ht="14.25">
      <c r="A130" s="3168">
        <v>129</v>
      </c>
      <c r="B130" s="3168" t="s">
        <v>3474</v>
      </c>
      <c r="C130" s="3168" t="s">
        <v>3516</v>
      </c>
      <c r="D130" s="3168">
        <v>111.5</v>
      </c>
      <c r="E130" s="3168">
        <v>38.93</v>
      </c>
      <c r="F130" s="3168" t="s">
        <v>3540</v>
      </c>
      <c r="O130" s="3168">
        <v>129</v>
      </c>
      <c r="P130" s="3168" t="s">
        <v>3522</v>
      </c>
      <c r="Q130" s="3168">
        <v>-108</v>
      </c>
      <c r="R130" s="3168">
        <v>6.88</v>
      </c>
      <c r="S130" s="3168">
        <v>2.4</v>
      </c>
      <c r="T130" s="3167" t="s">
        <v>3544</v>
      </c>
      <c r="V130" s="3168">
        <v>129</v>
      </c>
      <c r="W130" s="3168" t="s">
        <v>3538</v>
      </c>
      <c r="X130" s="3168">
        <v>-1129</v>
      </c>
      <c r="Y130" s="3168">
        <v>25.39</v>
      </c>
      <c r="Z130" s="3168">
        <v>8.8699999999999992</v>
      </c>
      <c r="AA130" s="3167" t="s">
        <v>3546</v>
      </c>
    </row>
    <row r="131" spans="1:27" ht="14.25">
      <c r="A131" s="3168">
        <v>130</v>
      </c>
      <c r="B131" s="3168" t="s">
        <v>3474</v>
      </c>
      <c r="C131" s="3168" t="s">
        <v>3517</v>
      </c>
      <c r="D131" s="3168">
        <v>114.85</v>
      </c>
      <c r="E131" s="3168">
        <v>40.1</v>
      </c>
      <c r="F131" s="3168" t="s">
        <v>3540</v>
      </c>
      <c r="O131" s="3168">
        <v>130</v>
      </c>
      <c r="P131" s="3168" t="s">
        <v>3522</v>
      </c>
      <c r="Q131" s="3168">
        <v>-109</v>
      </c>
      <c r="R131" s="3168">
        <v>6.64</v>
      </c>
      <c r="S131" s="3168">
        <v>2.3199999999999998</v>
      </c>
      <c r="T131" s="3167" t="s">
        <v>3544</v>
      </c>
      <c r="V131" s="3168">
        <v>130</v>
      </c>
      <c r="W131" s="3168" t="s">
        <v>3538</v>
      </c>
      <c r="X131" s="3168">
        <v>-1130</v>
      </c>
      <c r="Y131" s="3168">
        <v>25.39</v>
      </c>
      <c r="Z131" s="3168">
        <v>8.8699999999999992</v>
      </c>
      <c r="AA131" s="3167" t="s">
        <v>3546</v>
      </c>
    </row>
    <row r="132" spans="1:27" ht="14.25">
      <c r="A132" s="3168">
        <v>131</v>
      </c>
      <c r="B132" s="3168" t="s">
        <v>3518</v>
      </c>
      <c r="C132" s="3168" t="s">
        <v>3451</v>
      </c>
      <c r="D132" s="3168">
        <v>145.28</v>
      </c>
      <c r="E132" s="3168">
        <v>50.73</v>
      </c>
      <c r="F132" s="3168" t="s">
        <v>3540</v>
      </c>
      <c r="O132" s="3168">
        <v>131</v>
      </c>
      <c r="P132" s="3168" t="s">
        <v>3522</v>
      </c>
      <c r="Q132" s="3168">
        <v>-110</v>
      </c>
      <c r="R132" s="3168">
        <v>8.6</v>
      </c>
      <c r="S132" s="3168">
        <v>3</v>
      </c>
      <c r="T132" s="3167" t="s">
        <v>3544</v>
      </c>
      <c r="V132" s="3168">
        <v>131</v>
      </c>
      <c r="W132" s="3168" t="s">
        <v>3538</v>
      </c>
      <c r="X132" s="3168">
        <v>-1131</v>
      </c>
      <c r="Y132" s="3168">
        <v>25.39</v>
      </c>
      <c r="Z132" s="3168">
        <v>8.8699999999999992</v>
      </c>
      <c r="AA132" s="3167" t="s">
        <v>3546</v>
      </c>
    </row>
    <row r="133" spans="1:27" ht="14.25">
      <c r="A133" s="3168">
        <v>132</v>
      </c>
      <c r="B133" s="3168" t="s">
        <v>3518</v>
      </c>
      <c r="C133" s="3168" t="s">
        <v>3452</v>
      </c>
      <c r="D133" s="3168">
        <v>144.88999999999999</v>
      </c>
      <c r="E133" s="3168">
        <v>50.59</v>
      </c>
      <c r="F133" s="3168" t="s">
        <v>3540</v>
      </c>
      <c r="O133" s="3168">
        <v>132</v>
      </c>
      <c r="P133" s="3168" t="s">
        <v>3522</v>
      </c>
      <c r="Q133" s="3168">
        <v>-111</v>
      </c>
      <c r="R133" s="3168">
        <v>6.67</v>
      </c>
      <c r="S133" s="3168">
        <v>2.33</v>
      </c>
      <c r="T133" s="3167" t="s">
        <v>3544</v>
      </c>
      <c r="V133" s="3168">
        <v>132</v>
      </c>
      <c r="W133" s="3168" t="s">
        <v>3538</v>
      </c>
      <c r="X133" s="3168">
        <v>-1132</v>
      </c>
      <c r="Y133" s="3168">
        <v>25.39</v>
      </c>
      <c r="Z133" s="3168">
        <v>8.8699999999999992</v>
      </c>
      <c r="AA133" s="3167" t="s">
        <v>3546</v>
      </c>
    </row>
    <row r="134" spans="1:27" ht="14.25">
      <c r="A134" s="3168">
        <v>133</v>
      </c>
      <c r="B134" s="3168" t="s">
        <v>3518</v>
      </c>
      <c r="C134" s="3168" t="s">
        <v>3475</v>
      </c>
      <c r="D134" s="3168">
        <v>145.28</v>
      </c>
      <c r="E134" s="3168">
        <v>50.73</v>
      </c>
      <c r="F134" s="3168" t="s">
        <v>3540</v>
      </c>
      <c r="O134" s="3168">
        <v>133</v>
      </c>
      <c r="P134" s="3168" t="s">
        <v>3522</v>
      </c>
      <c r="Q134" s="3168">
        <v>-112</v>
      </c>
      <c r="R134" s="3168">
        <v>7.87</v>
      </c>
      <c r="S134" s="3168">
        <v>2.75</v>
      </c>
      <c r="T134" s="3167" t="s">
        <v>3544</v>
      </c>
      <c r="V134" s="3168">
        <v>133</v>
      </c>
      <c r="W134" s="3168" t="s">
        <v>3538</v>
      </c>
      <c r="X134" s="3168">
        <v>-1133</v>
      </c>
      <c r="Y134" s="3168">
        <v>25.39</v>
      </c>
      <c r="Z134" s="3168">
        <v>8.8699999999999992</v>
      </c>
      <c r="AA134" s="3167" t="s">
        <v>3546</v>
      </c>
    </row>
    <row r="135" spans="1:27" ht="14.25">
      <c r="A135" s="3168">
        <v>134</v>
      </c>
      <c r="B135" s="3168" t="s">
        <v>3518</v>
      </c>
      <c r="C135" s="3168" t="s">
        <v>3476</v>
      </c>
      <c r="D135" s="3168">
        <v>144.88999999999999</v>
      </c>
      <c r="E135" s="3168">
        <v>50.59</v>
      </c>
      <c r="F135" s="3168" t="s">
        <v>3540</v>
      </c>
      <c r="O135" s="3168">
        <v>134</v>
      </c>
      <c r="P135" s="3168" t="s">
        <v>3522</v>
      </c>
      <c r="Q135" s="3168">
        <v>-113</v>
      </c>
      <c r="R135" s="3168">
        <v>7.87</v>
      </c>
      <c r="S135" s="3168">
        <v>2.75</v>
      </c>
      <c r="T135" s="3167" t="s">
        <v>3544</v>
      </c>
      <c r="V135" s="3168">
        <v>134</v>
      </c>
      <c r="W135" s="3168" t="s">
        <v>3538</v>
      </c>
      <c r="X135" s="3168">
        <v>-1134</v>
      </c>
      <c r="Y135" s="3168">
        <v>25.39</v>
      </c>
      <c r="Z135" s="3168">
        <v>8.8699999999999992</v>
      </c>
      <c r="AA135" s="3167" t="s">
        <v>3546</v>
      </c>
    </row>
    <row r="136" spans="1:27" ht="14.25">
      <c r="A136" s="3168">
        <v>135</v>
      </c>
      <c r="B136" s="3168" t="s">
        <v>3518</v>
      </c>
      <c r="C136" s="3168" t="s">
        <v>3477</v>
      </c>
      <c r="D136" s="3168">
        <v>145.28</v>
      </c>
      <c r="E136" s="3168">
        <v>50.73</v>
      </c>
      <c r="F136" s="3168" t="s">
        <v>3540</v>
      </c>
      <c r="O136" s="3168">
        <v>135</v>
      </c>
      <c r="P136" s="3168" t="s">
        <v>3522</v>
      </c>
      <c r="Q136" s="3168">
        <v>-114</v>
      </c>
      <c r="R136" s="3168">
        <v>6.56</v>
      </c>
      <c r="S136" s="3168">
        <v>2.29</v>
      </c>
      <c r="T136" s="3167" t="s">
        <v>3544</v>
      </c>
      <c r="V136" s="3168">
        <v>135</v>
      </c>
      <c r="W136" s="3168" t="s">
        <v>3538</v>
      </c>
      <c r="X136" s="3168">
        <v>-1135</v>
      </c>
      <c r="Y136" s="3168">
        <v>25.39</v>
      </c>
      <c r="Z136" s="3168">
        <v>8.8699999999999992</v>
      </c>
      <c r="AA136" s="3167" t="s">
        <v>3546</v>
      </c>
    </row>
    <row r="137" spans="1:27" ht="14.25">
      <c r="A137" s="3168">
        <v>136</v>
      </c>
      <c r="B137" s="3168" t="s">
        <v>3518</v>
      </c>
      <c r="C137" s="3168" t="s">
        <v>3478</v>
      </c>
      <c r="D137" s="3168">
        <v>144.88999999999999</v>
      </c>
      <c r="E137" s="3168">
        <v>50.59</v>
      </c>
      <c r="F137" s="3168" t="s">
        <v>3540</v>
      </c>
      <c r="O137" s="3168">
        <v>136</v>
      </c>
      <c r="P137" s="3168" t="s">
        <v>3522</v>
      </c>
      <c r="Q137" s="3168">
        <v>-115</v>
      </c>
      <c r="R137" s="3168">
        <v>8.6</v>
      </c>
      <c r="S137" s="3168">
        <v>3</v>
      </c>
      <c r="T137" s="3167" t="s">
        <v>3544</v>
      </c>
      <c r="V137" s="3168">
        <v>136</v>
      </c>
      <c r="W137" s="3168" t="s">
        <v>3538</v>
      </c>
      <c r="X137" s="3168">
        <v>-1136</v>
      </c>
      <c r="Y137" s="3168">
        <v>25.39</v>
      </c>
      <c r="Z137" s="3168">
        <v>8.8699999999999992</v>
      </c>
      <c r="AA137" s="3167" t="s">
        <v>3546</v>
      </c>
    </row>
    <row r="138" spans="1:27" ht="14.25">
      <c r="A138" s="3168">
        <v>137</v>
      </c>
      <c r="B138" s="3168" t="s">
        <v>3518</v>
      </c>
      <c r="C138" s="3168" t="s">
        <v>3479</v>
      </c>
      <c r="D138" s="3168">
        <v>145.28</v>
      </c>
      <c r="E138" s="3168">
        <v>50.73</v>
      </c>
      <c r="F138" s="3168" t="s">
        <v>3540</v>
      </c>
      <c r="O138" s="3168">
        <v>137</v>
      </c>
      <c r="P138" s="3168" t="s">
        <v>3522</v>
      </c>
      <c r="Q138" s="3168">
        <v>-116</v>
      </c>
      <c r="R138" s="3168">
        <v>6.77</v>
      </c>
      <c r="S138" s="3168">
        <v>2.36</v>
      </c>
      <c r="T138" s="3167" t="s">
        <v>3544</v>
      </c>
      <c r="V138" s="3168">
        <v>137</v>
      </c>
      <c r="W138" s="3168" t="s">
        <v>3538</v>
      </c>
      <c r="X138" s="3168">
        <v>-1137</v>
      </c>
      <c r="Y138" s="3168">
        <v>25.39</v>
      </c>
      <c r="Z138" s="3168">
        <v>8.8699999999999992</v>
      </c>
      <c r="AA138" s="3167" t="s">
        <v>3546</v>
      </c>
    </row>
    <row r="139" spans="1:27" ht="14.25">
      <c r="A139" s="3168">
        <v>138</v>
      </c>
      <c r="B139" s="3168" t="s">
        <v>3518</v>
      </c>
      <c r="C139" s="3168" t="s">
        <v>3480</v>
      </c>
      <c r="D139" s="3168">
        <v>144.88999999999999</v>
      </c>
      <c r="E139" s="3168">
        <v>50.59</v>
      </c>
      <c r="F139" s="3168" t="s">
        <v>3540</v>
      </c>
      <c r="O139" s="3168">
        <v>138</v>
      </c>
      <c r="P139" s="3168" t="s">
        <v>3522</v>
      </c>
      <c r="Q139" s="3168">
        <v>-117</v>
      </c>
      <c r="R139" s="3168">
        <v>6.88</v>
      </c>
      <c r="S139" s="3168">
        <v>2.4</v>
      </c>
      <c r="T139" s="3167" t="s">
        <v>3544</v>
      </c>
      <c r="V139" s="3168">
        <v>138</v>
      </c>
      <c r="W139" s="3168" t="s">
        <v>3538</v>
      </c>
      <c r="X139" s="3168">
        <v>-1138</v>
      </c>
      <c r="Y139" s="3168">
        <v>25.39</v>
      </c>
      <c r="Z139" s="3168">
        <v>8.8699999999999992</v>
      </c>
      <c r="AA139" s="3167" t="s">
        <v>3546</v>
      </c>
    </row>
    <row r="140" spans="1:27" ht="14.25">
      <c r="A140" s="3168">
        <v>139</v>
      </c>
      <c r="B140" s="3168" t="s">
        <v>3518</v>
      </c>
      <c r="C140" s="3168" t="s">
        <v>3481</v>
      </c>
      <c r="D140" s="3168">
        <v>144.88999999999999</v>
      </c>
      <c r="E140" s="3168">
        <v>50.59</v>
      </c>
      <c r="F140" s="3168" t="s">
        <v>3540</v>
      </c>
      <c r="O140" s="3168">
        <v>139</v>
      </c>
      <c r="P140" s="3168" t="s">
        <v>3522</v>
      </c>
      <c r="Q140" s="3168">
        <v>-118</v>
      </c>
      <c r="R140" s="3168">
        <v>6.88</v>
      </c>
      <c r="S140" s="3168">
        <v>2.4</v>
      </c>
      <c r="T140" s="3167" t="s">
        <v>3544</v>
      </c>
      <c r="V140" s="3168">
        <v>139</v>
      </c>
      <c r="W140" s="3168" t="s">
        <v>3538</v>
      </c>
      <c r="X140" s="3168">
        <v>-1139</v>
      </c>
      <c r="Y140" s="3168">
        <v>25.39</v>
      </c>
      <c r="Z140" s="3168">
        <v>8.8699999999999992</v>
      </c>
      <c r="AA140" s="3167" t="s">
        <v>3546</v>
      </c>
    </row>
    <row r="141" spans="1:27" ht="14.25">
      <c r="A141" s="3168">
        <v>140</v>
      </c>
      <c r="B141" s="3168" t="s">
        <v>3518</v>
      </c>
      <c r="C141" s="3168" t="s">
        <v>3483</v>
      </c>
      <c r="D141" s="3168">
        <v>144.88999999999999</v>
      </c>
      <c r="E141" s="3168">
        <v>50.59</v>
      </c>
      <c r="F141" s="3168" t="s">
        <v>3540</v>
      </c>
      <c r="O141" s="3168">
        <v>140</v>
      </c>
      <c r="P141" s="3168" t="s">
        <v>3522</v>
      </c>
      <c r="Q141" s="3168">
        <v>-119</v>
      </c>
      <c r="R141" s="3168">
        <v>8.6</v>
      </c>
      <c r="S141" s="3168">
        <v>3</v>
      </c>
      <c r="T141" s="3167" t="s">
        <v>3544</v>
      </c>
      <c r="V141" s="3168">
        <v>140</v>
      </c>
      <c r="W141" s="3168" t="s">
        <v>3538</v>
      </c>
      <c r="X141" s="3168">
        <v>-1140</v>
      </c>
      <c r="Y141" s="3168">
        <v>25.39</v>
      </c>
      <c r="Z141" s="3168">
        <v>8.8699999999999992</v>
      </c>
      <c r="AA141" s="3167" t="s">
        <v>3546</v>
      </c>
    </row>
    <row r="142" spans="1:27" ht="14.25">
      <c r="A142" s="3168">
        <v>141</v>
      </c>
      <c r="B142" s="3168" t="s">
        <v>3518</v>
      </c>
      <c r="C142" s="3168" t="s">
        <v>3484</v>
      </c>
      <c r="D142" s="3168">
        <v>144.88999999999999</v>
      </c>
      <c r="E142" s="3168">
        <v>50.59</v>
      </c>
      <c r="F142" s="3168" t="s">
        <v>3540</v>
      </c>
      <c r="O142" s="3168">
        <v>141</v>
      </c>
      <c r="P142" s="3168" t="s">
        <v>3522</v>
      </c>
      <c r="Q142" s="3168">
        <v>-120</v>
      </c>
      <c r="R142" s="3168">
        <v>8.24</v>
      </c>
      <c r="S142" s="3168">
        <v>2.88</v>
      </c>
      <c r="T142" s="3167" t="s">
        <v>3544</v>
      </c>
      <c r="V142" s="3168">
        <v>141</v>
      </c>
      <c r="W142" s="3168" t="s">
        <v>3538</v>
      </c>
      <c r="X142" s="3168">
        <v>-1141</v>
      </c>
      <c r="Y142" s="3168">
        <v>25.39</v>
      </c>
      <c r="Z142" s="3168">
        <v>8.8699999999999992</v>
      </c>
      <c r="AA142" s="3167" t="s">
        <v>3546</v>
      </c>
    </row>
    <row r="143" spans="1:27" ht="14.25">
      <c r="A143" s="3168">
        <v>142</v>
      </c>
      <c r="B143" s="3168" t="s">
        <v>3518</v>
      </c>
      <c r="C143" s="3168" t="s">
        <v>3453</v>
      </c>
      <c r="D143" s="3168">
        <v>145.28</v>
      </c>
      <c r="E143" s="3168">
        <v>50.73</v>
      </c>
      <c r="F143" s="3168" t="s">
        <v>3540</v>
      </c>
      <c r="O143" s="3168">
        <v>142</v>
      </c>
      <c r="P143" s="3168" t="s">
        <v>3522</v>
      </c>
      <c r="Q143" s="3168">
        <v>-121</v>
      </c>
      <c r="R143" s="3168">
        <v>8.91</v>
      </c>
      <c r="S143" s="3168">
        <v>3.11</v>
      </c>
      <c r="T143" s="3167" t="s">
        <v>3544</v>
      </c>
      <c r="V143" s="3168">
        <v>142</v>
      </c>
      <c r="W143" s="3168" t="s">
        <v>3538</v>
      </c>
      <c r="X143" s="3168">
        <v>-1142</v>
      </c>
      <c r="Y143" s="3168">
        <v>25.39</v>
      </c>
      <c r="Z143" s="3168">
        <v>8.8699999999999992</v>
      </c>
      <c r="AA143" s="3167" t="s">
        <v>3546</v>
      </c>
    </row>
    <row r="144" spans="1:27" ht="14.25">
      <c r="A144" s="3168">
        <v>143</v>
      </c>
      <c r="B144" s="3168" t="s">
        <v>3518</v>
      </c>
      <c r="C144" s="3168" t="s">
        <v>3485</v>
      </c>
      <c r="D144" s="3168">
        <v>144.88999999999999</v>
      </c>
      <c r="E144" s="3168">
        <v>50.59</v>
      </c>
      <c r="F144" s="3168" t="s">
        <v>3540</v>
      </c>
      <c r="O144" s="3168">
        <v>143</v>
      </c>
      <c r="P144" s="3168" t="s">
        <v>3522</v>
      </c>
      <c r="Q144" s="3168">
        <v>-122</v>
      </c>
      <c r="R144" s="3168">
        <v>8.24</v>
      </c>
      <c r="S144" s="3168">
        <v>2.88</v>
      </c>
      <c r="T144" s="3167" t="s">
        <v>3544</v>
      </c>
      <c r="V144" s="3168">
        <v>143</v>
      </c>
      <c r="W144" s="3168" t="s">
        <v>3538</v>
      </c>
      <c r="X144" s="3168">
        <v>-1143</v>
      </c>
      <c r="Y144" s="3168">
        <v>25.39</v>
      </c>
      <c r="Z144" s="3168">
        <v>8.8699999999999992</v>
      </c>
      <c r="AA144" s="3167" t="s">
        <v>3546</v>
      </c>
    </row>
    <row r="145" spans="1:27" ht="14.25">
      <c r="A145" s="3168">
        <v>144</v>
      </c>
      <c r="B145" s="3168" t="s">
        <v>3518</v>
      </c>
      <c r="C145" s="3168" t="s">
        <v>3444</v>
      </c>
      <c r="D145" s="3168">
        <v>144.88999999999999</v>
      </c>
      <c r="E145" s="3168">
        <v>50.59</v>
      </c>
      <c r="F145" s="3168" t="s">
        <v>3540</v>
      </c>
      <c r="O145" s="3168">
        <v>144</v>
      </c>
      <c r="P145" s="3168" t="s">
        <v>3522</v>
      </c>
      <c r="Q145" s="3168">
        <v>-123</v>
      </c>
      <c r="R145" s="3168">
        <v>8.6</v>
      </c>
      <c r="S145" s="3168">
        <v>3</v>
      </c>
      <c r="T145" s="3167" t="s">
        <v>3544</v>
      </c>
      <c r="V145" s="3168">
        <v>144</v>
      </c>
      <c r="W145" s="3168" t="s">
        <v>3538</v>
      </c>
      <c r="X145" s="3168">
        <v>-1144</v>
      </c>
      <c r="Y145" s="3168">
        <v>25.39</v>
      </c>
      <c r="Z145" s="3168">
        <v>8.8699999999999992</v>
      </c>
      <c r="AA145" s="3167" t="s">
        <v>3546</v>
      </c>
    </row>
    <row r="146" spans="1:27" ht="14.25">
      <c r="A146" s="3168">
        <v>145</v>
      </c>
      <c r="B146" s="3168" t="s">
        <v>3518</v>
      </c>
      <c r="C146" s="3168" t="s">
        <v>3487</v>
      </c>
      <c r="D146" s="3168">
        <v>101.18</v>
      </c>
      <c r="E146" s="3168">
        <v>35.33</v>
      </c>
      <c r="F146" s="3168" t="s">
        <v>3540</v>
      </c>
      <c r="O146" s="3168">
        <v>145</v>
      </c>
      <c r="P146" s="3168" t="s">
        <v>3522</v>
      </c>
      <c r="Q146" s="3168">
        <v>-124</v>
      </c>
      <c r="R146" s="3168">
        <v>6.88</v>
      </c>
      <c r="S146" s="3168">
        <v>2.4</v>
      </c>
      <c r="T146" s="3167" t="s">
        <v>3544</v>
      </c>
      <c r="V146" s="3168">
        <v>145</v>
      </c>
      <c r="W146" s="3168" t="s">
        <v>3538</v>
      </c>
      <c r="X146" s="3168">
        <v>-1145</v>
      </c>
      <c r="Y146" s="3168">
        <v>25.39</v>
      </c>
      <c r="Z146" s="3168">
        <v>8.8699999999999992</v>
      </c>
      <c r="AA146" s="3167" t="s">
        <v>3546</v>
      </c>
    </row>
    <row r="147" spans="1:27" ht="14.25">
      <c r="A147" s="3168">
        <v>146</v>
      </c>
      <c r="B147" s="3168" t="s">
        <v>3518</v>
      </c>
      <c r="C147" s="3168" t="s">
        <v>3445</v>
      </c>
      <c r="D147" s="3168">
        <v>100.8</v>
      </c>
      <c r="E147" s="3168">
        <v>35.200000000000003</v>
      </c>
      <c r="F147" s="3168" t="s">
        <v>3540</v>
      </c>
      <c r="O147" s="3168">
        <v>146</v>
      </c>
      <c r="P147" s="3168" t="s">
        <v>3522</v>
      </c>
      <c r="Q147" s="3168">
        <v>-125</v>
      </c>
      <c r="R147" s="3168">
        <v>7.74</v>
      </c>
      <c r="S147" s="3168">
        <v>2.7</v>
      </c>
      <c r="T147" s="3167" t="s">
        <v>3544</v>
      </c>
      <c r="V147" s="3168">
        <v>146</v>
      </c>
      <c r="W147" s="3168" t="s">
        <v>3538</v>
      </c>
      <c r="X147" s="3168">
        <v>-1146</v>
      </c>
      <c r="Y147" s="3168">
        <v>25.39</v>
      </c>
      <c r="Z147" s="3168">
        <v>8.8699999999999992</v>
      </c>
      <c r="AA147" s="3167" t="s">
        <v>3546</v>
      </c>
    </row>
    <row r="148" spans="1:27" ht="14.25">
      <c r="A148" s="3168">
        <v>147</v>
      </c>
      <c r="B148" s="3168" t="s">
        <v>3518</v>
      </c>
      <c r="C148" s="3168" t="s">
        <v>3429</v>
      </c>
      <c r="D148" s="3168">
        <v>144.91999999999999</v>
      </c>
      <c r="E148" s="3168">
        <v>50.6</v>
      </c>
      <c r="F148" s="3168" t="s">
        <v>3540</v>
      </c>
      <c r="O148" s="3168">
        <v>147</v>
      </c>
      <c r="P148" s="3168" t="s">
        <v>3522</v>
      </c>
      <c r="Q148" s="3168">
        <v>-126</v>
      </c>
      <c r="R148" s="3168">
        <v>6.64</v>
      </c>
      <c r="S148" s="3168">
        <v>2.3199999999999998</v>
      </c>
      <c r="T148" s="3167" t="s">
        <v>3544</v>
      </c>
      <c r="V148" s="3168">
        <v>147</v>
      </c>
      <c r="W148" s="3168" t="s">
        <v>3538</v>
      </c>
      <c r="X148" s="3168">
        <v>-1147</v>
      </c>
      <c r="Y148" s="3168">
        <v>25.39</v>
      </c>
      <c r="Z148" s="3168">
        <v>8.8699999999999992</v>
      </c>
      <c r="AA148" s="3167" t="s">
        <v>3546</v>
      </c>
    </row>
    <row r="149" spans="1:27" ht="14.25">
      <c r="A149" s="3168">
        <v>148</v>
      </c>
      <c r="B149" s="3168" t="s">
        <v>3518</v>
      </c>
      <c r="C149" s="3168" t="s">
        <v>3462</v>
      </c>
      <c r="D149" s="3168">
        <v>144.91999999999999</v>
      </c>
      <c r="E149" s="3168">
        <v>50.6</v>
      </c>
      <c r="F149" s="3168" t="s">
        <v>3540</v>
      </c>
      <c r="O149" s="3168">
        <v>148</v>
      </c>
      <c r="P149" s="3168" t="s">
        <v>3522</v>
      </c>
      <c r="Q149" s="3168">
        <v>-127</v>
      </c>
      <c r="R149" s="3168">
        <v>7.74</v>
      </c>
      <c r="S149" s="3168">
        <v>2.7</v>
      </c>
      <c r="T149" s="3167" t="s">
        <v>3544</v>
      </c>
      <c r="V149" s="3168">
        <v>148</v>
      </c>
      <c r="W149" s="3168" t="s">
        <v>3538</v>
      </c>
      <c r="X149" s="3168">
        <v>-1148</v>
      </c>
      <c r="Y149" s="3168">
        <v>25.39</v>
      </c>
      <c r="Z149" s="3168">
        <v>8.8699999999999992</v>
      </c>
      <c r="AA149" s="3167" t="s">
        <v>3546</v>
      </c>
    </row>
    <row r="150" spans="1:27" ht="14.25">
      <c r="A150" s="3168">
        <v>149</v>
      </c>
      <c r="B150" s="3168" t="s">
        <v>3518</v>
      </c>
      <c r="C150" s="3168" t="s">
        <v>3463</v>
      </c>
      <c r="D150" s="3168">
        <v>144.91999999999999</v>
      </c>
      <c r="E150" s="3168">
        <v>50.6</v>
      </c>
      <c r="F150" s="3168" t="s">
        <v>3540</v>
      </c>
      <c r="O150" s="3168">
        <v>149</v>
      </c>
      <c r="P150" s="3168" t="s">
        <v>3522</v>
      </c>
      <c r="Q150" s="3168">
        <v>-128</v>
      </c>
      <c r="R150" s="3168">
        <v>6.67</v>
      </c>
      <c r="S150" s="3168">
        <v>2.33</v>
      </c>
      <c r="T150" s="3167" t="s">
        <v>3544</v>
      </c>
      <c r="V150" s="3168">
        <v>149</v>
      </c>
      <c r="W150" s="3168" t="s">
        <v>3538</v>
      </c>
      <c r="X150" s="3168">
        <v>-1149</v>
      </c>
      <c r="Y150" s="3168">
        <v>25.39</v>
      </c>
      <c r="Z150" s="3168">
        <v>8.8699999999999992</v>
      </c>
      <c r="AA150" s="3167" t="s">
        <v>3546</v>
      </c>
    </row>
    <row r="151" spans="1:27" ht="14.25">
      <c r="A151" s="3168">
        <v>150</v>
      </c>
      <c r="B151" s="3168" t="s">
        <v>3518</v>
      </c>
      <c r="C151" s="3168" t="s">
        <v>3464</v>
      </c>
      <c r="D151" s="3168">
        <v>144.91999999999999</v>
      </c>
      <c r="E151" s="3168">
        <v>50.6</v>
      </c>
      <c r="F151" s="3168" t="s">
        <v>3540</v>
      </c>
      <c r="O151" s="3168">
        <v>150</v>
      </c>
      <c r="P151" s="3168" t="s">
        <v>3522</v>
      </c>
      <c r="Q151" s="3168">
        <v>-129</v>
      </c>
      <c r="R151" s="3168">
        <v>7.87</v>
      </c>
      <c r="S151" s="3168">
        <v>2.75</v>
      </c>
      <c r="T151" s="3167" t="s">
        <v>3544</v>
      </c>
      <c r="V151" s="3168">
        <v>150</v>
      </c>
      <c r="W151" s="3168" t="s">
        <v>3538</v>
      </c>
      <c r="X151" s="3168">
        <v>-1150</v>
      </c>
      <c r="Y151" s="3168">
        <v>25.39</v>
      </c>
      <c r="Z151" s="3168">
        <v>8.8699999999999992</v>
      </c>
      <c r="AA151" s="3167" t="s">
        <v>3546</v>
      </c>
    </row>
    <row r="152" spans="1:27" ht="14.25">
      <c r="A152" s="3168">
        <v>151</v>
      </c>
      <c r="B152" s="3168" t="s">
        <v>3518</v>
      </c>
      <c r="C152" s="3168" t="s">
        <v>3488</v>
      </c>
      <c r="D152" s="3168">
        <v>144.91999999999999</v>
      </c>
      <c r="E152" s="3168">
        <v>50.6</v>
      </c>
      <c r="F152" s="3168" t="s">
        <v>3540</v>
      </c>
      <c r="O152" s="3168">
        <v>151</v>
      </c>
      <c r="P152" s="3168" t="s">
        <v>3522</v>
      </c>
      <c r="Q152" s="3168">
        <v>-130</v>
      </c>
      <c r="R152" s="3168">
        <v>7.87</v>
      </c>
      <c r="S152" s="3168">
        <v>2.75</v>
      </c>
      <c r="T152" s="3167" t="s">
        <v>3544</v>
      </c>
      <c r="V152" s="3168">
        <v>151</v>
      </c>
      <c r="W152" s="3168" t="s">
        <v>3538</v>
      </c>
      <c r="X152" s="3168">
        <v>-1151</v>
      </c>
      <c r="Y152" s="3168">
        <v>25.39</v>
      </c>
      <c r="Z152" s="3168">
        <v>8.8699999999999992</v>
      </c>
      <c r="AA152" s="3167" t="s">
        <v>3546</v>
      </c>
    </row>
    <row r="153" spans="1:27" ht="14.25">
      <c r="A153" s="3168">
        <v>152</v>
      </c>
      <c r="B153" s="3168" t="s">
        <v>3518</v>
      </c>
      <c r="C153" s="3168" t="s">
        <v>3489</v>
      </c>
      <c r="D153" s="3168">
        <v>144.91999999999999</v>
      </c>
      <c r="E153" s="3168">
        <v>50.6</v>
      </c>
      <c r="F153" s="3168" t="s">
        <v>3540</v>
      </c>
      <c r="O153" s="3168">
        <v>152</v>
      </c>
      <c r="P153" s="3168" t="s">
        <v>3522</v>
      </c>
      <c r="Q153" s="3168">
        <v>-131</v>
      </c>
      <c r="R153" s="3168">
        <v>6.67</v>
      </c>
      <c r="S153" s="3168">
        <v>2.33</v>
      </c>
      <c r="T153" s="3167" t="s">
        <v>3544</v>
      </c>
      <c r="V153" s="3168">
        <v>152</v>
      </c>
      <c r="W153" s="3168" t="s">
        <v>3538</v>
      </c>
      <c r="X153" s="3168">
        <v>-1152</v>
      </c>
      <c r="Y153" s="3168">
        <v>25.39</v>
      </c>
      <c r="Z153" s="3168">
        <v>8.8699999999999992</v>
      </c>
      <c r="AA153" s="3167" t="s">
        <v>3546</v>
      </c>
    </row>
    <row r="154" spans="1:27" ht="14.25">
      <c r="A154" s="3168">
        <v>153</v>
      </c>
      <c r="B154" s="3168" t="s">
        <v>3518</v>
      </c>
      <c r="C154" s="3168" t="s">
        <v>3519</v>
      </c>
      <c r="D154" s="3168">
        <v>144.91999999999999</v>
      </c>
      <c r="E154" s="3168">
        <v>50.6</v>
      </c>
      <c r="F154" s="3168" t="s">
        <v>3540</v>
      </c>
      <c r="O154" s="3168">
        <v>153</v>
      </c>
      <c r="P154" s="3168" t="s">
        <v>3522</v>
      </c>
      <c r="Q154" s="3168">
        <v>-132</v>
      </c>
      <c r="R154" s="3168">
        <v>8.6</v>
      </c>
      <c r="S154" s="3168">
        <v>3</v>
      </c>
      <c r="T154" s="3167" t="s">
        <v>3544</v>
      </c>
      <c r="V154" s="3168">
        <v>153</v>
      </c>
      <c r="W154" s="3168" t="s">
        <v>3538</v>
      </c>
      <c r="X154" s="3168">
        <v>-1153</v>
      </c>
      <c r="Y154" s="3168">
        <v>25.39</v>
      </c>
      <c r="Z154" s="3168">
        <v>8.8699999999999992</v>
      </c>
      <c r="AA154" s="3167" t="s">
        <v>3546</v>
      </c>
    </row>
    <row r="155" spans="1:27" ht="14.25">
      <c r="A155" s="3168">
        <v>154</v>
      </c>
      <c r="B155" s="3168" t="s">
        <v>3518</v>
      </c>
      <c r="C155" s="3168" t="s">
        <v>3520</v>
      </c>
      <c r="D155" s="3168">
        <v>144.91999999999999</v>
      </c>
      <c r="E155" s="3168">
        <v>50.6</v>
      </c>
      <c r="F155" s="3168" t="s">
        <v>3540</v>
      </c>
      <c r="O155" s="3168">
        <v>154</v>
      </c>
      <c r="P155" s="3168" t="s">
        <v>3522</v>
      </c>
      <c r="Q155" s="3168">
        <v>-133</v>
      </c>
      <c r="R155" s="3168">
        <v>6.64</v>
      </c>
      <c r="S155" s="3168">
        <v>2.3199999999999998</v>
      </c>
      <c r="T155" s="3167" t="s">
        <v>3544</v>
      </c>
      <c r="V155" s="3168">
        <v>154</v>
      </c>
      <c r="W155" s="3168" t="s">
        <v>3538</v>
      </c>
      <c r="X155" s="3168">
        <v>-1154</v>
      </c>
      <c r="Y155" s="3168">
        <v>25.39</v>
      </c>
      <c r="Z155" s="3168">
        <v>8.8699999999999992</v>
      </c>
      <c r="AA155" s="3167" t="s">
        <v>3546</v>
      </c>
    </row>
    <row r="156" spans="1:27" ht="14.25">
      <c r="A156" s="3168">
        <v>155</v>
      </c>
      <c r="B156" s="3168" t="s">
        <v>3518</v>
      </c>
      <c r="C156" s="3168" t="s">
        <v>3491</v>
      </c>
      <c r="D156" s="3168">
        <v>144.91999999999999</v>
      </c>
      <c r="E156" s="3168">
        <v>50.6</v>
      </c>
      <c r="F156" s="3168" t="s">
        <v>3540</v>
      </c>
      <c r="O156" s="3168">
        <v>155</v>
      </c>
      <c r="P156" s="3168" t="s">
        <v>3522</v>
      </c>
      <c r="Q156" s="3168">
        <v>-134</v>
      </c>
      <c r="R156" s="3168">
        <v>6.88</v>
      </c>
      <c r="S156" s="3168">
        <v>2.4</v>
      </c>
      <c r="T156" s="3167" t="s">
        <v>3544</v>
      </c>
      <c r="V156" s="3168">
        <v>155</v>
      </c>
      <c r="W156" s="3168" t="s">
        <v>3538</v>
      </c>
      <c r="X156" s="3168">
        <v>-1155</v>
      </c>
      <c r="Y156" s="3168">
        <v>25.39</v>
      </c>
      <c r="Z156" s="3168">
        <v>8.8699999999999992</v>
      </c>
      <c r="AA156" s="3167" t="s">
        <v>3546</v>
      </c>
    </row>
    <row r="157" spans="1:27" ht="14.25">
      <c r="A157" s="3168">
        <v>156</v>
      </c>
      <c r="B157" s="3168" t="s">
        <v>3518</v>
      </c>
      <c r="C157" s="3168" t="s">
        <v>3492</v>
      </c>
      <c r="D157" s="3168">
        <v>144.91999999999999</v>
      </c>
      <c r="E157" s="3168">
        <v>50.6</v>
      </c>
      <c r="F157" s="3168" t="s">
        <v>3540</v>
      </c>
      <c r="O157" s="3168">
        <v>156</v>
      </c>
      <c r="P157" s="3168" t="s">
        <v>3522</v>
      </c>
      <c r="Q157" s="3168">
        <v>-135</v>
      </c>
      <c r="R157" s="3168">
        <v>11.31</v>
      </c>
      <c r="S157" s="3168">
        <v>3.95</v>
      </c>
      <c r="T157" s="3167" t="s">
        <v>3544</v>
      </c>
      <c r="V157" s="3168">
        <v>156</v>
      </c>
      <c r="W157" s="3168" t="s">
        <v>3538</v>
      </c>
      <c r="X157" s="3168">
        <v>-1156</v>
      </c>
      <c r="Y157" s="3168">
        <v>25.39</v>
      </c>
      <c r="Z157" s="3168">
        <v>8.8699999999999992</v>
      </c>
      <c r="AA157" s="3167" t="s">
        <v>3546</v>
      </c>
    </row>
    <row r="158" spans="1:27" ht="14.25">
      <c r="A158" s="3168">
        <v>157</v>
      </c>
      <c r="B158" s="3168" t="s">
        <v>3518</v>
      </c>
      <c r="C158" s="3168" t="s">
        <v>3493</v>
      </c>
      <c r="D158" s="3168">
        <v>144.91999999999999</v>
      </c>
      <c r="E158" s="3168">
        <v>50.6</v>
      </c>
      <c r="F158" s="3168" t="s">
        <v>3540</v>
      </c>
      <c r="O158" s="3168">
        <v>157</v>
      </c>
      <c r="P158" s="3168" t="s">
        <v>3522</v>
      </c>
      <c r="Q158" s="3168">
        <v>-136</v>
      </c>
      <c r="R158" s="3168">
        <v>15.98</v>
      </c>
      <c r="S158" s="3168">
        <v>5.58</v>
      </c>
      <c r="T158" s="3167" t="s">
        <v>3544</v>
      </c>
      <c r="V158" s="3168">
        <v>157</v>
      </c>
      <c r="W158" s="3168" t="s">
        <v>3538</v>
      </c>
      <c r="X158" s="3168">
        <v>-1157</v>
      </c>
      <c r="Y158" s="3168">
        <v>25.39</v>
      </c>
      <c r="Z158" s="3168">
        <v>8.8699999999999992</v>
      </c>
      <c r="AA158" s="3167" t="s">
        <v>3546</v>
      </c>
    </row>
    <row r="159" spans="1:27" ht="14.25">
      <c r="A159" s="3168">
        <v>158</v>
      </c>
      <c r="B159" s="3168" t="s">
        <v>3518</v>
      </c>
      <c r="C159" s="3168" t="s">
        <v>3494</v>
      </c>
      <c r="D159" s="3168">
        <v>144.91999999999999</v>
      </c>
      <c r="E159" s="3168">
        <v>50.6</v>
      </c>
      <c r="F159" s="3168" t="s">
        <v>3540</v>
      </c>
      <c r="O159" s="3168">
        <v>158</v>
      </c>
      <c r="P159" s="3168" t="s">
        <v>3522</v>
      </c>
      <c r="Q159" s="3168">
        <v>-137</v>
      </c>
      <c r="R159" s="3168">
        <v>6.85</v>
      </c>
      <c r="S159" s="3168">
        <v>2.39</v>
      </c>
      <c r="T159" s="3167" t="s">
        <v>3544</v>
      </c>
      <c r="V159" s="3168">
        <v>158</v>
      </c>
      <c r="W159" s="3168" t="s">
        <v>3538</v>
      </c>
      <c r="X159" s="3168">
        <v>-1158</v>
      </c>
      <c r="Y159" s="3168">
        <v>25.39</v>
      </c>
      <c r="Z159" s="3168">
        <v>8.8699999999999992</v>
      </c>
      <c r="AA159" s="3167" t="s">
        <v>3546</v>
      </c>
    </row>
    <row r="160" spans="1:27" ht="14.25">
      <c r="A160" s="3168">
        <v>159</v>
      </c>
      <c r="B160" s="3168" t="s">
        <v>3518</v>
      </c>
      <c r="C160" s="3168" t="s">
        <v>3495</v>
      </c>
      <c r="D160" s="3168">
        <v>144.91999999999999</v>
      </c>
      <c r="E160" s="3168">
        <v>50.6</v>
      </c>
      <c r="F160" s="3168" t="s">
        <v>3540</v>
      </c>
      <c r="O160" s="3168">
        <v>159</v>
      </c>
      <c r="P160" s="3168" t="s">
        <v>3532</v>
      </c>
      <c r="Q160" s="3168">
        <v>-201</v>
      </c>
      <c r="R160" s="3168">
        <v>10.79</v>
      </c>
      <c r="S160" s="3168">
        <v>3.77</v>
      </c>
      <c r="T160" s="3167" t="s">
        <v>3544</v>
      </c>
      <c r="V160" s="3168">
        <v>159</v>
      </c>
      <c r="W160" s="3168" t="s">
        <v>3538</v>
      </c>
      <c r="X160" s="3168">
        <v>-1159</v>
      </c>
      <c r="Y160" s="3168">
        <v>25.39</v>
      </c>
      <c r="Z160" s="3168">
        <v>8.8699999999999992</v>
      </c>
      <c r="AA160" s="3167" t="s">
        <v>3546</v>
      </c>
    </row>
    <row r="161" spans="1:27" ht="14.25">
      <c r="A161" s="3168">
        <v>160</v>
      </c>
      <c r="B161" s="3168" t="s">
        <v>3518</v>
      </c>
      <c r="C161" s="3168" t="s">
        <v>3446</v>
      </c>
      <c r="D161" s="3168">
        <v>144.91999999999999</v>
      </c>
      <c r="E161" s="3168">
        <v>50.6</v>
      </c>
      <c r="F161" s="3168" t="s">
        <v>3540</v>
      </c>
      <c r="O161" s="3168">
        <v>160</v>
      </c>
      <c r="P161" s="3168" t="s">
        <v>3532</v>
      </c>
      <c r="Q161" s="3168">
        <v>-202</v>
      </c>
      <c r="R161" s="3168">
        <v>17.53</v>
      </c>
      <c r="S161" s="3168">
        <v>6.12</v>
      </c>
      <c r="T161" s="3167" t="s">
        <v>3544</v>
      </c>
      <c r="V161" s="3168">
        <v>160</v>
      </c>
      <c r="W161" s="3168" t="s">
        <v>3538</v>
      </c>
      <c r="X161" s="3168">
        <v>-1160</v>
      </c>
      <c r="Y161" s="3168">
        <v>25.39</v>
      </c>
      <c r="Z161" s="3168">
        <v>8.8699999999999992</v>
      </c>
      <c r="AA161" s="3167" t="s">
        <v>3546</v>
      </c>
    </row>
    <row r="162" spans="1:27" ht="14.25">
      <c r="A162" s="3168">
        <v>161</v>
      </c>
      <c r="B162" s="3168" t="s">
        <v>3518</v>
      </c>
      <c r="C162" s="3168" t="s">
        <v>3497</v>
      </c>
      <c r="D162" s="3168">
        <v>144.91999999999999</v>
      </c>
      <c r="E162" s="3168">
        <v>50.6</v>
      </c>
      <c r="F162" s="3168" t="s">
        <v>3540</v>
      </c>
      <c r="O162" s="3168">
        <v>161</v>
      </c>
      <c r="P162" s="3168" t="s">
        <v>3532</v>
      </c>
      <c r="Q162" s="3168">
        <v>-203</v>
      </c>
      <c r="R162" s="3168">
        <v>13.17</v>
      </c>
      <c r="S162" s="3168">
        <v>4.5999999999999996</v>
      </c>
      <c r="T162" s="3167" t="s">
        <v>3544</v>
      </c>
      <c r="V162" s="3168">
        <v>161</v>
      </c>
      <c r="W162" s="3168" t="s">
        <v>3538</v>
      </c>
      <c r="X162" s="3168">
        <v>-1161</v>
      </c>
      <c r="Y162" s="3168">
        <v>25.39</v>
      </c>
      <c r="Z162" s="3168">
        <v>8.8699999999999992</v>
      </c>
      <c r="AA162" s="3167" t="s">
        <v>3546</v>
      </c>
    </row>
    <row r="163" spans="1:27" ht="14.25">
      <c r="A163" s="3168">
        <v>162</v>
      </c>
      <c r="B163" s="3168" t="s">
        <v>3518</v>
      </c>
      <c r="C163" s="3168" t="s">
        <v>3430</v>
      </c>
      <c r="D163" s="3168">
        <v>144.91999999999999</v>
      </c>
      <c r="E163" s="3168">
        <v>50.6</v>
      </c>
      <c r="F163" s="3168" t="s">
        <v>3540</v>
      </c>
      <c r="O163" s="3168">
        <v>162</v>
      </c>
      <c r="P163" s="3168" t="s">
        <v>3532</v>
      </c>
      <c r="Q163" s="3168">
        <v>-204</v>
      </c>
      <c r="R163" s="3168">
        <v>8.81</v>
      </c>
      <c r="S163" s="3168">
        <v>3.08</v>
      </c>
      <c r="T163" s="3167" t="s">
        <v>3544</v>
      </c>
      <c r="V163" s="3168">
        <v>162</v>
      </c>
      <c r="W163" s="3168" t="s">
        <v>3538</v>
      </c>
      <c r="X163" s="3168">
        <v>-1162</v>
      </c>
      <c r="Y163" s="3168">
        <v>25.39</v>
      </c>
      <c r="Z163" s="3168">
        <v>8.8699999999999992</v>
      </c>
      <c r="AA163" s="3167" t="s">
        <v>3546</v>
      </c>
    </row>
    <row r="164" spans="1:27" ht="14.25">
      <c r="A164" s="3168">
        <v>163</v>
      </c>
      <c r="B164" s="3168" t="s">
        <v>3518</v>
      </c>
      <c r="C164" s="3168" t="s">
        <v>3431</v>
      </c>
      <c r="D164" s="3168">
        <v>100.82</v>
      </c>
      <c r="E164" s="3168">
        <v>35.21</v>
      </c>
      <c r="F164" s="3168" t="s">
        <v>3540</v>
      </c>
      <c r="O164" s="3168">
        <v>163</v>
      </c>
      <c r="P164" s="3168" t="s">
        <v>3532</v>
      </c>
      <c r="Q164" s="3168">
        <v>-205</v>
      </c>
      <c r="R164" s="3168">
        <v>8.9600000000000009</v>
      </c>
      <c r="S164" s="3168">
        <v>3.13</v>
      </c>
      <c r="T164" s="3167" t="s">
        <v>3544</v>
      </c>
      <c r="V164" s="3168">
        <v>163</v>
      </c>
      <c r="W164" s="3168" t="s">
        <v>3538</v>
      </c>
      <c r="X164" s="3168">
        <v>-1163</v>
      </c>
      <c r="Y164" s="3168">
        <v>25.39</v>
      </c>
      <c r="Z164" s="3168">
        <v>8.8699999999999992</v>
      </c>
      <c r="AA164" s="3167" t="s">
        <v>3546</v>
      </c>
    </row>
    <row r="165" spans="1:27" ht="14.25">
      <c r="A165" s="3168">
        <v>164</v>
      </c>
      <c r="B165" s="3168" t="s">
        <v>3518</v>
      </c>
      <c r="C165" s="3168" t="s">
        <v>3432</v>
      </c>
      <c r="D165" s="3168">
        <v>100.82</v>
      </c>
      <c r="E165" s="3168">
        <v>35.21</v>
      </c>
      <c r="F165" s="3168" t="s">
        <v>3540</v>
      </c>
      <c r="O165" s="3168">
        <v>164</v>
      </c>
      <c r="P165" s="3168" t="s">
        <v>3532</v>
      </c>
      <c r="Q165" s="3168">
        <v>-206</v>
      </c>
      <c r="R165" s="3168">
        <v>8.9600000000000009</v>
      </c>
      <c r="S165" s="3168">
        <v>3.13</v>
      </c>
      <c r="T165" s="3167" t="s">
        <v>3544</v>
      </c>
      <c r="V165" s="3168">
        <v>164</v>
      </c>
      <c r="W165" s="3168" t="s">
        <v>3538</v>
      </c>
      <c r="X165" s="3168">
        <v>-1164</v>
      </c>
      <c r="Y165" s="3168">
        <v>25.39</v>
      </c>
      <c r="Z165" s="3168">
        <v>8.8699999999999992</v>
      </c>
      <c r="AA165" s="3167" t="s">
        <v>3546</v>
      </c>
    </row>
    <row r="166" spans="1:27" ht="14.25">
      <c r="A166" s="3168">
        <v>165</v>
      </c>
      <c r="B166" s="3168" t="s">
        <v>3518</v>
      </c>
      <c r="C166" s="3168" t="s">
        <v>3447</v>
      </c>
      <c r="D166" s="3168">
        <v>144.88999999999999</v>
      </c>
      <c r="E166" s="3168">
        <v>50.59</v>
      </c>
      <c r="F166" s="3168" t="s">
        <v>3540</v>
      </c>
      <c r="O166" s="3168">
        <v>165</v>
      </c>
      <c r="P166" s="3168" t="s">
        <v>3532</v>
      </c>
      <c r="Q166" s="3168">
        <v>-207</v>
      </c>
      <c r="R166" s="3168">
        <v>8.81</v>
      </c>
      <c r="S166" s="3168">
        <v>3.08</v>
      </c>
      <c r="T166" s="3167" t="s">
        <v>3544</v>
      </c>
      <c r="V166" s="3168">
        <v>165</v>
      </c>
      <c r="W166" s="3168" t="s">
        <v>3538</v>
      </c>
      <c r="X166" s="3168">
        <v>-1165</v>
      </c>
      <c r="Y166" s="3168">
        <v>25.39</v>
      </c>
      <c r="Z166" s="3168">
        <v>8.8699999999999992</v>
      </c>
      <c r="AA166" s="3167" t="s">
        <v>3546</v>
      </c>
    </row>
    <row r="167" spans="1:27" ht="14.25">
      <c r="A167" s="3168">
        <v>166</v>
      </c>
      <c r="B167" s="3168" t="s">
        <v>3518</v>
      </c>
      <c r="C167" s="3168" t="s">
        <v>3498</v>
      </c>
      <c r="D167" s="3168">
        <v>145.28</v>
      </c>
      <c r="E167" s="3168">
        <v>50.73</v>
      </c>
      <c r="F167" s="3168" t="s">
        <v>3540</v>
      </c>
      <c r="O167" s="3168">
        <v>166</v>
      </c>
      <c r="P167" s="3168" t="s">
        <v>3532</v>
      </c>
      <c r="Q167" s="3168">
        <v>-208</v>
      </c>
      <c r="R167" s="3168">
        <v>8.9499999999999993</v>
      </c>
      <c r="S167" s="3168">
        <v>3.13</v>
      </c>
      <c r="T167" s="3167" t="s">
        <v>3544</v>
      </c>
      <c r="V167" s="3168">
        <v>166</v>
      </c>
      <c r="W167" s="3168" t="s">
        <v>3538</v>
      </c>
      <c r="X167" s="3168">
        <v>-1166</v>
      </c>
      <c r="Y167" s="3168">
        <v>25.39</v>
      </c>
      <c r="Z167" s="3168">
        <v>8.8699999999999992</v>
      </c>
      <c r="AA167" s="3167" t="s">
        <v>3546</v>
      </c>
    </row>
    <row r="168" spans="1:27" ht="14.25">
      <c r="A168" s="3168">
        <v>167</v>
      </c>
      <c r="B168" s="3168" t="s">
        <v>3518</v>
      </c>
      <c r="C168" s="3168" t="s">
        <v>3435</v>
      </c>
      <c r="D168" s="3168">
        <v>144.88999999999999</v>
      </c>
      <c r="E168" s="3168">
        <v>50.59</v>
      </c>
      <c r="F168" s="3168" t="s">
        <v>3540</v>
      </c>
      <c r="O168" s="3168">
        <v>167</v>
      </c>
      <c r="P168" s="3168" t="s">
        <v>3532</v>
      </c>
      <c r="Q168" s="3168">
        <v>-209</v>
      </c>
      <c r="R168" s="3168">
        <v>16.3</v>
      </c>
      <c r="S168" s="3168">
        <v>5.69</v>
      </c>
      <c r="T168" s="3167" t="s">
        <v>3544</v>
      </c>
      <c r="V168" s="3168">
        <v>167</v>
      </c>
      <c r="W168" s="3168" t="s">
        <v>3538</v>
      </c>
      <c r="X168" s="3168">
        <v>-1167</v>
      </c>
      <c r="Y168" s="3168">
        <v>25.39</v>
      </c>
      <c r="Z168" s="3168">
        <v>8.8699999999999992</v>
      </c>
      <c r="AA168" s="3167" t="s">
        <v>3546</v>
      </c>
    </row>
    <row r="169" spans="1:27" ht="14.25">
      <c r="A169" s="3168">
        <v>168</v>
      </c>
      <c r="B169" s="3168" t="s">
        <v>3518</v>
      </c>
      <c r="C169" s="3168" t="s">
        <v>3499</v>
      </c>
      <c r="D169" s="3168">
        <v>145.28</v>
      </c>
      <c r="E169" s="3168">
        <v>50.73</v>
      </c>
      <c r="F169" s="3168" t="s">
        <v>3540</v>
      </c>
      <c r="O169" s="3168">
        <v>168</v>
      </c>
      <c r="P169" s="3168" t="s">
        <v>3532</v>
      </c>
      <c r="Q169" s="3168">
        <v>-210</v>
      </c>
      <c r="R169" s="3168">
        <v>10.31</v>
      </c>
      <c r="S169" s="3168">
        <v>3.6</v>
      </c>
      <c r="T169" s="3167" t="s">
        <v>3544</v>
      </c>
      <c r="V169" s="3168">
        <v>168</v>
      </c>
      <c r="W169" s="3168" t="s">
        <v>3538</v>
      </c>
      <c r="X169" s="3168">
        <v>-1168</v>
      </c>
      <c r="Y169" s="3168">
        <v>25.39</v>
      </c>
      <c r="Z169" s="3168">
        <v>8.8699999999999992</v>
      </c>
      <c r="AA169" s="3167" t="s">
        <v>3546</v>
      </c>
    </row>
    <row r="170" spans="1:27" ht="14.25">
      <c r="A170" s="3168">
        <v>169</v>
      </c>
      <c r="B170" s="3168" t="s">
        <v>3518</v>
      </c>
      <c r="C170" s="3168" t="s">
        <v>3500</v>
      </c>
      <c r="D170" s="3168">
        <v>144.88999999999999</v>
      </c>
      <c r="E170" s="3168">
        <v>50.59</v>
      </c>
      <c r="F170" s="3168" t="s">
        <v>3540</v>
      </c>
      <c r="O170" s="3168">
        <v>169</v>
      </c>
      <c r="P170" s="3168" t="s">
        <v>3532</v>
      </c>
      <c r="Q170" s="3168">
        <v>-211</v>
      </c>
      <c r="R170" s="3168">
        <v>8.81</v>
      </c>
      <c r="S170" s="3168">
        <v>3.08</v>
      </c>
      <c r="T170" s="3167" t="s">
        <v>3544</v>
      </c>
      <c r="V170" s="3168">
        <v>169</v>
      </c>
      <c r="W170" s="3168" t="s">
        <v>3538</v>
      </c>
      <c r="X170" s="3168">
        <v>-1169</v>
      </c>
      <c r="Y170" s="3168">
        <v>25.39</v>
      </c>
      <c r="Z170" s="3168">
        <v>8.8699999999999992</v>
      </c>
      <c r="AA170" s="3167" t="s">
        <v>3546</v>
      </c>
    </row>
    <row r="171" spans="1:27" ht="14.25">
      <c r="A171" s="3168">
        <v>170</v>
      </c>
      <c r="B171" s="3168" t="s">
        <v>3518</v>
      </c>
      <c r="C171" s="3168" t="s">
        <v>3501</v>
      </c>
      <c r="D171" s="3168">
        <v>144.88999999999999</v>
      </c>
      <c r="E171" s="3168">
        <v>50.59</v>
      </c>
      <c r="F171" s="3168" t="s">
        <v>3540</v>
      </c>
      <c r="O171" s="3168">
        <v>170</v>
      </c>
      <c r="P171" s="3168" t="s">
        <v>3532</v>
      </c>
      <c r="Q171" s="3168">
        <v>-212</v>
      </c>
      <c r="R171" s="3168">
        <v>8.9600000000000009</v>
      </c>
      <c r="S171" s="3168">
        <v>3.13</v>
      </c>
      <c r="T171" s="3167" t="s">
        <v>3544</v>
      </c>
      <c r="V171" s="3168">
        <v>170</v>
      </c>
      <c r="W171" s="3168" t="s">
        <v>3538</v>
      </c>
      <c r="X171" s="3168">
        <v>-1170</v>
      </c>
      <c r="Y171" s="3168">
        <v>25.39</v>
      </c>
      <c r="Z171" s="3168">
        <v>8.8699999999999992</v>
      </c>
      <c r="AA171" s="3167" t="s">
        <v>3546</v>
      </c>
    </row>
    <row r="172" spans="1:27" ht="14.25">
      <c r="A172" s="3168">
        <v>171</v>
      </c>
      <c r="B172" s="3168" t="s">
        <v>3518</v>
      </c>
      <c r="C172" s="3168" t="s">
        <v>3436</v>
      </c>
      <c r="D172" s="3168">
        <v>144.88999999999999</v>
      </c>
      <c r="E172" s="3168">
        <v>50.59</v>
      </c>
      <c r="F172" s="3168" t="s">
        <v>3540</v>
      </c>
      <c r="O172" s="3168">
        <v>171</v>
      </c>
      <c r="P172" s="3168" t="s">
        <v>3532</v>
      </c>
      <c r="Q172" s="3168">
        <v>-213</v>
      </c>
      <c r="R172" s="3168">
        <v>23.79</v>
      </c>
      <c r="S172" s="3168">
        <v>8.31</v>
      </c>
      <c r="T172" s="3167" t="s">
        <v>3544</v>
      </c>
      <c r="V172" s="3168">
        <v>171</v>
      </c>
      <c r="W172" s="3168" t="s">
        <v>3538</v>
      </c>
      <c r="X172" s="3168">
        <v>-1171</v>
      </c>
      <c r="Y172" s="3168">
        <v>25.39</v>
      </c>
      <c r="Z172" s="3168">
        <v>8.8699999999999992</v>
      </c>
      <c r="AA172" s="3167" t="s">
        <v>3546</v>
      </c>
    </row>
    <row r="173" spans="1:27" ht="14.25">
      <c r="A173" s="3168">
        <v>172</v>
      </c>
      <c r="B173" s="3168" t="s">
        <v>3518</v>
      </c>
      <c r="C173" s="3168" t="s">
        <v>3437</v>
      </c>
      <c r="D173" s="3168">
        <v>145.28</v>
      </c>
      <c r="E173" s="3168">
        <v>50.73</v>
      </c>
      <c r="F173" s="3168" t="s">
        <v>3540</v>
      </c>
      <c r="O173" s="3168">
        <v>172</v>
      </c>
      <c r="P173" s="3168" t="s">
        <v>3532</v>
      </c>
      <c r="Q173" s="3168">
        <v>-214</v>
      </c>
      <c r="R173" s="3168">
        <v>24.1</v>
      </c>
      <c r="S173" s="3168">
        <v>8.42</v>
      </c>
      <c r="T173" s="3167" t="s">
        <v>3544</v>
      </c>
      <c r="V173" s="3168">
        <v>172</v>
      </c>
      <c r="W173" s="3168" t="s">
        <v>3538</v>
      </c>
      <c r="X173" s="3168">
        <v>-1172</v>
      </c>
      <c r="Y173" s="3168">
        <v>25.39</v>
      </c>
      <c r="Z173" s="3168">
        <v>8.8699999999999992</v>
      </c>
      <c r="AA173" s="3167" t="s">
        <v>3546</v>
      </c>
    </row>
    <row r="174" spans="1:27" ht="14.25">
      <c r="A174" s="3168">
        <v>173</v>
      </c>
      <c r="B174" s="3168" t="s">
        <v>3518</v>
      </c>
      <c r="C174" s="3168" t="s">
        <v>3503</v>
      </c>
      <c r="D174" s="3168">
        <v>144.88999999999999</v>
      </c>
      <c r="E174" s="3168">
        <v>50.59</v>
      </c>
      <c r="F174" s="3168" t="s">
        <v>3540</v>
      </c>
      <c r="O174" s="3168">
        <v>173</v>
      </c>
      <c r="P174" s="3168" t="s">
        <v>3532</v>
      </c>
      <c r="Q174" s="3168">
        <v>-215</v>
      </c>
      <c r="R174" s="3168">
        <v>8.9600000000000009</v>
      </c>
      <c r="S174" s="3168">
        <v>3.13</v>
      </c>
      <c r="T174" s="3167" t="s">
        <v>3544</v>
      </c>
      <c r="V174" s="3168">
        <v>173</v>
      </c>
      <c r="W174" s="3168" t="s">
        <v>3538</v>
      </c>
      <c r="X174" s="3168">
        <v>-1173</v>
      </c>
      <c r="Y174" s="3168">
        <v>25.39</v>
      </c>
      <c r="Z174" s="3168">
        <v>8.8699999999999992</v>
      </c>
      <c r="AA174" s="3167" t="s">
        <v>3546</v>
      </c>
    </row>
    <row r="175" spans="1:27" ht="14.25">
      <c r="A175" s="3168">
        <v>174</v>
      </c>
      <c r="B175" s="3168" t="s">
        <v>3518</v>
      </c>
      <c r="C175" s="3168" t="s">
        <v>3449</v>
      </c>
      <c r="D175" s="3168">
        <v>144.88999999999999</v>
      </c>
      <c r="E175" s="3168">
        <v>50.59</v>
      </c>
      <c r="F175" s="3168" t="s">
        <v>3540</v>
      </c>
      <c r="O175" s="3168">
        <v>174</v>
      </c>
      <c r="P175" s="3168" t="s">
        <v>3532</v>
      </c>
      <c r="Q175" s="3168">
        <v>-216</v>
      </c>
      <c r="R175" s="3168">
        <v>8.81</v>
      </c>
      <c r="S175" s="3168">
        <v>3.08</v>
      </c>
      <c r="T175" s="3167" t="s">
        <v>3544</v>
      </c>
      <c r="V175" s="3168">
        <v>174</v>
      </c>
      <c r="W175" s="3168" t="s">
        <v>3538</v>
      </c>
      <c r="X175" s="3168">
        <v>-1174</v>
      </c>
      <c r="Y175" s="3168">
        <v>25.39</v>
      </c>
      <c r="Z175" s="3168">
        <v>8.8699999999999992</v>
      </c>
      <c r="AA175" s="3167" t="s">
        <v>3546</v>
      </c>
    </row>
    <row r="176" spans="1:27" ht="14.25">
      <c r="A176" s="3168">
        <v>175</v>
      </c>
      <c r="B176" s="3168" t="s">
        <v>3518</v>
      </c>
      <c r="C176" s="3168" t="s">
        <v>3504</v>
      </c>
      <c r="D176" s="3168">
        <v>144.88999999999999</v>
      </c>
      <c r="E176" s="3168">
        <v>50.59</v>
      </c>
      <c r="F176" s="3168" t="s">
        <v>3540</v>
      </c>
      <c r="O176" s="3168">
        <v>175</v>
      </c>
      <c r="P176" s="3168" t="s">
        <v>3533</v>
      </c>
      <c r="Q176" s="3168">
        <v>-101</v>
      </c>
      <c r="R176" s="3168">
        <v>14.07</v>
      </c>
      <c r="S176" s="3168">
        <v>4.91</v>
      </c>
      <c r="T176" s="3167" t="s">
        <v>3544</v>
      </c>
      <c r="V176" s="3168">
        <v>175</v>
      </c>
      <c r="W176" s="3168" t="s">
        <v>3538</v>
      </c>
      <c r="X176" s="3168">
        <v>-1175</v>
      </c>
      <c r="Y176" s="3168">
        <v>25.39</v>
      </c>
      <c r="Z176" s="3168">
        <v>8.8699999999999992</v>
      </c>
      <c r="AA176" s="3167" t="s">
        <v>3546</v>
      </c>
    </row>
    <row r="177" spans="1:27" ht="14.25">
      <c r="A177" s="3168">
        <v>176</v>
      </c>
      <c r="B177" s="3168" t="s">
        <v>3518</v>
      </c>
      <c r="C177" s="3168" t="s">
        <v>3440</v>
      </c>
      <c r="D177" s="3168">
        <v>145.28</v>
      </c>
      <c r="E177" s="3168">
        <v>50.73</v>
      </c>
      <c r="F177" s="3168" t="s">
        <v>3540</v>
      </c>
      <c r="O177" s="3168">
        <v>176</v>
      </c>
      <c r="P177" s="3168" t="s">
        <v>3533</v>
      </c>
      <c r="Q177" s="3168">
        <v>-102</v>
      </c>
      <c r="R177" s="3168">
        <v>6.59</v>
      </c>
      <c r="S177" s="3168">
        <v>2.2999999999999998</v>
      </c>
      <c r="T177" s="3167" t="s">
        <v>3544</v>
      </c>
      <c r="V177" s="3168">
        <v>176</v>
      </c>
      <c r="W177" s="3168" t="s">
        <v>3538</v>
      </c>
      <c r="X177" s="3168">
        <v>-1176</v>
      </c>
      <c r="Y177" s="3168">
        <v>25.39</v>
      </c>
      <c r="Z177" s="3168">
        <v>8.8699999999999992</v>
      </c>
      <c r="AA177" s="3167" t="s">
        <v>3546</v>
      </c>
    </row>
    <row r="178" spans="1:27" ht="14.25">
      <c r="A178" s="3168">
        <v>177</v>
      </c>
      <c r="B178" s="3168" t="s">
        <v>3518</v>
      </c>
      <c r="C178" s="3168" t="s">
        <v>3473</v>
      </c>
      <c r="D178" s="3168">
        <v>144.88999999999999</v>
      </c>
      <c r="E178" s="3168">
        <v>50.59</v>
      </c>
      <c r="F178" s="3168" t="s">
        <v>3540</v>
      </c>
      <c r="O178" s="3168">
        <v>177</v>
      </c>
      <c r="P178" s="3168" t="s">
        <v>3533</v>
      </c>
      <c r="Q178" s="3168">
        <v>-103</v>
      </c>
      <c r="R178" s="3168">
        <v>7.92</v>
      </c>
      <c r="S178" s="3168">
        <v>2.77</v>
      </c>
      <c r="T178" s="3167" t="s">
        <v>3544</v>
      </c>
      <c r="V178" s="3168">
        <v>177</v>
      </c>
      <c r="W178" s="3168" t="s">
        <v>3538</v>
      </c>
      <c r="X178" s="3168">
        <v>-1177</v>
      </c>
      <c r="Y178" s="3168">
        <v>25.39</v>
      </c>
      <c r="Z178" s="3168">
        <v>8.8699999999999992</v>
      </c>
      <c r="AA178" s="3167" t="s">
        <v>3546</v>
      </c>
    </row>
    <row r="179" spans="1:27" ht="14.25">
      <c r="A179" s="3168">
        <v>178</v>
      </c>
      <c r="B179" s="3168" t="s">
        <v>3518</v>
      </c>
      <c r="C179" s="3168" t="s">
        <v>3505</v>
      </c>
      <c r="D179" s="3168">
        <v>145.28</v>
      </c>
      <c r="E179" s="3168">
        <v>50.73</v>
      </c>
      <c r="F179" s="3168" t="s">
        <v>3540</v>
      </c>
      <c r="O179" s="3168">
        <v>178</v>
      </c>
      <c r="P179" s="3168" t="s">
        <v>3533</v>
      </c>
      <c r="Q179" s="3168">
        <v>-104</v>
      </c>
      <c r="R179" s="3168">
        <v>6.87</v>
      </c>
      <c r="S179" s="3168">
        <v>2.4</v>
      </c>
      <c r="T179" s="3167" t="s">
        <v>3544</v>
      </c>
      <c r="V179" s="3168">
        <v>178</v>
      </c>
      <c r="W179" s="3168" t="s">
        <v>3538</v>
      </c>
      <c r="X179" s="3168">
        <v>-1178</v>
      </c>
      <c r="Y179" s="3168">
        <v>25.39</v>
      </c>
      <c r="Z179" s="3168">
        <v>8.8699999999999992</v>
      </c>
      <c r="AA179" s="3167" t="s">
        <v>3546</v>
      </c>
    </row>
    <row r="180" spans="1:27" ht="14.25">
      <c r="A180" s="3168">
        <v>179</v>
      </c>
      <c r="B180" s="3168" t="s">
        <v>3518</v>
      </c>
      <c r="C180" s="3168" t="s">
        <v>3506</v>
      </c>
      <c r="D180" s="3168">
        <v>100.8</v>
      </c>
      <c r="E180" s="3168">
        <v>35.200000000000003</v>
      </c>
      <c r="F180" s="3168" t="s">
        <v>3540</v>
      </c>
      <c r="O180" s="3168">
        <v>179</v>
      </c>
      <c r="P180" s="3168" t="s">
        <v>3533</v>
      </c>
      <c r="Q180" s="3168">
        <v>-105</v>
      </c>
      <c r="R180" s="3168">
        <v>7.68</v>
      </c>
      <c r="S180" s="3168">
        <v>2.68</v>
      </c>
      <c r="T180" s="3167" t="s">
        <v>3544</v>
      </c>
      <c r="V180" s="3168">
        <v>179</v>
      </c>
      <c r="W180" s="3168" t="s">
        <v>3538</v>
      </c>
      <c r="X180" s="3168">
        <v>-1179</v>
      </c>
      <c r="Y180" s="3168">
        <v>25.39</v>
      </c>
      <c r="Z180" s="3168">
        <v>8.8699999999999992</v>
      </c>
      <c r="AA180" s="3167" t="s">
        <v>3546</v>
      </c>
    </row>
    <row r="181" spans="1:27" ht="14.25">
      <c r="A181" s="3168">
        <v>180</v>
      </c>
      <c r="B181" s="3168" t="s">
        <v>3518</v>
      </c>
      <c r="C181" s="3168" t="s">
        <v>3507</v>
      </c>
      <c r="D181" s="3168">
        <v>101.18</v>
      </c>
      <c r="E181" s="3168">
        <v>35.33</v>
      </c>
      <c r="F181" s="3168" t="s">
        <v>3540</v>
      </c>
      <c r="O181" s="3168">
        <v>180</v>
      </c>
      <c r="P181" s="3168" t="s">
        <v>3533</v>
      </c>
      <c r="Q181" s="3168">
        <v>-106</v>
      </c>
      <c r="R181" s="3168">
        <v>11.22</v>
      </c>
      <c r="S181" s="3168">
        <v>3.92</v>
      </c>
      <c r="T181" s="3167" t="s">
        <v>3544</v>
      </c>
      <c r="V181" s="3168">
        <v>180</v>
      </c>
      <c r="W181" s="3168" t="s">
        <v>3538</v>
      </c>
      <c r="X181" s="3168">
        <v>-1180</v>
      </c>
      <c r="Y181" s="3168">
        <v>25.39</v>
      </c>
      <c r="Z181" s="3168">
        <v>8.8699999999999992</v>
      </c>
      <c r="AA181" s="3167" t="s">
        <v>3546</v>
      </c>
    </row>
    <row r="182" spans="1:27" ht="14.25">
      <c r="A182" s="3168">
        <v>181</v>
      </c>
      <c r="B182" s="3168" t="s">
        <v>3521</v>
      </c>
      <c r="C182" s="3168" t="s">
        <v>3451</v>
      </c>
      <c r="D182" s="3168">
        <v>129.80000000000001</v>
      </c>
      <c r="E182" s="3168">
        <v>45.32</v>
      </c>
      <c r="F182" s="3168" t="s">
        <v>3540</v>
      </c>
      <c r="O182" s="3168">
        <v>181</v>
      </c>
      <c r="P182" s="3168" t="s">
        <v>3533</v>
      </c>
      <c r="Q182" s="3168">
        <v>-107</v>
      </c>
      <c r="R182" s="3168">
        <v>10.63</v>
      </c>
      <c r="S182" s="3168">
        <v>3.71</v>
      </c>
      <c r="T182" s="3167" t="s">
        <v>3544</v>
      </c>
      <c r="V182" s="3168">
        <v>181</v>
      </c>
      <c r="W182" s="3168" t="s">
        <v>3538</v>
      </c>
      <c r="X182" s="3168">
        <v>-1181</v>
      </c>
      <c r="Y182" s="3168">
        <v>25.39</v>
      </c>
      <c r="Z182" s="3168">
        <v>8.8699999999999992</v>
      </c>
      <c r="AA182" s="3167" t="s">
        <v>3546</v>
      </c>
    </row>
    <row r="183" spans="1:27" ht="14.25">
      <c r="A183" s="3168">
        <v>182</v>
      </c>
      <c r="B183" s="3168" t="s">
        <v>3521</v>
      </c>
      <c r="C183" s="3168" t="s">
        <v>3452</v>
      </c>
      <c r="D183" s="3168">
        <v>129.41999999999999</v>
      </c>
      <c r="E183" s="3168">
        <v>45.19</v>
      </c>
      <c r="F183" s="3168" t="s">
        <v>3540</v>
      </c>
      <c r="O183" s="3168">
        <v>182</v>
      </c>
      <c r="P183" s="3168" t="s">
        <v>3533</v>
      </c>
      <c r="Q183" s="3168">
        <v>-108</v>
      </c>
      <c r="R183" s="3168">
        <v>11.81</v>
      </c>
      <c r="S183" s="3168">
        <v>4.12</v>
      </c>
      <c r="T183" s="3167" t="s">
        <v>3544</v>
      </c>
      <c r="V183" s="3168">
        <v>182</v>
      </c>
      <c r="W183" s="3168" t="s">
        <v>3538</v>
      </c>
      <c r="X183" s="3168">
        <v>-1182</v>
      </c>
      <c r="Y183" s="3168">
        <v>25.39</v>
      </c>
      <c r="Z183" s="3168">
        <v>8.8699999999999992</v>
      </c>
      <c r="AA183" s="3167" t="s">
        <v>3546</v>
      </c>
    </row>
    <row r="184" spans="1:27" ht="14.25">
      <c r="A184" s="3168">
        <v>183</v>
      </c>
      <c r="B184" s="3168" t="s">
        <v>3521</v>
      </c>
      <c r="C184" s="3168" t="s">
        <v>3475</v>
      </c>
      <c r="D184" s="3168">
        <v>129.80000000000001</v>
      </c>
      <c r="E184" s="3168">
        <v>45.32</v>
      </c>
      <c r="F184" s="3168" t="s">
        <v>3540</v>
      </c>
      <c r="O184" s="3168">
        <v>183</v>
      </c>
      <c r="P184" s="3168" t="s">
        <v>3533</v>
      </c>
      <c r="Q184" s="3168">
        <v>-109</v>
      </c>
      <c r="R184" s="3168">
        <v>8.57</v>
      </c>
      <c r="S184" s="3168">
        <v>2.99</v>
      </c>
      <c r="T184" s="3167" t="s">
        <v>3544</v>
      </c>
      <c r="V184" s="3168">
        <v>183</v>
      </c>
      <c r="W184" s="3168" t="s">
        <v>3538</v>
      </c>
      <c r="X184" s="3168">
        <v>-1183</v>
      </c>
      <c r="Y184" s="3168">
        <v>25.39</v>
      </c>
      <c r="Z184" s="3168">
        <v>8.8699999999999992</v>
      </c>
      <c r="AA184" s="3167" t="s">
        <v>3546</v>
      </c>
    </row>
    <row r="185" spans="1:27" ht="14.25">
      <c r="A185" s="3168">
        <v>184</v>
      </c>
      <c r="B185" s="3168" t="s">
        <v>3521</v>
      </c>
      <c r="C185" s="3168" t="s">
        <v>3476</v>
      </c>
      <c r="D185" s="3168">
        <v>129.41999999999999</v>
      </c>
      <c r="E185" s="3168">
        <v>45.19</v>
      </c>
      <c r="F185" s="3168" t="s">
        <v>3540</v>
      </c>
      <c r="O185" s="3168">
        <v>184</v>
      </c>
      <c r="P185" s="3168" t="s">
        <v>3533</v>
      </c>
      <c r="Q185" s="3168">
        <v>-110</v>
      </c>
      <c r="R185" s="3168">
        <v>8.57</v>
      </c>
      <c r="S185" s="3168">
        <v>2.99</v>
      </c>
      <c r="T185" s="3167" t="s">
        <v>3544</v>
      </c>
      <c r="V185" s="3168">
        <v>184</v>
      </c>
      <c r="W185" s="3168" t="s">
        <v>3538</v>
      </c>
      <c r="X185" s="3168">
        <v>-1184</v>
      </c>
      <c r="Y185" s="3168">
        <v>25.39</v>
      </c>
      <c r="Z185" s="3168">
        <v>8.8699999999999992</v>
      </c>
      <c r="AA185" s="3167" t="s">
        <v>3546</v>
      </c>
    </row>
    <row r="186" spans="1:27" ht="14.25">
      <c r="A186" s="3168">
        <v>185</v>
      </c>
      <c r="B186" s="3168" t="s">
        <v>3521</v>
      </c>
      <c r="C186" s="3168" t="s">
        <v>3477</v>
      </c>
      <c r="D186" s="3168">
        <v>129.80000000000001</v>
      </c>
      <c r="E186" s="3168">
        <v>45.32</v>
      </c>
      <c r="F186" s="3168" t="s">
        <v>3540</v>
      </c>
      <c r="O186" s="3168">
        <v>185</v>
      </c>
      <c r="P186" s="3168" t="s">
        <v>3533</v>
      </c>
      <c r="Q186" s="3168">
        <v>-111</v>
      </c>
      <c r="R186" s="3168">
        <v>11.81</v>
      </c>
      <c r="S186" s="3168">
        <v>4.12</v>
      </c>
      <c r="T186" s="3167" t="s">
        <v>3544</v>
      </c>
      <c r="V186" s="3168">
        <v>185</v>
      </c>
      <c r="W186" s="3168" t="s">
        <v>3538</v>
      </c>
      <c r="X186" s="3168">
        <v>-1185</v>
      </c>
      <c r="Y186" s="3168">
        <v>25.39</v>
      </c>
      <c r="Z186" s="3168">
        <v>8.8699999999999992</v>
      </c>
      <c r="AA186" s="3167" t="s">
        <v>3546</v>
      </c>
    </row>
    <row r="187" spans="1:27" ht="14.25">
      <c r="A187" s="3168">
        <v>186</v>
      </c>
      <c r="B187" s="3168" t="s">
        <v>3521</v>
      </c>
      <c r="C187" s="3168" t="s">
        <v>3478</v>
      </c>
      <c r="D187" s="3168">
        <v>129.41999999999999</v>
      </c>
      <c r="E187" s="3168">
        <v>45.19</v>
      </c>
      <c r="F187" s="3168" t="s">
        <v>3540</v>
      </c>
      <c r="O187" s="3168">
        <v>186</v>
      </c>
      <c r="P187" s="3168" t="s">
        <v>3533</v>
      </c>
      <c r="Q187" s="3168">
        <v>-112</v>
      </c>
      <c r="R187" s="3168">
        <v>11.07</v>
      </c>
      <c r="S187" s="3168">
        <v>3.87</v>
      </c>
      <c r="T187" s="3167" t="s">
        <v>3544</v>
      </c>
      <c r="V187" s="3168">
        <v>186</v>
      </c>
      <c r="W187" s="3168" t="s">
        <v>3538</v>
      </c>
      <c r="X187" s="3168">
        <v>-1186</v>
      </c>
      <c r="Y187" s="3168">
        <v>25.39</v>
      </c>
      <c r="Z187" s="3168">
        <v>8.8699999999999992</v>
      </c>
      <c r="AA187" s="3167" t="s">
        <v>3546</v>
      </c>
    </row>
    <row r="188" spans="1:27" ht="14.25">
      <c r="A188" s="3168">
        <v>187</v>
      </c>
      <c r="B188" s="3168" t="s">
        <v>3521</v>
      </c>
      <c r="C188" s="3168" t="s">
        <v>3479</v>
      </c>
      <c r="D188" s="3168">
        <v>129.80000000000001</v>
      </c>
      <c r="E188" s="3168">
        <v>45.32</v>
      </c>
      <c r="F188" s="3168" t="s">
        <v>3540</v>
      </c>
      <c r="O188" s="3168">
        <v>187</v>
      </c>
      <c r="P188" s="3168" t="s">
        <v>3533</v>
      </c>
      <c r="Q188" s="3168">
        <v>-113</v>
      </c>
      <c r="R188" s="3168">
        <v>11.07</v>
      </c>
      <c r="S188" s="3168">
        <v>3.87</v>
      </c>
      <c r="T188" s="3167" t="s">
        <v>3544</v>
      </c>
      <c r="V188" s="3168">
        <v>187</v>
      </c>
      <c r="W188" s="3168" t="s">
        <v>3538</v>
      </c>
      <c r="X188" s="3168">
        <v>-1187</v>
      </c>
      <c r="Y188" s="3168">
        <v>25.39</v>
      </c>
      <c r="Z188" s="3168">
        <v>8.8699999999999992</v>
      </c>
      <c r="AA188" s="3167" t="s">
        <v>3546</v>
      </c>
    </row>
    <row r="189" spans="1:27" ht="14.25">
      <c r="A189" s="3168">
        <v>188</v>
      </c>
      <c r="B189" s="3168" t="s">
        <v>3521</v>
      </c>
      <c r="C189" s="3168" t="s">
        <v>3480</v>
      </c>
      <c r="D189" s="3168">
        <v>129.41999999999999</v>
      </c>
      <c r="E189" s="3168">
        <v>45.19</v>
      </c>
      <c r="F189" s="3168" t="s">
        <v>3540</v>
      </c>
      <c r="O189" s="3168">
        <v>188</v>
      </c>
      <c r="P189" s="3168" t="s">
        <v>3533</v>
      </c>
      <c r="Q189" s="3168">
        <v>-114</v>
      </c>
      <c r="R189" s="3168">
        <v>11.81</v>
      </c>
      <c r="S189" s="3168">
        <v>4.12</v>
      </c>
      <c r="T189" s="3167" t="s">
        <v>3544</v>
      </c>
      <c r="V189" s="3168">
        <v>188</v>
      </c>
      <c r="W189" s="3168" t="s">
        <v>3538</v>
      </c>
      <c r="X189" s="3168">
        <v>-1188</v>
      </c>
      <c r="Y189" s="3168">
        <v>25.39</v>
      </c>
      <c r="Z189" s="3168">
        <v>8.8699999999999992</v>
      </c>
      <c r="AA189" s="3167" t="s">
        <v>3546</v>
      </c>
    </row>
    <row r="190" spans="1:27" ht="14.25">
      <c r="A190" s="3168">
        <v>189</v>
      </c>
      <c r="B190" s="3168" t="s">
        <v>3521</v>
      </c>
      <c r="C190" s="3168" t="s">
        <v>3481</v>
      </c>
      <c r="D190" s="3168">
        <v>129.41999999999999</v>
      </c>
      <c r="E190" s="3168">
        <v>45.19</v>
      </c>
      <c r="F190" s="3168" t="s">
        <v>3540</v>
      </c>
      <c r="O190" s="3168">
        <v>189</v>
      </c>
      <c r="P190" s="3168" t="s">
        <v>3533</v>
      </c>
      <c r="Q190" s="3168">
        <v>-115</v>
      </c>
      <c r="R190" s="3168">
        <v>8.57</v>
      </c>
      <c r="S190" s="3168">
        <v>2.99</v>
      </c>
      <c r="T190" s="3167" t="s">
        <v>3544</v>
      </c>
      <c r="V190" s="3168">
        <v>189</v>
      </c>
      <c r="W190" s="3168" t="s">
        <v>3538</v>
      </c>
      <c r="X190" s="3168">
        <v>-1189</v>
      </c>
      <c r="Y190" s="3168">
        <v>25.39</v>
      </c>
      <c r="Z190" s="3168">
        <v>8.8699999999999992</v>
      </c>
      <c r="AA190" s="3167" t="s">
        <v>3546</v>
      </c>
    </row>
    <row r="191" spans="1:27" ht="14.25">
      <c r="A191" s="3168">
        <v>190</v>
      </c>
      <c r="B191" s="3168" t="s">
        <v>3521</v>
      </c>
      <c r="C191" s="3168" t="s">
        <v>3482</v>
      </c>
      <c r="D191" s="3168">
        <v>129.80000000000001</v>
      </c>
      <c r="E191" s="3168">
        <v>45.32</v>
      </c>
      <c r="F191" s="3168" t="s">
        <v>3540</v>
      </c>
      <c r="O191" s="3168">
        <v>190</v>
      </c>
      <c r="P191" s="3168" t="s">
        <v>3533</v>
      </c>
      <c r="Q191" s="3168">
        <v>-116</v>
      </c>
      <c r="R191" s="3168">
        <v>8.7100000000000009</v>
      </c>
      <c r="S191" s="3168">
        <v>3.04</v>
      </c>
      <c r="T191" s="3167" t="s">
        <v>3544</v>
      </c>
      <c r="V191" s="3168">
        <v>190</v>
      </c>
      <c r="W191" s="3168" t="s">
        <v>3538</v>
      </c>
      <c r="X191" s="3168">
        <v>-1190</v>
      </c>
      <c r="Y191" s="3168">
        <v>25.39</v>
      </c>
      <c r="Z191" s="3168">
        <v>8.8699999999999992</v>
      </c>
      <c r="AA191" s="3167" t="s">
        <v>3546</v>
      </c>
    </row>
    <row r="192" spans="1:27" ht="14.25">
      <c r="A192" s="3168">
        <v>191</v>
      </c>
      <c r="B192" s="3168" t="s">
        <v>3521</v>
      </c>
      <c r="C192" s="3168" t="s">
        <v>3483</v>
      </c>
      <c r="D192" s="3168">
        <v>129.41999999999999</v>
      </c>
      <c r="E192" s="3168">
        <v>45.19</v>
      </c>
      <c r="F192" s="3168" t="s">
        <v>3540</v>
      </c>
      <c r="O192" s="3168">
        <v>191</v>
      </c>
      <c r="P192" s="3168" t="s">
        <v>3533</v>
      </c>
      <c r="Q192" s="3168">
        <v>-117</v>
      </c>
      <c r="R192" s="3168">
        <v>8.3800000000000008</v>
      </c>
      <c r="S192" s="3168">
        <v>2.93</v>
      </c>
      <c r="T192" s="3167" t="s">
        <v>3544</v>
      </c>
      <c r="V192" s="3168">
        <v>191</v>
      </c>
      <c r="W192" s="3168" t="s">
        <v>3538</v>
      </c>
      <c r="X192" s="3168">
        <v>-1191</v>
      </c>
      <c r="Y192" s="3168">
        <v>25.39</v>
      </c>
      <c r="Z192" s="3168">
        <v>8.8699999999999992</v>
      </c>
      <c r="AA192" s="3167" t="s">
        <v>3546</v>
      </c>
    </row>
    <row r="193" spans="1:27" ht="14.25">
      <c r="A193" s="3168">
        <v>192</v>
      </c>
      <c r="B193" s="3168" t="s">
        <v>3521</v>
      </c>
      <c r="C193" s="3168" t="s">
        <v>3484</v>
      </c>
      <c r="D193" s="3168">
        <v>129.41999999999999</v>
      </c>
      <c r="E193" s="3168">
        <v>45.19</v>
      </c>
      <c r="F193" s="3168" t="s">
        <v>3540</v>
      </c>
      <c r="O193" s="3168">
        <v>192</v>
      </c>
      <c r="P193" s="3168" t="s">
        <v>3533</v>
      </c>
      <c r="Q193" s="3168">
        <v>-118</v>
      </c>
      <c r="R193" s="3168">
        <v>17.55</v>
      </c>
      <c r="S193" s="3168">
        <v>6.13</v>
      </c>
      <c r="T193" s="3167" t="s">
        <v>3544</v>
      </c>
      <c r="V193" s="3168">
        <v>192</v>
      </c>
      <c r="W193" s="3168" t="s">
        <v>3538</v>
      </c>
      <c r="X193" s="3168">
        <v>-1192</v>
      </c>
      <c r="Y193" s="3168">
        <v>25.39</v>
      </c>
      <c r="Z193" s="3168">
        <v>8.8699999999999992</v>
      </c>
      <c r="AA193" s="3167" t="s">
        <v>3546</v>
      </c>
    </row>
    <row r="194" spans="1:27" ht="14.25">
      <c r="A194" s="3168">
        <v>193</v>
      </c>
      <c r="B194" s="3168" t="s">
        <v>3521</v>
      </c>
      <c r="C194" s="3168" t="s">
        <v>3453</v>
      </c>
      <c r="D194" s="3168">
        <v>129.80000000000001</v>
      </c>
      <c r="E194" s="3168">
        <v>45.32</v>
      </c>
      <c r="F194" s="3168" t="s">
        <v>3540</v>
      </c>
      <c r="O194" s="3168">
        <v>193</v>
      </c>
      <c r="P194" s="3168" t="s">
        <v>3533</v>
      </c>
      <c r="Q194" s="3168">
        <v>-119</v>
      </c>
      <c r="R194" s="3168">
        <v>17.55</v>
      </c>
      <c r="S194" s="3168">
        <v>6.13</v>
      </c>
      <c r="T194" s="3167" t="s">
        <v>3544</v>
      </c>
      <c r="V194" s="3168">
        <v>193</v>
      </c>
      <c r="W194" s="3168" t="s">
        <v>3538</v>
      </c>
      <c r="X194" s="3168">
        <v>-1193</v>
      </c>
      <c r="Y194" s="3168">
        <v>25.39</v>
      </c>
      <c r="Z194" s="3168">
        <v>8.8699999999999992</v>
      </c>
      <c r="AA194" s="3167" t="s">
        <v>3546</v>
      </c>
    </row>
    <row r="195" spans="1:27" ht="14.25">
      <c r="A195" s="3168">
        <v>194</v>
      </c>
      <c r="B195" s="3168" t="s">
        <v>3521</v>
      </c>
      <c r="C195" s="3168" t="s">
        <v>3485</v>
      </c>
      <c r="D195" s="3168">
        <v>129.41999999999999</v>
      </c>
      <c r="E195" s="3168">
        <v>45.19</v>
      </c>
      <c r="F195" s="3168" t="s">
        <v>3540</v>
      </c>
      <c r="O195" s="3168">
        <v>194</v>
      </c>
      <c r="P195" s="3168" t="s">
        <v>3533</v>
      </c>
      <c r="Q195" s="3168">
        <v>-120</v>
      </c>
      <c r="R195" s="3168">
        <v>8.3800000000000008</v>
      </c>
      <c r="S195" s="3168">
        <v>2.93</v>
      </c>
      <c r="T195" s="3167" t="s">
        <v>3544</v>
      </c>
      <c r="V195" s="3168">
        <v>194</v>
      </c>
      <c r="W195" s="3168" t="s">
        <v>3538</v>
      </c>
      <c r="X195" s="3168">
        <v>-1194</v>
      </c>
      <c r="Y195" s="3168">
        <v>25.39</v>
      </c>
      <c r="Z195" s="3168">
        <v>8.8699999999999992</v>
      </c>
      <c r="AA195" s="3167" t="s">
        <v>3546</v>
      </c>
    </row>
    <row r="196" spans="1:27" ht="14.25">
      <c r="A196" s="3168">
        <v>195</v>
      </c>
      <c r="B196" s="3168" t="s">
        <v>3521</v>
      </c>
      <c r="C196" s="3168" t="s">
        <v>3444</v>
      </c>
      <c r="D196" s="3168">
        <v>129.41999999999999</v>
      </c>
      <c r="E196" s="3168">
        <v>45.19</v>
      </c>
      <c r="F196" s="3168" t="s">
        <v>3540</v>
      </c>
      <c r="O196" s="3168">
        <v>195</v>
      </c>
      <c r="P196" s="3168" t="s">
        <v>3533</v>
      </c>
      <c r="Q196" s="3168">
        <v>-121</v>
      </c>
      <c r="R196" s="3168">
        <v>6.31</v>
      </c>
      <c r="S196" s="3168">
        <v>2.2000000000000002</v>
      </c>
      <c r="T196" s="3167" t="s">
        <v>3544</v>
      </c>
      <c r="V196" s="3168">
        <v>195</v>
      </c>
      <c r="W196" s="3168" t="s">
        <v>3538</v>
      </c>
      <c r="X196" s="3168">
        <v>-1195</v>
      </c>
      <c r="Y196" s="3168">
        <v>25.39</v>
      </c>
      <c r="Z196" s="3168">
        <v>8.8699999999999992</v>
      </c>
      <c r="AA196" s="3167" t="s">
        <v>3546</v>
      </c>
    </row>
    <row r="197" spans="1:27" ht="14.25">
      <c r="A197" s="3168">
        <v>196</v>
      </c>
      <c r="B197" s="3168" t="s">
        <v>3521</v>
      </c>
      <c r="C197" s="3168" t="s">
        <v>3487</v>
      </c>
      <c r="D197" s="3168">
        <v>101.83</v>
      </c>
      <c r="E197" s="3168">
        <v>35.56</v>
      </c>
      <c r="F197" s="3168" t="s">
        <v>3540</v>
      </c>
      <c r="O197" s="3168">
        <v>196</v>
      </c>
      <c r="P197" s="3168" t="s">
        <v>3533</v>
      </c>
      <c r="Q197" s="3168">
        <v>-122</v>
      </c>
      <c r="R197" s="3168">
        <v>12.65</v>
      </c>
      <c r="S197" s="3168">
        <v>4.42</v>
      </c>
      <c r="T197" s="3167" t="s">
        <v>3544</v>
      </c>
      <c r="V197" s="3168">
        <v>196</v>
      </c>
      <c r="W197" s="3168" t="s">
        <v>3538</v>
      </c>
      <c r="X197" s="3168">
        <v>-1196</v>
      </c>
      <c r="Y197" s="3168">
        <v>25.39</v>
      </c>
      <c r="Z197" s="3168">
        <v>8.8699999999999992</v>
      </c>
      <c r="AA197" s="3167" t="s">
        <v>3546</v>
      </c>
    </row>
    <row r="198" spans="1:27" ht="14.25">
      <c r="A198" s="3168">
        <v>197</v>
      </c>
      <c r="B198" s="3168" t="s">
        <v>3521</v>
      </c>
      <c r="C198" s="3168" t="s">
        <v>3445</v>
      </c>
      <c r="D198" s="3168">
        <v>97.67</v>
      </c>
      <c r="E198" s="3168">
        <v>34.11</v>
      </c>
      <c r="F198" s="3168" t="s">
        <v>3540</v>
      </c>
      <c r="O198" s="3168">
        <v>197</v>
      </c>
      <c r="P198" s="3168" t="s">
        <v>3533</v>
      </c>
      <c r="Q198" s="3168">
        <v>-123</v>
      </c>
      <c r="R198" s="3168">
        <v>8.85</v>
      </c>
      <c r="S198" s="3168">
        <v>3.09</v>
      </c>
      <c r="T198" s="3167" t="s">
        <v>3544</v>
      </c>
      <c r="V198" s="3168">
        <v>197</v>
      </c>
      <c r="W198" s="3168" t="s">
        <v>3538</v>
      </c>
      <c r="X198" s="3168">
        <v>-1197</v>
      </c>
      <c r="Y198" s="3168">
        <v>25.39</v>
      </c>
      <c r="Z198" s="3168">
        <v>8.8699999999999992</v>
      </c>
      <c r="AA198" s="3167" t="s">
        <v>3546</v>
      </c>
    </row>
    <row r="199" spans="1:27" ht="14.25">
      <c r="A199" s="3168">
        <v>198</v>
      </c>
      <c r="B199" s="3168" t="s">
        <v>3521</v>
      </c>
      <c r="C199" s="3168" t="s">
        <v>3429</v>
      </c>
      <c r="D199" s="3168">
        <v>129.65</v>
      </c>
      <c r="E199" s="3168">
        <v>45.27</v>
      </c>
      <c r="F199" s="3168" t="s">
        <v>3540</v>
      </c>
      <c r="O199" s="3168">
        <v>198</v>
      </c>
      <c r="P199" s="3168" t="s">
        <v>3533</v>
      </c>
      <c r="Q199" s="3168">
        <v>-124</v>
      </c>
      <c r="R199" s="3168">
        <v>16.760000000000002</v>
      </c>
      <c r="S199" s="3168">
        <v>5.85</v>
      </c>
      <c r="T199" s="3167" t="s">
        <v>3544</v>
      </c>
      <c r="V199" s="3168">
        <v>198</v>
      </c>
      <c r="W199" s="3168" t="s">
        <v>3538</v>
      </c>
      <c r="X199" s="3168">
        <v>-1198</v>
      </c>
      <c r="Y199" s="3168">
        <v>25.39</v>
      </c>
      <c r="Z199" s="3168">
        <v>8.8699999999999992</v>
      </c>
      <c r="AA199" s="3167" t="s">
        <v>3546</v>
      </c>
    </row>
    <row r="200" spans="1:27" ht="14.25">
      <c r="A200" s="3168">
        <v>199</v>
      </c>
      <c r="B200" s="3168" t="s">
        <v>3521</v>
      </c>
      <c r="C200" s="3168" t="s">
        <v>3462</v>
      </c>
      <c r="D200" s="3168">
        <v>129.65</v>
      </c>
      <c r="E200" s="3168">
        <v>45.27</v>
      </c>
      <c r="F200" s="3168" t="s">
        <v>3540</v>
      </c>
      <c r="O200" s="3168">
        <v>199</v>
      </c>
      <c r="P200" s="3168" t="s">
        <v>3533</v>
      </c>
      <c r="Q200" s="3168">
        <v>-125</v>
      </c>
      <c r="R200" s="3168">
        <v>6.99</v>
      </c>
      <c r="S200" s="3168">
        <v>2.44</v>
      </c>
      <c r="T200" s="3167" t="s">
        <v>3544</v>
      </c>
      <c r="V200" s="3168">
        <v>199</v>
      </c>
      <c r="W200" s="3168" t="s">
        <v>3538</v>
      </c>
      <c r="X200" s="3168">
        <v>-1199</v>
      </c>
      <c r="Y200" s="3168">
        <v>25.39</v>
      </c>
      <c r="Z200" s="3168">
        <v>8.8699999999999992</v>
      </c>
      <c r="AA200" s="3167" t="s">
        <v>3546</v>
      </c>
    </row>
    <row r="201" spans="1:27" ht="14.25">
      <c r="A201" s="3168">
        <v>200</v>
      </c>
      <c r="B201" s="3168" t="s">
        <v>3521</v>
      </c>
      <c r="C201" s="3168" t="s">
        <v>3463</v>
      </c>
      <c r="D201" s="3168">
        <v>129.65</v>
      </c>
      <c r="E201" s="3168">
        <v>45.27</v>
      </c>
      <c r="F201" s="3168" t="s">
        <v>3540</v>
      </c>
      <c r="O201" s="3168">
        <v>200</v>
      </c>
      <c r="P201" s="3168" t="s">
        <v>3533</v>
      </c>
      <c r="Q201" s="3168">
        <v>-126</v>
      </c>
      <c r="R201" s="3168">
        <v>6.72</v>
      </c>
      <c r="S201" s="3168">
        <v>2.35</v>
      </c>
      <c r="T201" s="3167" t="s">
        <v>3544</v>
      </c>
      <c r="V201" s="3168">
        <v>200</v>
      </c>
      <c r="W201" s="3168" t="s">
        <v>3538</v>
      </c>
      <c r="X201" s="3168">
        <v>-1200</v>
      </c>
      <c r="Y201" s="3168">
        <v>25.39</v>
      </c>
      <c r="Z201" s="3168">
        <v>8.8699999999999992</v>
      </c>
      <c r="AA201" s="3167" t="s">
        <v>3546</v>
      </c>
    </row>
    <row r="202" spans="1:27" ht="14.25">
      <c r="A202" s="3168">
        <v>201</v>
      </c>
      <c r="B202" s="3168" t="s">
        <v>3521</v>
      </c>
      <c r="C202" s="3168" t="s">
        <v>3464</v>
      </c>
      <c r="D202" s="3168">
        <v>129.65</v>
      </c>
      <c r="E202" s="3168">
        <v>45.27</v>
      </c>
      <c r="F202" s="3168" t="s">
        <v>3540</v>
      </c>
      <c r="O202" s="3168">
        <v>201</v>
      </c>
      <c r="P202" s="3168" t="s">
        <v>3533</v>
      </c>
      <c r="Q202" s="3168">
        <v>-127</v>
      </c>
      <c r="R202" s="3168">
        <v>6.38</v>
      </c>
      <c r="S202" s="3168">
        <v>2.23</v>
      </c>
      <c r="T202" s="3167" t="s">
        <v>3544</v>
      </c>
      <c r="V202" s="3168">
        <v>201</v>
      </c>
      <c r="W202" s="3168" t="s">
        <v>3538</v>
      </c>
      <c r="X202" s="3168">
        <v>-1201</v>
      </c>
      <c r="Y202" s="3168">
        <v>25.39</v>
      </c>
      <c r="Z202" s="3168">
        <v>8.8699999999999992</v>
      </c>
      <c r="AA202" s="3167" t="s">
        <v>3546</v>
      </c>
    </row>
    <row r="203" spans="1:27" ht="14.25">
      <c r="A203" s="3168">
        <v>202</v>
      </c>
      <c r="B203" s="3168" t="s">
        <v>3521</v>
      </c>
      <c r="C203" s="3168" t="s">
        <v>3488</v>
      </c>
      <c r="D203" s="3168">
        <v>129.65</v>
      </c>
      <c r="E203" s="3168">
        <v>45.27</v>
      </c>
      <c r="F203" s="3168" t="s">
        <v>3540</v>
      </c>
      <c r="O203" s="3168">
        <v>202</v>
      </c>
      <c r="P203" s="3168" t="s">
        <v>3533</v>
      </c>
      <c r="Q203" s="3168">
        <v>-128</v>
      </c>
      <c r="R203" s="3168">
        <v>6.09</v>
      </c>
      <c r="S203" s="3168">
        <v>2.13</v>
      </c>
      <c r="T203" s="3167" t="s">
        <v>3544</v>
      </c>
      <c r="V203" s="3168">
        <v>202</v>
      </c>
      <c r="W203" s="3168" t="s">
        <v>3538</v>
      </c>
      <c r="X203" s="3168">
        <v>-1202</v>
      </c>
      <c r="Y203" s="3168">
        <v>25.39</v>
      </c>
      <c r="Z203" s="3168">
        <v>8.8699999999999992</v>
      </c>
      <c r="AA203" s="3167" t="s">
        <v>3546</v>
      </c>
    </row>
    <row r="204" spans="1:27" ht="14.25">
      <c r="A204" s="3168">
        <v>203</v>
      </c>
      <c r="B204" s="3168" t="s">
        <v>3521</v>
      </c>
      <c r="C204" s="3168" t="s">
        <v>3489</v>
      </c>
      <c r="D204" s="3168">
        <v>129.65</v>
      </c>
      <c r="E204" s="3168">
        <v>45.27</v>
      </c>
      <c r="F204" s="3168" t="s">
        <v>3540</v>
      </c>
      <c r="O204" s="3168">
        <v>203</v>
      </c>
      <c r="P204" s="3168" t="s">
        <v>3533</v>
      </c>
      <c r="Q204" s="3168">
        <v>-129</v>
      </c>
      <c r="R204" s="3168">
        <v>8.31</v>
      </c>
      <c r="S204" s="3168">
        <v>2.9</v>
      </c>
      <c r="T204" s="3167" t="s">
        <v>3544</v>
      </c>
      <c r="V204" s="3168">
        <v>203</v>
      </c>
      <c r="W204" s="3168" t="s">
        <v>3538</v>
      </c>
      <c r="X204" s="3168">
        <v>-1203</v>
      </c>
      <c r="Y204" s="3168">
        <v>25.39</v>
      </c>
      <c r="Z204" s="3168">
        <v>8.8699999999999992</v>
      </c>
      <c r="AA204" s="3167" t="s">
        <v>3546</v>
      </c>
    </row>
    <row r="205" spans="1:27" ht="14.25">
      <c r="A205" s="3168">
        <v>204</v>
      </c>
      <c r="B205" s="3168" t="s">
        <v>3521</v>
      </c>
      <c r="C205" s="3168" t="s">
        <v>3519</v>
      </c>
      <c r="D205" s="3168">
        <v>129.65</v>
      </c>
      <c r="E205" s="3168">
        <v>45.27</v>
      </c>
      <c r="F205" s="3168" t="s">
        <v>3540</v>
      </c>
      <c r="O205" s="3168">
        <v>204</v>
      </c>
      <c r="P205" s="3168" t="s">
        <v>3533</v>
      </c>
      <c r="Q205" s="3168">
        <v>-130</v>
      </c>
      <c r="R205" s="3168">
        <v>6.86</v>
      </c>
      <c r="S205" s="3168">
        <v>2.4</v>
      </c>
      <c r="T205" s="3167" t="s">
        <v>3544</v>
      </c>
      <c r="V205" s="3168">
        <v>204</v>
      </c>
      <c r="W205" s="3168" t="s">
        <v>3538</v>
      </c>
      <c r="X205" s="3168">
        <v>-1204</v>
      </c>
      <c r="Y205" s="3168">
        <v>25.39</v>
      </c>
      <c r="Z205" s="3168">
        <v>8.8699999999999992</v>
      </c>
      <c r="AA205" s="3167" t="s">
        <v>3546</v>
      </c>
    </row>
    <row r="206" spans="1:27" ht="14.25">
      <c r="A206" s="3168">
        <v>205</v>
      </c>
      <c r="B206" s="3168" t="s">
        <v>3521</v>
      </c>
      <c r="C206" s="3168" t="s">
        <v>3520</v>
      </c>
      <c r="D206" s="3168">
        <v>129.65</v>
      </c>
      <c r="E206" s="3168">
        <v>45.27</v>
      </c>
      <c r="F206" s="3168" t="s">
        <v>3540</v>
      </c>
      <c r="O206" s="3168">
        <v>205</v>
      </c>
      <c r="P206" s="3168" t="s">
        <v>3534</v>
      </c>
      <c r="Q206" s="3168">
        <v>-101</v>
      </c>
      <c r="R206" s="3168">
        <v>13.98</v>
      </c>
      <c r="S206" s="3168">
        <v>4.88</v>
      </c>
      <c r="T206" s="3167" t="s">
        <v>3544</v>
      </c>
      <c r="V206" s="3168">
        <v>205</v>
      </c>
      <c r="W206" s="3168" t="s">
        <v>3538</v>
      </c>
      <c r="X206" s="3168">
        <v>-1205</v>
      </c>
      <c r="Y206" s="3168">
        <v>25.39</v>
      </c>
      <c r="Z206" s="3168">
        <v>8.8699999999999992</v>
      </c>
      <c r="AA206" s="3167" t="s">
        <v>3546</v>
      </c>
    </row>
    <row r="207" spans="1:27" ht="14.25">
      <c r="A207" s="3168">
        <v>206</v>
      </c>
      <c r="B207" s="3168" t="s">
        <v>3521</v>
      </c>
      <c r="C207" s="3168" t="s">
        <v>3490</v>
      </c>
      <c r="D207" s="3168">
        <v>129.65</v>
      </c>
      <c r="E207" s="3168">
        <v>45.27</v>
      </c>
      <c r="F207" s="3168" t="s">
        <v>3540</v>
      </c>
      <c r="O207" s="3168">
        <v>206</v>
      </c>
      <c r="P207" s="3168" t="s">
        <v>3534</v>
      </c>
      <c r="Q207" s="3168">
        <v>-102</v>
      </c>
      <c r="R207" s="3168">
        <v>6.57</v>
      </c>
      <c r="S207" s="3168">
        <v>2.29</v>
      </c>
      <c r="T207" s="3167" t="s">
        <v>3544</v>
      </c>
      <c r="V207" s="3168">
        <v>206</v>
      </c>
      <c r="W207" s="3168" t="s">
        <v>3538</v>
      </c>
      <c r="X207" s="3168">
        <v>-1206</v>
      </c>
      <c r="Y207" s="3168">
        <v>25.39</v>
      </c>
      <c r="Z207" s="3168">
        <v>8.8699999999999992</v>
      </c>
      <c r="AA207" s="3167" t="s">
        <v>3546</v>
      </c>
    </row>
    <row r="208" spans="1:27" ht="14.25">
      <c r="A208" s="3168">
        <v>207</v>
      </c>
      <c r="B208" s="3168" t="s">
        <v>3521</v>
      </c>
      <c r="C208" s="3168" t="s">
        <v>3491</v>
      </c>
      <c r="D208" s="3168">
        <v>129.65</v>
      </c>
      <c r="E208" s="3168">
        <v>45.27</v>
      </c>
      <c r="F208" s="3168" t="s">
        <v>3540</v>
      </c>
      <c r="O208" s="3168">
        <v>207</v>
      </c>
      <c r="P208" s="3168" t="s">
        <v>3534</v>
      </c>
      <c r="Q208" s="3168">
        <v>-103</v>
      </c>
      <c r="R208" s="3168">
        <v>6.84</v>
      </c>
      <c r="S208" s="3168">
        <v>2.39</v>
      </c>
      <c r="T208" s="3167" t="s">
        <v>3544</v>
      </c>
      <c r="V208" s="3168">
        <v>207</v>
      </c>
      <c r="W208" s="3168" t="s">
        <v>3538</v>
      </c>
      <c r="X208" s="3168">
        <v>-1207</v>
      </c>
      <c r="Y208" s="3168">
        <v>25.39</v>
      </c>
      <c r="Z208" s="3168">
        <v>8.8699999999999992</v>
      </c>
      <c r="AA208" s="3167" t="s">
        <v>3546</v>
      </c>
    </row>
    <row r="209" spans="1:27" ht="14.25">
      <c r="A209" s="3168">
        <v>208</v>
      </c>
      <c r="B209" s="3168" t="s">
        <v>3521</v>
      </c>
      <c r="C209" s="3168" t="s">
        <v>3493</v>
      </c>
      <c r="D209" s="3168">
        <v>129.65</v>
      </c>
      <c r="E209" s="3168">
        <v>45.27</v>
      </c>
      <c r="F209" s="3168" t="s">
        <v>3540</v>
      </c>
      <c r="O209" s="3168">
        <v>208</v>
      </c>
      <c r="P209" s="3168" t="s">
        <v>3534</v>
      </c>
      <c r="Q209" s="3168">
        <v>-104</v>
      </c>
      <c r="R209" s="3168">
        <v>7.66</v>
      </c>
      <c r="S209" s="3168">
        <v>2.67</v>
      </c>
      <c r="T209" s="3167" t="s">
        <v>3544</v>
      </c>
      <c r="V209" s="3168">
        <v>208</v>
      </c>
      <c r="W209" s="3168" t="s">
        <v>3538</v>
      </c>
      <c r="X209" s="3168">
        <v>-1208</v>
      </c>
      <c r="Y209" s="3168">
        <v>25.39</v>
      </c>
      <c r="Z209" s="3168">
        <v>8.8699999999999992</v>
      </c>
      <c r="AA209" s="3167" t="s">
        <v>3546</v>
      </c>
    </row>
    <row r="210" spans="1:27" ht="14.25">
      <c r="A210" s="3168">
        <v>209</v>
      </c>
      <c r="B210" s="3168" t="s">
        <v>3521</v>
      </c>
      <c r="C210" s="3168" t="s">
        <v>3494</v>
      </c>
      <c r="D210" s="3168">
        <v>129.65</v>
      </c>
      <c r="E210" s="3168">
        <v>45.27</v>
      </c>
      <c r="F210" s="3168" t="s">
        <v>3540</v>
      </c>
      <c r="O210" s="3168">
        <v>209</v>
      </c>
      <c r="P210" s="3168" t="s">
        <v>3534</v>
      </c>
      <c r="Q210" s="3168">
        <v>-105</v>
      </c>
      <c r="R210" s="3168">
        <v>7.66</v>
      </c>
      <c r="S210" s="3168">
        <v>2.67</v>
      </c>
      <c r="T210" s="3167" t="s">
        <v>3544</v>
      </c>
      <c r="V210" s="3168">
        <v>209</v>
      </c>
      <c r="W210" s="3168" t="s">
        <v>3538</v>
      </c>
      <c r="X210" s="3168">
        <v>-1209</v>
      </c>
      <c r="Y210" s="3168">
        <v>25.39</v>
      </c>
      <c r="Z210" s="3168">
        <v>8.8699999999999992</v>
      </c>
      <c r="AA210" s="3167" t="s">
        <v>3546</v>
      </c>
    </row>
    <row r="211" spans="1:27" ht="14.25">
      <c r="A211" s="3168">
        <v>210</v>
      </c>
      <c r="B211" s="3168" t="s">
        <v>3521</v>
      </c>
      <c r="C211" s="3168" t="s">
        <v>3495</v>
      </c>
      <c r="D211" s="3168">
        <v>129.65</v>
      </c>
      <c r="E211" s="3168">
        <v>45.27</v>
      </c>
      <c r="F211" s="3168" t="s">
        <v>3540</v>
      </c>
      <c r="O211" s="3168">
        <v>210</v>
      </c>
      <c r="P211" s="3168" t="s">
        <v>3534</v>
      </c>
      <c r="Q211" s="3168">
        <v>-106</v>
      </c>
      <c r="R211" s="3168">
        <v>11.19</v>
      </c>
      <c r="S211" s="3168">
        <v>3.91</v>
      </c>
      <c r="T211" s="3167" t="s">
        <v>3544</v>
      </c>
      <c r="V211" s="3168">
        <v>210</v>
      </c>
      <c r="W211" s="3168" t="s">
        <v>3538</v>
      </c>
      <c r="X211" s="3168">
        <v>-1210</v>
      </c>
      <c r="Y211" s="3168">
        <v>25.39</v>
      </c>
      <c r="Z211" s="3168">
        <v>8.8699999999999992</v>
      </c>
      <c r="AA211" s="3167" t="s">
        <v>3546</v>
      </c>
    </row>
    <row r="212" spans="1:27" ht="14.25">
      <c r="A212" s="3168">
        <v>211</v>
      </c>
      <c r="B212" s="3168" t="s">
        <v>3521</v>
      </c>
      <c r="C212" s="3168" t="s">
        <v>3496</v>
      </c>
      <c r="D212" s="3168">
        <v>129.65</v>
      </c>
      <c r="E212" s="3168">
        <v>45.27</v>
      </c>
      <c r="F212" s="3168" t="s">
        <v>3540</v>
      </c>
      <c r="O212" s="3168">
        <v>211</v>
      </c>
      <c r="P212" s="3168" t="s">
        <v>3534</v>
      </c>
      <c r="Q212" s="3168">
        <v>-107</v>
      </c>
      <c r="R212" s="3168">
        <v>10.6</v>
      </c>
      <c r="S212" s="3168">
        <v>3.7</v>
      </c>
      <c r="T212" s="3167" t="s">
        <v>3544</v>
      </c>
      <c r="V212" s="3168">
        <v>211</v>
      </c>
      <c r="W212" s="3168" t="s">
        <v>3538</v>
      </c>
      <c r="X212" s="3168">
        <v>-1211</v>
      </c>
      <c r="Y212" s="3168">
        <v>25.39</v>
      </c>
      <c r="Z212" s="3168">
        <v>8.8699999999999992</v>
      </c>
      <c r="AA212" s="3167" t="s">
        <v>3546</v>
      </c>
    </row>
    <row r="213" spans="1:27" ht="14.25">
      <c r="A213" s="3168">
        <v>212</v>
      </c>
      <c r="B213" s="3168" t="s">
        <v>3521</v>
      </c>
      <c r="C213" s="3168" t="s">
        <v>3446</v>
      </c>
      <c r="D213" s="3168">
        <v>129.65</v>
      </c>
      <c r="E213" s="3168">
        <v>45.27</v>
      </c>
      <c r="F213" s="3168" t="s">
        <v>3540</v>
      </c>
      <c r="O213" s="3168">
        <v>212</v>
      </c>
      <c r="P213" s="3168" t="s">
        <v>3534</v>
      </c>
      <c r="Q213" s="3168">
        <v>-108</v>
      </c>
      <c r="R213" s="3168">
        <v>11.78</v>
      </c>
      <c r="S213" s="3168">
        <v>4.1100000000000003</v>
      </c>
      <c r="T213" s="3167" t="s">
        <v>3544</v>
      </c>
      <c r="V213" s="3168">
        <v>212</v>
      </c>
      <c r="W213" s="3168" t="s">
        <v>3538</v>
      </c>
      <c r="X213" s="3168">
        <v>-1212</v>
      </c>
      <c r="Y213" s="3168">
        <v>25.39</v>
      </c>
      <c r="Z213" s="3168">
        <v>8.8699999999999992</v>
      </c>
      <c r="AA213" s="3167" t="s">
        <v>3546</v>
      </c>
    </row>
    <row r="214" spans="1:27" ht="14.25">
      <c r="A214" s="3168">
        <v>213</v>
      </c>
      <c r="B214" s="3168" t="s">
        <v>3521</v>
      </c>
      <c r="C214" s="3168" t="s">
        <v>3497</v>
      </c>
      <c r="D214" s="3168">
        <v>129.65</v>
      </c>
      <c r="E214" s="3168">
        <v>45.27</v>
      </c>
      <c r="F214" s="3168" t="s">
        <v>3540</v>
      </c>
      <c r="O214" s="3168">
        <v>213</v>
      </c>
      <c r="P214" s="3168" t="s">
        <v>3534</v>
      </c>
      <c r="Q214" s="3168">
        <v>-109</v>
      </c>
      <c r="R214" s="3168">
        <v>8.5399999999999991</v>
      </c>
      <c r="S214" s="3168">
        <v>2.98</v>
      </c>
      <c r="T214" s="3167" t="s">
        <v>3544</v>
      </c>
      <c r="V214" s="3168">
        <v>213</v>
      </c>
      <c r="W214" s="3168" t="s">
        <v>3538</v>
      </c>
      <c r="X214" s="3168">
        <v>-1213</v>
      </c>
      <c r="Y214" s="3168">
        <v>25.39</v>
      </c>
      <c r="Z214" s="3168">
        <v>8.8699999999999992</v>
      </c>
      <c r="AA214" s="3167" t="s">
        <v>3546</v>
      </c>
    </row>
    <row r="215" spans="1:27" ht="14.25">
      <c r="A215" s="3168">
        <v>214</v>
      </c>
      <c r="B215" s="3168" t="s">
        <v>3521</v>
      </c>
      <c r="C215" s="3168" t="s">
        <v>3430</v>
      </c>
      <c r="D215" s="3168">
        <v>129.65</v>
      </c>
      <c r="E215" s="3168">
        <v>45.27</v>
      </c>
      <c r="F215" s="3168" t="s">
        <v>3540</v>
      </c>
      <c r="O215" s="3168">
        <v>214</v>
      </c>
      <c r="P215" s="3168" t="s">
        <v>3534</v>
      </c>
      <c r="Q215" s="3168">
        <v>-110</v>
      </c>
      <c r="R215" s="3168">
        <v>8.5399999999999991</v>
      </c>
      <c r="S215" s="3168">
        <v>2.98</v>
      </c>
      <c r="T215" s="3167" t="s">
        <v>3544</v>
      </c>
      <c r="V215" s="3168">
        <v>214</v>
      </c>
      <c r="W215" s="3168" t="s">
        <v>3538</v>
      </c>
      <c r="X215" s="3168">
        <v>-1214</v>
      </c>
      <c r="Y215" s="3168">
        <v>25.39</v>
      </c>
      <c r="Z215" s="3168">
        <v>8.8699999999999992</v>
      </c>
      <c r="AA215" s="3167" t="s">
        <v>3546</v>
      </c>
    </row>
    <row r="216" spans="1:27" ht="14.25">
      <c r="A216" s="3168">
        <v>215</v>
      </c>
      <c r="B216" s="3168" t="s">
        <v>3521</v>
      </c>
      <c r="C216" s="3168" t="s">
        <v>3431</v>
      </c>
      <c r="D216" s="3168">
        <v>97.85</v>
      </c>
      <c r="E216" s="3168">
        <v>34.17</v>
      </c>
      <c r="F216" s="3168" t="s">
        <v>3540</v>
      </c>
      <c r="O216" s="3168">
        <v>215</v>
      </c>
      <c r="P216" s="3168" t="s">
        <v>3534</v>
      </c>
      <c r="Q216" s="3168">
        <v>-111</v>
      </c>
      <c r="R216" s="3168">
        <v>11.78</v>
      </c>
      <c r="S216" s="3168">
        <v>4.1100000000000003</v>
      </c>
      <c r="T216" s="3167" t="s">
        <v>3544</v>
      </c>
      <c r="V216" s="3168">
        <v>215</v>
      </c>
      <c r="W216" s="3168" t="s">
        <v>3538</v>
      </c>
      <c r="X216" s="3168">
        <v>-1215</v>
      </c>
      <c r="Y216" s="3168">
        <v>25.39</v>
      </c>
      <c r="Z216" s="3168">
        <v>8.8699999999999992</v>
      </c>
      <c r="AA216" s="3167" t="s">
        <v>3546</v>
      </c>
    </row>
    <row r="217" spans="1:27" ht="14.25">
      <c r="A217" s="3168">
        <v>216</v>
      </c>
      <c r="B217" s="3168" t="s">
        <v>3521</v>
      </c>
      <c r="C217" s="3168" t="s">
        <v>3432</v>
      </c>
      <c r="D217" s="3168">
        <v>97.85</v>
      </c>
      <c r="E217" s="3168">
        <v>34.17</v>
      </c>
      <c r="F217" s="3168" t="s">
        <v>3540</v>
      </c>
      <c r="O217" s="3168">
        <v>216</v>
      </c>
      <c r="P217" s="3168" t="s">
        <v>3534</v>
      </c>
      <c r="Q217" s="3168">
        <v>-112</v>
      </c>
      <c r="R217" s="3168">
        <v>11.04</v>
      </c>
      <c r="S217" s="3168">
        <v>3.86</v>
      </c>
      <c r="T217" s="3167" t="s">
        <v>3544</v>
      </c>
      <c r="V217" s="3168">
        <v>216</v>
      </c>
      <c r="W217" s="3168" t="s">
        <v>3538</v>
      </c>
      <c r="X217" s="3168">
        <v>-1216</v>
      </c>
      <c r="Y217" s="3168">
        <v>25.39</v>
      </c>
      <c r="Z217" s="3168">
        <v>8.8699999999999992</v>
      </c>
      <c r="AA217" s="3167" t="s">
        <v>3546</v>
      </c>
    </row>
    <row r="218" spans="1:27" ht="14.25">
      <c r="A218" s="3168">
        <v>217</v>
      </c>
      <c r="B218" s="3168" t="s">
        <v>3521</v>
      </c>
      <c r="C218" s="3168" t="s">
        <v>3447</v>
      </c>
      <c r="D218" s="3168">
        <v>129.41999999999999</v>
      </c>
      <c r="E218" s="3168">
        <v>45.19</v>
      </c>
      <c r="F218" s="3168" t="s">
        <v>3540</v>
      </c>
      <c r="O218" s="3168">
        <v>217</v>
      </c>
      <c r="P218" s="3168" t="s">
        <v>3534</v>
      </c>
      <c r="Q218" s="3168">
        <v>-113</v>
      </c>
      <c r="R218" s="3168">
        <v>8.3000000000000007</v>
      </c>
      <c r="S218" s="3168">
        <v>2.9</v>
      </c>
      <c r="T218" s="3167" t="s">
        <v>3544</v>
      </c>
      <c r="V218" s="3168">
        <v>217</v>
      </c>
      <c r="W218" s="3168" t="s">
        <v>3538</v>
      </c>
      <c r="X218" s="3168">
        <v>-1217</v>
      </c>
      <c r="Y218" s="3168">
        <v>25.39</v>
      </c>
      <c r="Z218" s="3168">
        <v>8.8699999999999992</v>
      </c>
      <c r="AA218" s="3167" t="s">
        <v>3546</v>
      </c>
    </row>
    <row r="219" spans="1:27" ht="14.25">
      <c r="A219" s="3168">
        <v>218</v>
      </c>
      <c r="B219" s="3168" t="s">
        <v>3521</v>
      </c>
      <c r="C219" s="3168" t="s">
        <v>3498</v>
      </c>
      <c r="D219" s="3168">
        <v>129.80000000000001</v>
      </c>
      <c r="E219" s="3168">
        <v>45.32</v>
      </c>
      <c r="F219" s="3168" t="s">
        <v>3540</v>
      </c>
      <c r="O219" s="3168">
        <v>218</v>
      </c>
      <c r="P219" s="3168" t="s">
        <v>3534</v>
      </c>
      <c r="Q219" s="3168">
        <v>-114</v>
      </c>
      <c r="R219" s="3168">
        <v>13.6</v>
      </c>
      <c r="S219" s="3168">
        <v>4.75</v>
      </c>
      <c r="T219" s="3167" t="s">
        <v>3544</v>
      </c>
      <c r="V219" s="3168">
        <v>218</v>
      </c>
      <c r="W219" s="3168" t="s">
        <v>3538</v>
      </c>
      <c r="X219" s="3168">
        <v>-1218</v>
      </c>
      <c r="Y219" s="3168">
        <v>25.39</v>
      </c>
      <c r="Z219" s="3168">
        <v>8.8699999999999992</v>
      </c>
      <c r="AA219" s="3167" t="s">
        <v>3546</v>
      </c>
    </row>
    <row r="220" spans="1:27" ht="14.25">
      <c r="A220" s="3168">
        <v>219</v>
      </c>
      <c r="B220" s="3168" t="s">
        <v>3521</v>
      </c>
      <c r="C220" s="3168" t="s">
        <v>3435</v>
      </c>
      <c r="D220" s="3168">
        <v>129.41999999999999</v>
      </c>
      <c r="E220" s="3168">
        <v>45.19</v>
      </c>
      <c r="F220" s="3168" t="s">
        <v>3540</v>
      </c>
      <c r="O220" s="3168">
        <v>219</v>
      </c>
      <c r="P220" s="3168" t="s">
        <v>3534</v>
      </c>
      <c r="Q220" s="3168">
        <v>-115</v>
      </c>
      <c r="R220" s="3168">
        <v>13.6</v>
      </c>
      <c r="S220" s="3168">
        <v>4.75</v>
      </c>
      <c r="T220" s="3167" t="s">
        <v>3544</v>
      </c>
      <c r="V220" s="3168">
        <v>219</v>
      </c>
      <c r="W220" s="3168" t="s">
        <v>3538</v>
      </c>
      <c r="X220" s="3168">
        <v>-1219</v>
      </c>
      <c r="Y220" s="3168">
        <v>25.39</v>
      </c>
      <c r="Z220" s="3168">
        <v>8.8699999999999992</v>
      </c>
      <c r="AA220" s="3167" t="s">
        <v>3546</v>
      </c>
    </row>
    <row r="221" spans="1:27" ht="14.25">
      <c r="A221" s="3168">
        <v>220</v>
      </c>
      <c r="B221" s="3168" t="s">
        <v>3521</v>
      </c>
      <c r="C221" s="3168" t="s">
        <v>3499</v>
      </c>
      <c r="D221" s="3168">
        <v>129.80000000000001</v>
      </c>
      <c r="E221" s="3168">
        <v>45.32</v>
      </c>
      <c r="F221" s="3168" t="s">
        <v>3540</v>
      </c>
      <c r="O221" s="3168">
        <v>220</v>
      </c>
      <c r="P221" s="3168" t="s">
        <v>3534</v>
      </c>
      <c r="Q221" s="3168">
        <v>-116</v>
      </c>
      <c r="R221" s="3168">
        <v>6.62</v>
      </c>
      <c r="S221" s="3168">
        <v>2.31</v>
      </c>
      <c r="T221" s="3167" t="s">
        <v>3544</v>
      </c>
      <c r="V221" s="3168">
        <v>220</v>
      </c>
      <c r="W221" s="3168" t="s">
        <v>3538</v>
      </c>
      <c r="X221" s="3168">
        <v>-1220</v>
      </c>
      <c r="Y221" s="3168">
        <v>38.08</v>
      </c>
      <c r="Z221" s="3168">
        <v>13.3</v>
      </c>
      <c r="AA221" s="3167" t="s">
        <v>3546</v>
      </c>
    </row>
    <row r="222" spans="1:27" ht="14.25">
      <c r="A222" s="3168">
        <v>221</v>
      </c>
      <c r="B222" s="3168" t="s">
        <v>3521</v>
      </c>
      <c r="C222" s="3168" t="s">
        <v>3500</v>
      </c>
      <c r="D222" s="3168">
        <v>129.41999999999999</v>
      </c>
      <c r="E222" s="3168">
        <v>45.19</v>
      </c>
      <c r="F222" s="3168" t="s">
        <v>3540</v>
      </c>
      <c r="O222" s="3168">
        <v>221</v>
      </c>
      <c r="P222" s="3168" t="s">
        <v>3534</v>
      </c>
      <c r="Q222" s="3168">
        <v>-117</v>
      </c>
      <c r="R222" s="3168">
        <v>8.3000000000000007</v>
      </c>
      <c r="S222" s="3168">
        <v>2.9</v>
      </c>
      <c r="T222" s="3167" t="s">
        <v>3544</v>
      </c>
      <c r="V222" s="3168">
        <v>221</v>
      </c>
      <c r="W222" s="3168" t="s">
        <v>3538</v>
      </c>
      <c r="X222" s="3168">
        <v>-1221</v>
      </c>
      <c r="Y222" s="3168">
        <v>25.39</v>
      </c>
      <c r="Z222" s="3168">
        <v>8.8699999999999992</v>
      </c>
      <c r="AA222" s="3167" t="s">
        <v>3546</v>
      </c>
    </row>
    <row r="223" spans="1:27" ht="14.25">
      <c r="A223" s="3168">
        <v>222</v>
      </c>
      <c r="B223" s="3168" t="s">
        <v>3521</v>
      </c>
      <c r="C223" s="3168" t="s">
        <v>3448</v>
      </c>
      <c r="D223" s="3168">
        <v>129.80000000000001</v>
      </c>
      <c r="E223" s="3168">
        <v>45.32</v>
      </c>
      <c r="F223" s="3168" t="s">
        <v>3540</v>
      </c>
      <c r="O223" s="3168">
        <v>222</v>
      </c>
      <c r="P223" s="3168" t="s">
        <v>3534</v>
      </c>
      <c r="Q223" s="3168">
        <v>-118</v>
      </c>
      <c r="R223" s="3168">
        <v>6.29</v>
      </c>
      <c r="S223" s="3168">
        <v>2.2000000000000002</v>
      </c>
      <c r="T223" s="3167" t="s">
        <v>3544</v>
      </c>
      <c r="V223" s="3168">
        <v>222</v>
      </c>
      <c r="W223" s="3168" t="s">
        <v>3538</v>
      </c>
      <c r="X223" s="3168">
        <v>-1222</v>
      </c>
      <c r="Y223" s="3168">
        <v>25.39</v>
      </c>
      <c r="Z223" s="3168">
        <v>8.8699999999999992</v>
      </c>
      <c r="AA223" s="3167" t="s">
        <v>3546</v>
      </c>
    </row>
    <row r="224" spans="1:27" ht="14.25">
      <c r="A224" s="3168">
        <v>223</v>
      </c>
      <c r="B224" s="3168" t="s">
        <v>3521</v>
      </c>
      <c r="C224" s="3168" t="s">
        <v>3501</v>
      </c>
      <c r="D224" s="3168">
        <v>129.41999999999999</v>
      </c>
      <c r="E224" s="3168">
        <v>45.19</v>
      </c>
      <c r="F224" s="3168" t="s">
        <v>3540</v>
      </c>
      <c r="O224" s="3168">
        <v>223</v>
      </c>
      <c r="P224" s="3168" t="s">
        <v>3534</v>
      </c>
      <c r="Q224" s="3168">
        <v>-119</v>
      </c>
      <c r="R224" s="3168">
        <v>12.56</v>
      </c>
      <c r="S224" s="3168">
        <v>4.3899999999999997</v>
      </c>
      <c r="T224" s="3167" t="s">
        <v>3544</v>
      </c>
      <c r="V224" s="3168">
        <v>223</v>
      </c>
      <c r="W224" s="3168" t="s">
        <v>3538</v>
      </c>
      <c r="X224" s="3168">
        <v>-1223</v>
      </c>
      <c r="Y224" s="3168">
        <v>25.39</v>
      </c>
      <c r="Z224" s="3168">
        <v>8.8699999999999992</v>
      </c>
      <c r="AA224" s="3167" t="s">
        <v>3546</v>
      </c>
    </row>
    <row r="225" spans="1:27" ht="14.25">
      <c r="A225" s="3168">
        <v>224</v>
      </c>
      <c r="B225" s="3168" t="s">
        <v>3521</v>
      </c>
      <c r="C225" s="3168" t="s">
        <v>3502</v>
      </c>
      <c r="D225" s="3168">
        <v>129.80000000000001</v>
      </c>
      <c r="E225" s="3168">
        <v>45.32</v>
      </c>
      <c r="F225" s="3168" t="s">
        <v>3540</v>
      </c>
      <c r="O225" s="3168">
        <v>224</v>
      </c>
      <c r="P225" s="3168" t="s">
        <v>3534</v>
      </c>
      <c r="Q225" s="3168">
        <v>-120</v>
      </c>
      <c r="R225" s="3168">
        <v>9.89</v>
      </c>
      <c r="S225" s="3168">
        <v>3.45</v>
      </c>
      <c r="T225" s="3167" t="s">
        <v>3544</v>
      </c>
      <c r="V225" s="3168">
        <v>224</v>
      </c>
      <c r="W225" s="3168" t="s">
        <v>3538</v>
      </c>
      <c r="X225" s="3168">
        <v>-1224</v>
      </c>
      <c r="Y225" s="3168">
        <v>25.39</v>
      </c>
      <c r="Z225" s="3168">
        <v>8.8699999999999992</v>
      </c>
      <c r="AA225" s="3167" t="s">
        <v>3546</v>
      </c>
    </row>
    <row r="226" spans="1:27" ht="14.25">
      <c r="A226" s="3168">
        <v>225</v>
      </c>
      <c r="B226" s="3168" t="s">
        <v>3521</v>
      </c>
      <c r="C226" s="3168" t="s">
        <v>3436</v>
      </c>
      <c r="D226" s="3168">
        <v>129.41999999999999</v>
      </c>
      <c r="E226" s="3168">
        <v>45.19</v>
      </c>
      <c r="F226" s="3168" t="s">
        <v>3540</v>
      </c>
      <c r="O226" s="3168">
        <v>225</v>
      </c>
      <c r="P226" s="3168" t="s">
        <v>3534</v>
      </c>
      <c r="Q226" s="3168">
        <v>-121</v>
      </c>
      <c r="R226" s="3168">
        <v>6.97</v>
      </c>
      <c r="S226" s="3168">
        <v>2.4300000000000002</v>
      </c>
      <c r="T226" s="3167" t="s">
        <v>3544</v>
      </c>
      <c r="V226" s="3168">
        <v>225</v>
      </c>
      <c r="W226" s="3168" t="s">
        <v>3538</v>
      </c>
      <c r="X226" s="3168">
        <v>-1225</v>
      </c>
      <c r="Y226" s="3168">
        <v>25.39</v>
      </c>
      <c r="Z226" s="3168">
        <v>8.8699999999999992</v>
      </c>
      <c r="AA226" s="3167" t="s">
        <v>3546</v>
      </c>
    </row>
    <row r="227" spans="1:27" ht="14.25">
      <c r="A227" s="3168">
        <v>226</v>
      </c>
      <c r="B227" s="3168" t="s">
        <v>3521</v>
      </c>
      <c r="C227" s="3168" t="s">
        <v>3437</v>
      </c>
      <c r="D227" s="3168">
        <v>129.80000000000001</v>
      </c>
      <c r="E227" s="3168">
        <v>45.32</v>
      </c>
      <c r="F227" s="3168" t="s">
        <v>3540</v>
      </c>
      <c r="O227" s="3168">
        <v>226</v>
      </c>
      <c r="P227" s="3168" t="s">
        <v>3534</v>
      </c>
      <c r="Q227" s="3168">
        <v>-122</v>
      </c>
      <c r="R227" s="3168">
        <v>7.4</v>
      </c>
      <c r="S227" s="3168">
        <v>2.58</v>
      </c>
      <c r="T227" s="3167" t="s">
        <v>3544</v>
      </c>
      <c r="V227" s="3168">
        <v>226</v>
      </c>
      <c r="W227" s="3168" t="s">
        <v>3538</v>
      </c>
      <c r="X227" s="3168">
        <v>-1226</v>
      </c>
      <c r="Y227" s="3168">
        <v>25.39</v>
      </c>
      <c r="Z227" s="3168">
        <v>8.8699999999999992</v>
      </c>
      <c r="AA227" s="3167" t="s">
        <v>3546</v>
      </c>
    </row>
    <row r="228" spans="1:27" ht="14.25">
      <c r="A228" s="3168">
        <v>227</v>
      </c>
      <c r="B228" s="3168" t="s">
        <v>3521</v>
      </c>
      <c r="C228" s="3168" t="s">
        <v>3503</v>
      </c>
      <c r="D228" s="3168">
        <v>129.41999999999999</v>
      </c>
      <c r="E228" s="3168">
        <v>45.19</v>
      </c>
      <c r="F228" s="3168" t="s">
        <v>3540</v>
      </c>
      <c r="O228" s="3168">
        <v>227</v>
      </c>
      <c r="P228" s="3168" t="s">
        <v>3534</v>
      </c>
      <c r="Q228" s="3168">
        <v>-123</v>
      </c>
      <c r="R228" s="3168">
        <v>7.03</v>
      </c>
      <c r="S228" s="3168">
        <v>2.4500000000000002</v>
      </c>
      <c r="T228" s="3167" t="s">
        <v>3544</v>
      </c>
      <c r="V228" s="3168">
        <v>227</v>
      </c>
      <c r="W228" s="3168" t="s">
        <v>3538</v>
      </c>
      <c r="X228" s="3168">
        <v>-1227</v>
      </c>
      <c r="Y228" s="3168">
        <v>25.39</v>
      </c>
      <c r="Z228" s="3168">
        <v>8.8699999999999992</v>
      </c>
      <c r="AA228" s="3167" t="s">
        <v>3546</v>
      </c>
    </row>
    <row r="229" spans="1:27" ht="14.25">
      <c r="A229" s="3168">
        <v>228</v>
      </c>
      <c r="B229" s="3168" t="s">
        <v>3521</v>
      </c>
      <c r="C229" s="3168" t="s">
        <v>3438</v>
      </c>
      <c r="D229" s="3168">
        <v>129.80000000000001</v>
      </c>
      <c r="E229" s="3168">
        <v>45.32</v>
      </c>
      <c r="F229" s="3168" t="s">
        <v>3540</v>
      </c>
      <c r="O229" s="3168">
        <v>228</v>
      </c>
      <c r="P229" s="3168" t="s">
        <v>3534</v>
      </c>
      <c r="Q229" s="3168">
        <v>-124</v>
      </c>
      <c r="R229" s="3168">
        <v>6.85</v>
      </c>
      <c r="S229" s="3168">
        <v>2.39</v>
      </c>
      <c r="T229" s="3167" t="s">
        <v>3544</v>
      </c>
      <c r="V229" s="3168">
        <v>228</v>
      </c>
      <c r="W229" s="3168" t="s">
        <v>3538</v>
      </c>
      <c r="X229" s="3168">
        <v>-1228</v>
      </c>
      <c r="Y229" s="3168">
        <v>25.39</v>
      </c>
      <c r="Z229" s="3168">
        <v>8.8699999999999992</v>
      </c>
      <c r="AA229" s="3167" t="s">
        <v>3546</v>
      </c>
    </row>
    <row r="230" spans="1:27" ht="14.25">
      <c r="A230" s="3168">
        <v>229</v>
      </c>
      <c r="B230" s="3168" t="s">
        <v>3521</v>
      </c>
      <c r="C230" s="3168" t="s">
        <v>3439</v>
      </c>
      <c r="D230" s="3168">
        <v>129.80000000000001</v>
      </c>
      <c r="E230" s="3168">
        <v>45.32</v>
      </c>
      <c r="F230" s="3168" t="s">
        <v>3540</v>
      </c>
      <c r="O230" s="3168">
        <v>229</v>
      </c>
      <c r="P230" s="3168" t="s">
        <v>3534</v>
      </c>
      <c r="Q230" s="3168">
        <v>-125</v>
      </c>
      <c r="R230" s="3168">
        <v>8.23</v>
      </c>
      <c r="S230" s="3168">
        <v>2.87</v>
      </c>
      <c r="T230" s="3167" t="s">
        <v>3544</v>
      </c>
      <c r="V230" s="3168">
        <v>229</v>
      </c>
      <c r="W230" s="3168" t="s">
        <v>3538</v>
      </c>
      <c r="X230" s="3168">
        <v>-1229</v>
      </c>
      <c r="Y230" s="3168">
        <v>25.39</v>
      </c>
      <c r="Z230" s="3168">
        <v>8.8699999999999992</v>
      </c>
      <c r="AA230" s="3167" t="s">
        <v>3546</v>
      </c>
    </row>
    <row r="231" spans="1:27" ht="14.25">
      <c r="A231" s="3168">
        <v>230</v>
      </c>
      <c r="B231" s="3168" t="s">
        <v>3521</v>
      </c>
      <c r="C231" s="3168" t="s">
        <v>3504</v>
      </c>
      <c r="D231" s="3168">
        <v>129.41999999999999</v>
      </c>
      <c r="E231" s="3168">
        <v>45.19</v>
      </c>
      <c r="F231" s="3168" t="s">
        <v>3540</v>
      </c>
      <c r="O231" s="3168">
        <v>230</v>
      </c>
      <c r="P231" s="3168" t="s">
        <v>3535</v>
      </c>
      <c r="Q231" s="3168">
        <v>-101</v>
      </c>
      <c r="R231" s="3168">
        <v>6.61</v>
      </c>
      <c r="S231" s="3168">
        <v>2.31</v>
      </c>
      <c r="T231" s="3167" t="s">
        <v>3544</v>
      </c>
      <c r="V231" s="3168">
        <v>230</v>
      </c>
      <c r="W231" s="3168" t="s">
        <v>3538</v>
      </c>
      <c r="X231" s="3168">
        <v>-1230</v>
      </c>
      <c r="Y231" s="3168">
        <v>25.39</v>
      </c>
      <c r="Z231" s="3168">
        <v>8.8699999999999992</v>
      </c>
      <c r="AA231" s="3167" t="s">
        <v>3546</v>
      </c>
    </row>
    <row r="232" spans="1:27" ht="14.25">
      <c r="A232" s="3168">
        <v>231</v>
      </c>
      <c r="B232" s="3168" t="s">
        <v>3521</v>
      </c>
      <c r="C232" s="3168" t="s">
        <v>3440</v>
      </c>
      <c r="D232" s="3168">
        <v>129.80000000000001</v>
      </c>
      <c r="E232" s="3168">
        <v>45.32</v>
      </c>
      <c r="F232" s="3168" t="s">
        <v>3540</v>
      </c>
      <c r="O232" s="3168">
        <v>231</v>
      </c>
      <c r="P232" s="3168" t="s">
        <v>3535</v>
      </c>
      <c r="Q232" s="3168">
        <v>-102</v>
      </c>
      <c r="R232" s="3168">
        <v>7.7</v>
      </c>
      <c r="S232" s="3168">
        <v>2.69</v>
      </c>
      <c r="T232" s="3167" t="s">
        <v>3544</v>
      </c>
      <c r="V232" s="3168">
        <v>231</v>
      </c>
      <c r="W232" s="3168" t="s">
        <v>3538</v>
      </c>
      <c r="X232" s="3168">
        <v>-1231</v>
      </c>
      <c r="Y232" s="3168">
        <v>25.39</v>
      </c>
      <c r="Z232" s="3168">
        <v>8.8699999999999992</v>
      </c>
      <c r="AA232" s="3167" t="s">
        <v>3546</v>
      </c>
    </row>
    <row r="233" spans="1:27" ht="14.25">
      <c r="A233" s="3168">
        <v>232</v>
      </c>
      <c r="B233" s="3168" t="s">
        <v>3521</v>
      </c>
      <c r="C233" s="3168" t="s">
        <v>3473</v>
      </c>
      <c r="D233" s="3168">
        <v>129.41999999999999</v>
      </c>
      <c r="E233" s="3168">
        <v>45.19</v>
      </c>
      <c r="F233" s="3168" t="s">
        <v>3540</v>
      </c>
      <c r="O233" s="3168">
        <v>232</v>
      </c>
      <c r="P233" s="3168" t="s">
        <v>3535</v>
      </c>
      <c r="Q233" s="3168">
        <v>-103</v>
      </c>
      <c r="R233" s="3168">
        <v>7.7</v>
      </c>
      <c r="S233" s="3168">
        <v>2.69</v>
      </c>
      <c r="T233" s="3167" t="s">
        <v>3544</v>
      </c>
      <c r="V233" s="3168">
        <v>232</v>
      </c>
      <c r="W233" s="3168" t="s">
        <v>3538</v>
      </c>
      <c r="X233" s="3168">
        <v>-1232</v>
      </c>
      <c r="Y233" s="3168">
        <v>25.39</v>
      </c>
      <c r="Z233" s="3168">
        <v>8.8699999999999992</v>
      </c>
      <c r="AA233" s="3167" t="s">
        <v>3546</v>
      </c>
    </row>
    <row r="234" spans="1:27" ht="14.25">
      <c r="A234" s="3168">
        <v>233</v>
      </c>
      <c r="B234" s="3168" t="s">
        <v>3521</v>
      </c>
      <c r="C234" s="3168" t="s">
        <v>3505</v>
      </c>
      <c r="D234" s="3168">
        <v>129.80000000000001</v>
      </c>
      <c r="E234" s="3168">
        <v>45.32</v>
      </c>
      <c r="F234" s="3168" t="s">
        <v>3540</v>
      </c>
      <c r="O234" s="3168">
        <v>233</v>
      </c>
      <c r="P234" s="3168" t="s">
        <v>3535</v>
      </c>
      <c r="Q234" s="3168">
        <v>-104</v>
      </c>
      <c r="R234" s="3168">
        <v>11.25</v>
      </c>
      <c r="S234" s="3168">
        <v>3.93</v>
      </c>
      <c r="T234" s="3167" t="s">
        <v>3544</v>
      </c>
      <c r="V234" s="3168">
        <v>233</v>
      </c>
      <c r="W234" s="3168" t="s">
        <v>3538</v>
      </c>
      <c r="X234" s="3168">
        <v>-1233</v>
      </c>
      <c r="Y234" s="3168">
        <v>25.39</v>
      </c>
      <c r="Z234" s="3168">
        <v>8.8699999999999992</v>
      </c>
      <c r="AA234" s="3167" t="s">
        <v>3546</v>
      </c>
    </row>
    <row r="235" spans="1:27" ht="14.25">
      <c r="A235" s="3168">
        <v>234</v>
      </c>
      <c r="B235" s="3168" t="s">
        <v>3521</v>
      </c>
      <c r="C235" s="3168" t="s">
        <v>3506</v>
      </c>
      <c r="D235" s="3168">
        <v>97.67</v>
      </c>
      <c r="E235" s="3168">
        <v>34.11</v>
      </c>
      <c r="F235" s="3168" t="s">
        <v>3540</v>
      </c>
      <c r="O235" s="3168">
        <v>234</v>
      </c>
      <c r="P235" s="3168" t="s">
        <v>3535</v>
      </c>
      <c r="Q235" s="3168">
        <v>-105</v>
      </c>
      <c r="R235" s="3168">
        <v>10.66</v>
      </c>
      <c r="S235" s="3168">
        <v>3.72</v>
      </c>
      <c r="T235" s="3167" t="s">
        <v>3544</v>
      </c>
      <c r="V235" s="3168">
        <v>234</v>
      </c>
      <c r="W235" s="3168" t="s">
        <v>3538</v>
      </c>
      <c r="X235" s="3168">
        <v>-1234</v>
      </c>
      <c r="Y235" s="3168">
        <v>25.39</v>
      </c>
      <c r="Z235" s="3168">
        <v>8.8699999999999992</v>
      </c>
      <c r="AA235" s="3167" t="s">
        <v>3546</v>
      </c>
    </row>
    <row r="236" spans="1:27" ht="14.25">
      <c r="A236" s="3168">
        <v>235</v>
      </c>
      <c r="B236" s="3168" t="s">
        <v>3521</v>
      </c>
      <c r="C236" s="3168" t="s">
        <v>3507</v>
      </c>
      <c r="D236" s="3168">
        <v>101.83</v>
      </c>
      <c r="E236" s="3168">
        <v>35.56</v>
      </c>
      <c r="F236" s="3168" t="s">
        <v>3540</v>
      </c>
      <c r="O236" s="3168">
        <v>235</v>
      </c>
      <c r="P236" s="3168" t="s">
        <v>3535</v>
      </c>
      <c r="Q236" s="3168">
        <v>-106</v>
      </c>
      <c r="R236" s="3168">
        <v>11.84</v>
      </c>
      <c r="S236" s="3168">
        <v>4.13</v>
      </c>
      <c r="T236" s="3167" t="s">
        <v>3544</v>
      </c>
      <c r="V236" s="3168">
        <v>235</v>
      </c>
      <c r="W236" s="3168" t="s">
        <v>3538</v>
      </c>
      <c r="X236" s="3168">
        <v>-1235</v>
      </c>
      <c r="Y236" s="3168">
        <v>25.39</v>
      </c>
      <c r="Z236" s="3168">
        <v>8.8699999999999992</v>
      </c>
      <c r="AA236" s="3167" t="s">
        <v>3546</v>
      </c>
    </row>
    <row r="237" spans="1:27" ht="14.25">
      <c r="A237" s="3168">
        <v>236</v>
      </c>
      <c r="B237" s="3168" t="s">
        <v>3522</v>
      </c>
      <c r="C237" s="3168" t="s">
        <v>3442</v>
      </c>
      <c r="D237" s="3168">
        <v>95.31</v>
      </c>
      <c r="E237" s="3168">
        <v>33.28</v>
      </c>
      <c r="F237" s="3168" t="s">
        <v>3540</v>
      </c>
      <c r="O237" s="3168">
        <v>236</v>
      </c>
      <c r="P237" s="3168" t="s">
        <v>3535</v>
      </c>
      <c r="Q237" s="3168">
        <v>-107</v>
      </c>
      <c r="R237" s="3168">
        <v>8.59</v>
      </c>
      <c r="S237" s="3168">
        <v>3</v>
      </c>
      <c r="T237" s="3167" t="s">
        <v>3544</v>
      </c>
      <c r="V237" s="3168">
        <v>236</v>
      </c>
      <c r="W237" s="3168" t="s">
        <v>3538</v>
      </c>
      <c r="X237" s="3168">
        <v>-1236</v>
      </c>
      <c r="Y237" s="3168">
        <v>38.08</v>
      </c>
      <c r="Z237" s="3168">
        <v>13.3</v>
      </c>
      <c r="AA237" s="3167" t="s">
        <v>3546</v>
      </c>
    </row>
    <row r="238" spans="1:27" ht="14.25">
      <c r="A238" s="3168">
        <v>237</v>
      </c>
      <c r="B238" s="3168" t="s">
        <v>3522</v>
      </c>
      <c r="C238" s="3168" t="s">
        <v>3444</v>
      </c>
      <c r="D238" s="3168">
        <v>94.95</v>
      </c>
      <c r="E238" s="3168">
        <v>33.159999999999997</v>
      </c>
      <c r="F238" s="3168" t="s">
        <v>3540</v>
      </c>
      <c r="O238" s="3168">
        <v>237</v>
      </c>
      <c r="P238" s="3168" t="s">
        <v>3535</v>
      </c>
      <c r="Q238" s="3168">
        <v>-108</v>
      </c>
      <c r="R238" s="3168">
        <v>8.59</v>
      </c>
      <c r="S238" s="3168">
        <v>3</v>
      </c>
      <c r="T238" s="3167" t="s">
        <v>3544</v>
      </c>
      <c r="V238" s="3168">
        <v>237</v>
      </c>
      <c r="W238" s="3168" t="s">
        <v>3538</v>
      </c>
      <c r="X238" s="3168">
        <v>-1237</v>
      </c>
      <c r="Y238" s="3168">
        <v>38.08</v>
      </c>
      <c r="Z238" s="3168">
        <v>13.3</v>
      </c>
      <c r="AA238" s="3167" t="s">
        <v>3546</v>
      </c>
    </row>
    <row r="239" spans="1:27" ht="14.25">
      <c r="A239" s="3168">
        <v>238</v>
      </c>
      <c r="B239" s="3168" t="s">
        <v>3522</v>
      </c>
      <c r="C239" s="3168" t="s">
        <v>3445</v>
      </c>
      <c r="D239" s="3168">
        <v>94.95</v>
      </c>
      <c r="E239" s="3168">
        <v>33.159999999999997</v>
      </c>
      <c r="F239" s="3168" t="s">
        <v>3540</v>
      </c>
      <c r="O239" s="3168">
        <v>238</v>
      </c>
      <c r="P239" s="3168" t="s">
        <v>3535</v>
      </c>
      <c r="Q239" s="3168">
        <v>-109</v>
      </c>
      <c r="R239" s="3168">
        <v>11.84</v>
      </c>
      <c r="S239" s="3168">
        <v>4.13</v>
      </c>
      <c r="T239" s="3167" t="s">
        <v>3544</v>
      </c>
      <c r="V239" s="3168">
        <v>238</v>
      </c>
      <c r="W239" s="3168" t="s">
        <v>3538</v>
      </c>
      <c r="X239" s="3168">
        <v>-1238</v>
      </c>
      <c r="Y239" s="3168">
        <v>25.39</v>
      </c>
      <c r="Z239" s="3168">
        <v>8.8699999999999992</v>
      </c>
      <c r="AA239" s="3167" t="s">
        <v>3546</v>
      </c>
    </row>
    <row r="240" spans="1:27" ht="14.25">
      <c r="A240" s="3168">
        <v>239</v>
      </c>
      <c r="B240" s="3168" t="s">
        <v>3522</v>
      </c>
      <c r="C240" s="3168" t="s">
        <v>3429</v>
      </c>
      <c r="D240" s="3168">
        <v>94.98</v>
      </c>
      <c r="E240" s="3168">
        <v>33.17</v>
      </c>
      <c r="F240" s="3168" t="s">
        <v>3540</v>
      </c>
      <c r="O240" s="3168">
        <v>239</v>
      </c>
      <c r="P240" s="3168" t="s">
        <v>3535</v>
      </c>
      <c r="Q240" s="3168">
        <v>-110</v>
      </c>
      <c r="R240" s="3168">
        <v>11.1</v>
      </c>
      <c r="S240" s="3168">
        <v>3.88</v>
      </c>
      <c r="T240" s="3167" t="s">
        <v>3544</v>
      </c>
      <c r="V240" s="3168">
        <v>239</v>
      </c>
      <c r="W240" s="3168" t="s">
        <v>3538</v>
      </c>
      <c r="X240" s="3168">
        <v>-1239</v>
      </c>
      <c r="Y240" s="3168">
        <v>25.39</v>
      </c>
      <c r="Z240" s="3168">
        <v>8.8699999999999992</v>
      </c>
      <c r="AA240" s="3167" t="s">
        <v>3546</v>
      </c>
    </row>
    <row r="241" spans="1:27" ht="14.25">
      <c r="A241" s="3168">
        <v>240</v>
      </c>
      <c r="B241" s="3168" t="s">
        <v>3522</v>
      </c>
      <c r="C241" s="3168" t="s">
        <v>3462</v>
      </c>
      <c r="D241" s="3168">
        <v>94.98</v>
      </c>
      <c r="E241" s="3168">
        <v>33.17</v>
      </c>
      <c r="F241" s="3168" t="s">
        <v>3540</v>
      </c>
      <c r="O241" s="3168">
        <v>240</v>
      </c>
      <c r="P241" s="3168" t="s">
        <v>3535</v>
      </c>
      <c r="Q241" s="3168">
        <v>-111</v>
      </c>
      <c r="R241" s="3168">
        <v>13</v>
      </c>
      <c r="S241" s="3168">
        <v>4.54</v>
      </c>
      <c r="T241" s="3167" t="s">
        <v>3544</v>
      </c>
      <c r="V241" s="3168">
        <v>240</v>
      </c>
      <c r="W241" s="3168" t="s">
        <v>3538</v>
      </c>
      <c r="X241" s="3168">
        <v>-1240</v>
      </c>
      <c r="Y241" s="3168">
        <v>25.39</v>
      </c>
      <c r="Z241" s="3168">
        <v>8.8699999999999992</v>
      </c>
      <c r="AA241" s="3167" t="s">
        <v>3546</v>
      </c>
    </row>
    <row r="242" spans="1:27" ht="14.25">
      <c r="A242" s="3168">
        <v>241</v>
      </c>
      <c r="B242" s="3168" t="s">
        <v>3522</v>
      </c>
      <c r="C242" s="3168" t="s">
        <v>3463</v>
      </c>
      <c r="D242" s="3168">
        <v>94.98</v>
      </c>
      <c r="E242" s="3168">
        <v>33.17</v>
      </c>
      <c r="F242" s="3168" t="s">
        <v>3540</v>
      </c>
      <c r="O242" s="3168">
        <v>241</v>
      </c>
      <c r="P242" s="3168" t="s">
        <v>3535</v>
      </c>
      <c r="Q242" s="3168">
        <v>-112</v>
      </c>
      <c r="R242" s="3168">
        <v>8.34</v>
      </c>
      <c r="S242" s="3168">
        <v>2.91</v>
      </c>
      <c r="T242" s="3167" t="s">
        <v>3544</v>
      </c>
      <c r="V242" s="3168">
        <v>241</v>
      </c>
      <c r="W242" s="3168" t="s">
        <v>3538</v>
      </c>
      <c r="X242" s="3168">
        <v>-1241</v>
      </c>
      <c r="Y242" s="3168">
        <v>25.39</v>
      </c>
      <c r="Z242" s="3168">
        <v>8.8699999999999992</v>
      </c>
      <c r="AA242" s="3167" t="s">
        <v>3546</v>
      </c>
    </row>
    <row r="243" spans="1:27" ht="14.25">
      <c r="A243" s="3168">
        <v>242</v>
      </c>
      <c r="B243" s="3168" t="s">
        <v>3522</v>
      </c>
      <c r="C243" s="3168" t="s">
        <v>3464</v>
      </c>
      <c r="D243" s="3168">
        <v>94.98</v>
      </c>
      <c r="E243" s="3168">
        <v>33.17</v>
      </c>
      <c r="F243" s="3168" t="s">
        <v>3540</v>
      </c>
      <c r="O243" s="3168">
        <v>242</v>
      </c>
      <c r="P243" s="3168" t="s">
        <v>3535</v>
      </c>
      <c r="Q243" s="3168">
        <v>-113</v>
      </c>
      <c r="R243" s="3168">
        <v>13.67</v>
      </c>
      <c r="S243" s="3168">
        <v>4.7699999999999996</v>
      </c>
      <c r="T243" s="3167" t="s">
        <v>3544</v>
      </c>
      <c r="V243" s="3168">
        <v>242</v>
      </c>
      <c r="W243" s="3168" t="s">
        <v>3538</v>
      </c>
      <c r="X243" s="3168">
        <v>-1242</v>
      </c>
      <c r="Y243" s="3168">
        <v>25.39</v>
      </c>
      <c r="Z243" s="3168">
        <v>8.8699999999999992</v>
      </c>
      <c r="AA243" s="3167" t="s">
        <v>3546</v>
      </c>
    </row>
    <row r="244" spans="1:27" ht="14.25">
      <c r="A244" s="3168">
        <v>243</v>
      </c>
      <c r="B244" s="3168" t="s">
        <v>3522</v>
      </c>
      <c r="C244" s="3168" t="s">
        <v>3488</v>
      </c>
      <c r="D244" s="3168">
        <v>94.98</v>
      </c>
      <c r="E244" s="3168">
        <v>33.17</v>
      </c>
      <c r="F244" s="3168" t="s">
        <v>3540</v>
      </c>
      <c r="O244" s="3168">
        <v>243</v>
      </c>
      <c r="P244" s="3168" t="s">
        <v>3535</v>
      </c>
      <c r="Q244" s="3168">
        <v>-114</v>
      </c>
      <c r="R244" s="3168">
        <v>13.67</v>
      </c>
      <c r="S244" s="3168">
        <v>4.7699999999999996</v>
      </c>
      <c r="T244" s="3167" t="s">
        <v>3544</v>
      </c>
      <c r="V244" s="3168">
        <v>243</v>
      </c>
      <c r="W244" s="3168" t="s">
        <v>3538</v>
      </c>
      <c r="X244" s="3168">
        <v>-1243</v>
      </c>
      <c r="Y244" s="3168">
        <v>25.39</v>
      </c>
      <c r="Z244" s="3168">
        <v>8.8699999999999992</v>
      </c>
      <c r="AA244" s="3167" t="s">
        <v>3546</v>
      </c>
    </row>
    <row r="245" spans="1:27" ht="14.25">
      <c r="A245" s="3168">
        <v>244</v>
      </c>
      <c r="B245" s="3168" t="s">
        <v>3522</v>
      </c>
      <c r="C245" s="3168" t="s">
        <v>3489</v>
      </c>
      <c r="D245" s="3168">
        <v>94.98</v>
      </c>
      <c r="E245" s="3168">
        <v>33.17</v>
      </c>
      <c r="F245" s="3168" t="s">
        <v>3540</v>
      </c>
      <c r="O245" s="3168">
        <v>244</v>
      </c>
      <c r="P245" s="3168" t="s">
        <v>3535</v>
      </c>
      <c r="Q245" s="3168">
        <v>-115</v>
      </c>
      <c r="R245" s="3168">
        <v>6.66</v>
      </c>
      <c r="S245" s="3168">
        <v>2.33</v>
      </c>
      <c r="T245" s="3167" t="s">
        <v>3544</v>
      </c>
      <c r="V245" s="3168">
        <v>244</v>
      </c>
      <c r="W245" s="3168" t="s">
        <v>3538</v>
      </c>
      <c r="X245" s="3168">
        <v>-1244</v>
      </c>
      <c r="Y245" s="3168">
        <v>25.39</v>
      </c>
      <c r="Z245" s="3168">
        <v>8.8699999999999992</v>
      </c>
      <c r="AA245" s="3167" t="s">
        <v>3546</v>
      </c>
    </row>
    <row r="246" spans="1:27" ht="14.25">
      <c r="A246" s="3168">
        <v>245</v>
      </c>
      <c r="B246" s="3168" t="s">
        <v>3522</v>
      </c>
      <c r="C246" s="3168" t="s">
        <v>3519</v>
      </c>
      <c r="D246" s="3168">
        <v>94.98</v>
      </c>
      <c r="E246" s="3168">
        <v>33.17</v>
      </c>
      <c r="F246" s="3168" t="s">
        <v>3540</v>
      </c>
      <c r="O246" s="3168">
        <v>245</v>
      </c>
      <c r="P246" s="3168" t="s">
        <v>3535</v>
      </c>
      <c r="Q246" s="3168">
        <v>-116</v>
      </c>
      <c r="R246" s="3168">
        <v>8.34</v>
      </c>
      <c r="S246" s="3168">
        <v>2.91</v>
      </c>
      <c r="T246" s="3167" t="s">
        <v>3544</v>
      </c>
      <c r="V246" s="3168">
        <v>245</v>
      </c>
      <c r="W246" s="3168" t="s">
        <v>3538</v>
      </c>
      <c r="X246" s="3168">
        <v>-1245</v>
      </c>
      <c r="Y246" s="3168">
        <v>25.39</v>
      </c>
      <c r="Z246" s="3168">
        <v>8.8699999999999992</v>
      </c>
      <c r="AA246" s="3167" t="s">
        <v>3546</v>
      </c>
    </row>
    <row r="247" spans="1:27" ht="14.25">
      <c r="A247" s="3168">
        <v>246</v>
      </c>
      <c r="B247" s="3168" t="s">
        <v>3522</v>
      </c>
      <c r="C247" s="3168" t="s">
        <v>3520</v>
      </c>
      <c r="D247" s="3168">
        <v>94.98</v>
      </c>
      <c r="E247" s="3168">
        <v>33.17</v>
      </c>
      <c r="F247" s="3168" t="s">
        <v>3540</v>
      </c>
      <c r="O247" s="3168">
        <v>246</v>
      </c>
      <c r="P247" s="3168" t="s">
        <v>3535</v>
      </c>
      <c r="Q247" s="3168">
        <v>-117</v>
      </c>
      <c r="R247" s="3168">
        <v>6.33</v>
      </c>
      <c r="S247" s="3168">
        <v>2.21</v>
      </c>
      <c r="T247" s="3167" t="s">
        <v>3544</v>
      </c>
      <c r="V247" s="3168">
        <v>246</v>
      </c>
      <c r="W247" s="3168" t="s">
        <v>3538</v>
      </c>
      <c r="X247" s="3168">
        <v>-1246</v>
      </c>
      <c r="Y247" s="3168">
        <v>25.39</v>
      </c>
      <c r="Z247" s="3168">
        <v>8.8699999999999992</v>
      </c>
      <c r="AA247" s="3167" t="s">
        <v>3546</v>
      </c>
    </row>
    <row r="248" spans="1:27" ht="14.25">
      <c r="A248" s="3168">
        <v>247</v>
      </c>
      <c r="B248" s="3168" t="s">
        <v>3522</v>
      </c>
      <c r="C248" s="3168" t="s">
        <v>3490</v>
      </c>
      <c r="D248" s="3168">
        <v>94.98</v>
      </c>
      <c r="E248" s="3168">
        <v>33.17</v>
      </c>
      <c r="F248" s="3168" t="s">
        <v>3540</v>
      </c>
      <c r="O248" s="3168">
        <v>247</v>
      </c>
      <c r="P248" s="3168" t="s">
        <v>3535</v>
      </c>
      <c r="Q248" s="3168">
        <v>-118</v>
      </c>
      <c r="R248" s="3168">
        <v>12.63</v>
      </c>
      <c r="S248" s="3168">
        <v>4.41</v>
      </c>
      <c r="T248" s="3167" t="s">
        <v>3544</v>
      </c>
      <c r="V248" s="3168">
        <v>247</v>
      </c>
      <c r="W248" s="3168" t="s">
        <v>3538</v>
      </c>
      <c r="X248" s="3168">
        <v>-1247</v>
      </c>
      <c r="Y248" s="3168">
        <v>25.39</v>
      </c>
      <c r="Z248" s="3168">
        <v>8.8699999999999992</v>
      </c>
      <c r="AA248" s="3167" t="s">
        <v>3546</v>
      </c>
    </row>
    <row r="249" spans="1:27" ht="14.25">
      <c r="A249" s="3168">
        <v>248</v>
      </c>
      <c r="B249" s="3168" t="s">
        <v>3522</v>
      </c>
      <c r="C249" s="3168" t="s">
        <v>3491</v>
      </c>
      <c r="D249" s="3168">
        <v>94.98</v>
      </c>
      <c r="E249" s="3168">
        <v>33.17</v>
      </c>
      <c r="F249" s="3168" t="s">
        <v>3540</v>
      </c>
      <c r="O249" s="3168">
        <v>248</v>
      </c>
      <c r="P249" s="3168" t="s">
        <v>3535</v>
      </c>
      <c r="Q249" s="3168">
        <v>-119</v>
      </c>
      <c r="R249" s="3168">
        <v>9.4499999999999993</v>
      </c>
      <c r="S249" s="3168">
        <v>3.3</v>
      </c>
      <c r="T249" s="3167" t="s">
        <v>3544</v>
      </c>
      <c r="V249" s="3168">
        <v>248</v>
      </c>
      <c r="W249" s="3168" t="s">
        <v>3538</v>
      </c>
      <c r="X249" s="3168">
        <v>-1248</v>
      </c>
      <c r="Y249" s="3168">
        <v>25.39</v>
      </c>
      <c r="Z249" s="3168">
        <v>8.8699999999999992</v>
      </c>
      <c r="AA249" s="3167" t="s">
        <v>3546</v>
      </c>
    </row>
    <row r="250" spans="1:27" ht="14.25">
      <c r="A250" s="3168">
        <v>249</v>
      </c>
      <c r="B250" s="3168" t="s">
        <v>3522</v>
      </c>
      <c r="C250" s="3168" t="s">
        <v>3492</v>
      </c>
      <c r="D250" s="3168">
        <v>94.98</v>
      </c>
      <c r="E250" s="3168">
        <v>33.17</v>
      </c>
      <c r="F250" s="3168" t="s">
        <v>3540</v>
      </c>
      <c r="O250" s="3168">
        <v>249</v>
      </c>
      <c r="P250" s="3168" t="s">
        <v>3535</v>
      </c>
      <c r="Q250" s="3168">
        <v>-120</v>
      </c>
      <c r="R250" s="3168">
        <v>16.54</v>
      </c>
      <c r="S250" s="3168">
        <v>5.78</v>
      </c>
      <c r="T250" s="3167" t="s">
        <v>3544</v>
      </c>
      <c r="V250" s="3168">
        <v>249</v>
      </c>
      <c r="W250" s="3168" t="s">
        <v>3538</v>
      </c>
      <c r="X250" s="3168">
        <v>-1249</v>
      </c>
      <c r="Y250" s="3168">
        <v>25.39</v>
      </c>
      <c r="Z250" s="3168">
        <v>8.8699999999999992</v>
      </c>
      <c r="AA250" s="3167" t="s">
        <v>3546</v>
      </c>
    </row>
    <row r="251" spans="1:27" ht="14.25">
      <c r="A251" s="3168">
        <v>250</v>
      </c>
      <c r="B251" s="3168" t="s">
        <v>3522</v>
      </c>
      <c r="C251" s="3168" t="s">
        <v>3493</v>
      </c>
      <c r="D251" s="3168">
        <v>94.98</v>
      </c>
      <c r="E251" s="3168">
        <v>33.17</v>
      </c>
      <c r="F251" s="3168" t="s">
        <v>3540</v>
      </c>
      <c r="O251" s="3168">
        <v>250</v>
      </c>
      <c r="P251" s="3168" t="s">
        <v>3535</v>
      </c>
      <c r="Q251" s="3168">
        <v>-121</v>
      </c>
      <c r="R251" s="3168">
        <v>7.01</v>
      </c>
      <c r="S251" s="3168">
        <v>2.4500000000000002</v>
      </c>
      <c r="T251" s="3167" t="s">
        <v>3544</v>
      </c>
      <c r="V251" s="3168">
        <v>250</v>
      </c>
      <c r="W251" s="3168" t="s">
        <v>3538</v>
      </c>
      <c r="X251" s="3168">
        <v>-1250</v>
      </c>
      <c r="Y251" s="3168">
        <v>25.39</v>
      </c>
      <c r="Z251" s="3168">
        <v>8.8699999999999992</v>
      </c>
      <c r="AA251" s="3167" t="s">
        <v>3546</v>
      </c>
    </row>
    <row r="252" spans="1:27" ht="14.25">
      <c r="A252" s="3168">
        <v>251</v>
      </c>
      <c r="B252" s="3168" t="s">
        <v>3522</v>
      </c>
      <c r="C252" s="3168" t="s">
        <v>3494</v>
      </c>
      <c r="D252" s="3168">
        <v>94.98</v>
      </c>
      <c r="E252" s="3168">
        <v>33.17</v>
      </c>
      <c r="F252" s="3168" t="s">
        <v>3540</v>
      </c>
      <c r="O252" s="3168">
        <v>251</v>
      </c>
      <c r="P252" s="3168" t="s">
        <v>3535</v>
      </c>
      <c r="Q252" s="3168">
        <v>-122</v>
      </c>
      <c r="R252" s="3168">
        <v>7.44</v>
      </c>
      <c r="S252" s="3168">
        <v>2.6</v>
      </c>
      <c r="T252" s="3167" t="s">
        <v>3544</v>
      </c>
      <c r="V252" s="3168">
        <v>251</v>
      </c>
      <c r="W252" s="3168" t="s">
        <v>3538</v>
      </c>
      <c r="X252" s="3168">
        <v>-1251</v>
      </c>
      <c r="Y252" s="3168">
        <v>25.39</v>
      </c>
      <c r="Z252" s="3168">
        <v>8.8699999999999992</v>
      </c>
      <c r="AA252" s="3167" t="s">
        <v>3546</v>
      </c>
    </row>
    <row r="253" spans="1:27" ht="14.25">
      <c r="A253" s="3168">
        <v>252</v>
      </c>
      <c r="B253" s="3168" t="s">
        <v>3522</v>
      </c>
      <c r="C253" s="3168" t="s">
        <v>3495</v>
      </c>
      <c r="D253" s="3168">
        <v>94.98</v>
      </c>
      <c r="E253" s="3168">
        <v>33.17</v>
      </c>
      <c r="F253" s="3168" t="s">
        <v>3540</v>
      </c>
      <c r="O253" s="3168">
        <v>252</v>
      </c>
      <c r="P253" s="3168" t="s">
        <v>3535</v>
      </c>
      <c r="Q253" s="3168">
        <v>-123</v>
      </c>
      <c r="R253" s="3168">
        <v>7.29</v>
      </c>
      <c r="S253" s="3168">
        <v>2.5499999999999998</v>
      </c>
      <c r="T253" s="3167" t="s">
        <v>3544</v>
      </c>
      <c r="V253" s="3168">
        <v>252</v>
      </c>
      <c r="W253" s="3168" t="s">
        <v>3538</v>
      </c>
      <c r="X253" s="3168">
        <v>-1252</v>
      </c>
      <c r="Y253" s="3168">
        <v>25.39</v>
      </c>
      <c r="Z253" s="3168">
        <v>8.8699999999999992</v>
      </c>
      <c r="AA253" s="3167" t="s">
        <v>3546</v>
      </c>
    </row>
    <row r="254" spans="1:27" ht="14.25">
      <c r="A254" s="3168">
        <v>253</v>
      </c>
      <c r="B254" s="3168" t="s">
        <v>3522</v>
      </c>
      <c r="C254" s="3168" t="s">
        <v>3496</v>
      </c>
      <c r="D254" s="3168">
        <v>94.98</v>
      </c>
      <c r="E254" s="3168">
        <v>33.17</v>
      </c>
      <c r="F254" s="3168" t="s">
        <v>3540</v>
      </c>
      <c r="O254" s="3168">
        <v>253</v>
      </c>
      <c r="P254" s="3168" t="s">
        <v>3535</v>
      </c>
      <c r="Q254" s="3168">
        <v>-124</v>
      </c>
      <c r="R254" s="3168">
        <v>6.74</v>
      </c>
      <c r="S254" s="3168">
        <v>2.35</v>
      </c>
      <c r="T254" s="3167" t="s">
        <v>3544</v>
      </c>
      <c r="V254" s="3168">
        <v>253</v>
      </c>
      <c r="W254" s="3168" t="s">
        <v>3538</v>
      </c>
      <c r="X254" s="3168">
        <v>-1253</v>
      </c>
      <c r="Y254" s="3168">
        <v>25.39</v>
      </c>
      <c r="Z254" s="3168">
        <v>8.8699999999999992</v>
      </c>
      <c r="AA254" s="3167" t="s">
        <v>3546</v>
      </c>
    </row>
    <row r="255" spans="1:27" ht="14.25">
      <c r="A255" s="3168">
        <v>254</v>
      </c>
      <c r="B255" s="3168" t="s">
        <v>3522</v>
      </c>
      <c r="C255" s="3168" t="s">
        <v>3446</v>
      </c>
      <c r="D255" s="3168">
        <v>94.98</v>
      </c>
      <c r="E255" s="3168">
        <v>33.17</v>
      </c>
      <c r="F255" s="3168" t="s">
        <v>3540</v>
      </c>
      <c r="O255" s="3168">
        <v>254</v>
      </c>
      <c r="P255" s="3168" t="s">
        <v>3535</v>
      </c>
      <c r="Q255" s="3168">
        <v>-125</v>
      </c>
      <c r="R255" s="3168">
        <v>8.2799999999999994</v>
      </c>
      <c r="S255" s="3168">
        <v>2.89</v>
      </c>
      <c r="T255" s="3167" t="s">
        <v>3544</v>
      </c>
      <c r="V255" s="3168">
        <v>254</v>
      </c>
      <c r="W255" s="3168" t="s">
        <v>3538</v>
      </c>
      <c r="X255" s="3168">
        <v>-1254</v>
      </c>
      <c r="Y255" s="3168">
        <v>25.39</v>
      </c>
      <c r="Z255" s="3168">
        <v>8.8699999999999992</v>
      </c>
      <c r="AA255" s="3167" t="s">
        <v>3546</v>
      </c>
    </row>
    <row r="256" spans="1:27" ht="14.25">
      <c r="A256" s="3168">
        <v>255</v>
      </c>
      <c r="B256" s="3168" t="s">
        <v>3522</v>
      </c>
      <c r="C256" s="3168" t="s">
        <v>3497</v>
      </c>
      <c r="D256" s="3168">
        <v>94.98</v>
      </c>
      <c r="E256" s="3168">
        <v>33.17</v>
      </c>
      <c r="F256" s="3168" t="s">
        <v>3540</v>
      </c>
      <c r="O256" s="3168">
        <v>255</v>
      </c>
      <c r="P256" s="3168" t="s">
        <v>3536</v>
      </c>
      <c r="Q256" s="3168">
        <v>-101</v>
      </c>
      <c r="R256" s="3168">
        <v>16.48</v>
      </c>
      <c r="S256" s="3168">
        <v>5.75</v>
      </c>
      <c r="T256" s="3167" t="s">
        <v>3544</v>
      </c>
      <c r="V256" s="3168">
        <v>255</v>
      </c>
      <c r="W256" s="3168" t="s">
        <v>3538</v>
      </c>
      <c r="X256" s="3168">
        <v>-1255</v>
      </c>
      <c r="Y256" s="3168">
        <v>25.39</v>
      </c>
      <c r="Z256" s="3168">
        <v>8.8699999999999992</v>
      </c>
      <c r="AA256" s="3167" t="s">
        <v>3546</v>
      </c>
    </row>
    <row r="257" spans="1:27" ht="14.25">
      <c r="A257" s="3168">
        <v>256</v>
      </c>
      <c r="B257" s="3168" t="s">
        <v>3522</v>
      </c>
      <c r="C257" s="3168" t="s">
        <v>3431</v>
      </c>
      <c r="D257" s="3168">
        <v>94.98</v>
      </c>
      <c r="E257" s="3168">
        <v>33.17</v>
      </c>
      <c r="F257" s="3168" t="s">
        <v>3540</v>
      </c>
      <c r="O257" s="3168">
        <v>256</v>
      </c>
      <c r="P257" s="3168" t="s">
        <v>3536</v>
      </c>
      <c r="Q257" s="3168">
        <v>-102</v>
      </c>
      <c r="R257" s="3168">
        <v>16.97</v>
      </c>
      <c r="S257" s="3168">
        <v>5.93</v>
      </c>
      <c r="T257" s="3167" t="s">
        <v>3544</v>
      </c>
      <c r="V257" s="3168">
        <v>256</v>
      </c>
      <c r="W257" s="3168" t="s">
        <v>3538</v>
      </c>
      <c r="X257" s="3168">
        <v>-1256</v>
      </c>
      <c r="Y257" s="3168">
        <v>25.39</v>
      </c>
      <c r="Z257" s="3168">
        <v>8.8699999999999992</v>
      </c>
      <c r="AA257" s="3167" t="s">
        <v>3546</v>
      </c>
    </row>
    <row r="258" spans="1:27" ht="14.25">
      <c r="A258" s="3168">
        <v>257</v>
      </c>
      <c r="B258" s="3168" t="s">
        <v>3522</v>
      </c>
      <c r="C258" s="3168" t="s">
        <v>3432</v>
      </c>
      <c r="D258" s="3168">
        <v>94.98</v>
      </c>
      <c r="E258" s="3168">
        <v>33.17</v>
      </c>
      <c r="F258" s="3168" t="s">
        <v>3540</v>
      </c>
      <c r="O258" s="3168">
        <v>257</v>
      </c>
      <c r="P258" s="3168" t="s">
        <v>3536</v>
      </c>
      <c r="Q258" s="3168">
        <v>-103</v>
      </c>
      <c r="R258" s="3168">
        <v>7.09</v>
      </c>
      <c r="S258" s="3168">
        <v>2.48</v>
      </c>
      <c r="T258" s="3167" t="s">
        <v>3544</v>
      </c>
      <c r="V258" s="3168">
        <v>257</v>
      </c>
      <c r="W258" s="3168" t="s">
        <v>3538</v>
      </c>
      <c r="X258" s="3168">
        <v>-1257</v>
      </c>
      <c r="Y258" s="3168">
        <v>25.39</v>
      </c>
      <c r="Z258" s="3168">
        <v>8.8699999999999992</v>
      </c>
      <c r="AA258" s="3167" t="s">
        <v>3546</v>
      </c>
    </row>
    <row r="259" spans="1:27" ht="14.25">
      <c r="A259" s="3168">
        <v>258</v>
      </c>
      <c r="B259" s="3168" t="s">
        <v>3522</v>
      </c>
      <c r="C259" s="3168" t="s">
        <v>3433</v>
      </c>
      <c r="D259" s="3168">
        <v>94.98</v>
      </c>
      <c r="E259" s="3168">
        <v>33.17</v>
      </c>
      <c r="F259" s="3168" t="s">
        <v>3540</v>
      </c>
      <c r="O259" s="3168">
        <v>258</v>
      </c>
      <c r="P259" s="3168" t="s">
        <v>3536</v>
      </c>
      <c r="Q259" s="3168">
        <v>-104</v>
      </c>
      <c r="R259" s="3168">
        <v>7.09</v>
      </c>
      <c r="S259" s="3168">
        <v>2.48</v>
      </c>
      <c r="T259" s="3167" t="s">
        <v>3544</v>
      </c>
      <c r="V259" s="3168">
        <v>258</v>
      </c>
      <c r="W259" s="3168" t="s">
        <v>3538</v>
      </c>
      <c r="X259" s="3168">
        <v>-1258</v>
      </c>
      <c r="Y259" s="3168">
        <v>25.39</v>
      </c>
      <c r="Z259" s="3168">
        <v>8.8699999999999992</v>
      </c>
      <c r="AA259" s="3167" t="s">
        <v>3546</v>
      </c>
    </row>
    <row r="260" spans="1:27" ht="14.25">
      <c r="A260" s="3168">
        <v>259</v>
      </c>
      <c r="B260" s="3168" t="s">
        <v>3522</v>
      </c>
      <c r="C260" s="3168" t="s">
        <v>3434</v>
      </c>
      <c r="D260" s="3168">
        <v>94.98</v>
      </c>
      <c r="E260" s="3168">
        <v>33.17</v>
      </c>
      <c r="F260" s="3168" t="s">
        <v>3540</v>
      </c>
      <c r="O260" s="3168">
        <v>259</v>
      </c>
      <c r="P260" s="3168" t="s">
        <v>3536</v>
      </c>
      <c r="Q260" s="3168">
        <v>-105</v>
      </c>
      <c r="R260" s="3168">
        <v>16.97</v>
      </c>
      <c r="S260" s="3168">
        <v>5.93</v>
      </c>
      <c r="T260" s="3167" t="s">
        <v>3544</v>
      </c>
      <c r="V260" s="3168">
        <v>259</v>
      </c>
      <c r="W260" s="3168" t="s">
        <v>3538</v>
      </c>
      <c r="X260" s="3168">
        <v>-1259</v>
      </c>
      <c r="Y260" s="3168">
        <v>25.39</v>
      </c>
      <c r="Z260" s="3168">
        <v>8.8699999999999992</v>
      </c>
      <c r="AA260" s="3167" t="s">
        <v>3546</v>
      </c>
    </row>
    <row r="261" spans="1:27" ht="14.25">
      <c r="A261" s="3168">
        <v>260</v>
      </c>
      <c r="B261" s="3168" t="s">
        <v>3522</v>
      </c>
      <c r="C261" s="3168" t="s">
        <v>3447</v>
      </c>
      <c r="D261" s="3168">
        <v>94.98</v>
      </c>
      <c r="E261" s="3168">
        <v>33.17</v>
      </c>
      <c r="F261" s="3168" t="s">
        <v>3540</v>
      </c>
      <c r="R261" s="3168">
        <f>SUM(R2:R260)</f>
        <v>2565.2700000000004</v>
      </c>
      <c r="S261" s="3168">
        <f>SUM(S2:S260)</f>
        <v>895.81</v>
      </c>
      <c r="V261" s="3168">
        <v>260</v>
      </c>
      <c r="W261" s="3168" t="s">
        <v>3538</v>
      </c>
      <c r="X261" s="3168">
        <v>-1260</v>
      </c>
      <c r="Y261" s="3168">
        <v>25.39</v>
      </c>
      <c r="Z261" s="3168">
        <v>8.8699999999999992</v>
      </c>
      <c r="AA261" s="3167" t="s">
        <v>3546</v>
      </c>
    </row>
    <row r="262" spans="1:27" ht="14.25">
      <c r="A262" s="3168">
        <v>261</v>
      </c>
      <c r="B262" s="3168" t="s">
        <v>3522</v>
      </c>
      <c r="C262" s="3168" t="s">
        <v>3498</v>
      </c>
      <c r="D262" s="3168">
        <v>94.98</v>
      </c>
      <c r="E262" s="3168">
        <v>33.17</v>
      </c>
      <c r="F262" s="3168" t="s">
        <v>3540</v>
      </c>
      <c r="V262" s="3168">
        <v>261</v>
      </c>
      <c r="W262" s="3168" t="s">
        <v>3538</v>
      </c>
      <c r="X262" s="3168">
        <v>-1261</v>
      </c>
      <c r="Y262" s="3168">
        <v>25.39</v>
      </c>
      <c r="Z262" s="3168">
        <v>8.8699999999999992</v>
      </c>
      <c r="AA262" s="3167" t="s">
        <v>3546</v>
      </c>
    </row>
    <row r="263" spans="1:27" ht="14.25">
      <c r="A263" s="3168">
        <v>262</v>
      </c>
      <c r="B263" s="3168" t="s">
        <v>3522</v>
      </c>
      <c r="C263" s="3168" t="s">
        <v>3435</v>
      </c>
      <c r="D263" s="3168">
        <v>94.98</v>
      </c>
      <c r="E263" s="3168">
        <v>33.17</v>
      </c>
      <c r="F263" s="3168" t="s">
        <v>3540</v>
      </c>
      <c r="V263" s="3168">
        <v>262</v>
      </c>
      <c r="W263" s="3168" t="s">
        <v>3538</v>
      </c>
      <c r="X263" s="3168">
        <v>-1262</v>
      </c>
      <c r="Y263" s="3168">
        <v>25.39</v>
      </c>
      <c r="Z263" s="3168">
        <v>8.8699999999999992</v>
      </c>
      <c r="AA263" s="3167" t="s">
        <v>3546</v>
      </c>
    </row>
    <row r="264" spans="1:27" ht="14.25">
      <c r="A264" s="3168">
        <v>263</v>
      </c>
      <c r="B264" s="3168" t="s">
        <v>3522</v>
      </c>
      <c r="C264" s="3168" t="s">
        <v>3499</v>
      </c>
      <c r="D264" s="3168">
        <v>94.98</v>
      </c>
      <c r="E264" s="3168">
        <v>33.17</v>
      </c>
      <c r="F264" s="3168" t="s">
        <v>3540</v>
      </c>
      <c r="V264" s="3168">
        <v>263</v>
      </c>
      <c r="W264" s="3168" t="s">
        <v>3538</v>
      </c>
      <c r="X264" s="3168">
        <v>-1263</v>
      </c>
      <c r="Y264" s="3168">
        <v>25.39</v>
      </c>
      <c r="Z264" s="3168">
        <v>8.8699999999999992</v>
      </c>
      <c r="AA264" s="3167" t="s">
        <v>3546</v>
      </c>
    </row>
    <row r="265" spans="1:27" ht="14.25">
      <c r="A265" s="3168">
        <v>264</v>
      </c>
      <c r="B265" s="3168" t="s">
        <v>3522</v>
      </c>
      <c r="C265" s="3168" t="s">
        <v>3500</v>
      </c>
      <c r="D265" s="3168">
        <v>94.98</v>
      </c>
      <c r="E265" s="3168">
        <v>33.17</v>
      </c>
      <c r="F265" s="3168" t="s">
        <v>3540</v>
      </c>
      <c r="V265" s="3168">
        <v>264</v>
      </c>
      <c r="W265" s="3168" t="s">
        <v>3538</v>
      </c>
      <c r="X265" s="3168">
        <v>-1264</v>
      </c>
      <c r="Y265" s="3168">
        <v>25.39</v>
      </c>
      <c r="Z265" s="3168">
        <v>8.8699999999999992</v>
      </c>
      <c r="AA265" s="3167" t="s">
        <v>3546</v>
      </c>
    </row>
    <row r="266" spans="1:27" ht="14.25">
      <c r="A266" s="3168">
        <v>265</v>
      </c>
      <c r="B266" s="3168" t="s">
        <v>3522</v>
      </c>
      <c r="C266" s="3168" t="s">
        <v>3448</v>
      </c>
      <c r="D266" s="3168">
        <v>94.98</v>
      </c>
      <c r="E266" s="3168">
        <v>33.17</v>
      </c>
      <c r="F266" s="3168" t="s">
        <v>3540</v>
      </c>
      <c r="V266" s="3168">
        <v>265</v>
      </c>
      <c r="W266" s="3168" t="s">
        <v>3538</v>
      </c>
      <c r="X266" s="3168">
        <v>-1265</v>
      </c>
      <c r="Y266" s="3168">
        <v>25.39</v>
      </c>
      <c r="Z266" s="3168">
        <v>8.8699999999999992</v>
      </c>
      <c r="AA266" s="3167" t="s">
        <v>3546</v>
      </c>
    </row>
    <row r="267" spans="1:27" ht="14.25">
      <c r="A267" s="3168">
        <v>266</v>
      </c>
      <c r="B267" s="3168" t="s">
        <v>3522</v>
      </c>
      <c r="C267" s="3168" t="s">
        <v>3501</v>
      </c>
      <c r="D267" s="3168">
        <v>94.98</v>
      </c>
      <c r="E267" s="3168">
        <v>33.17</v>
      </c>
      <c r="F267" s="3168" t="s">
        <v>3540</v>
      </c>
      <c r="V267" s="3168">
        <v>266</v>
      </c>
      <c r="W267" s="3168" t="s">
        <v>3538</v>
      </c>
      <c r="X267" s="3168">
        <v>-1266</v>
      </c>
      <c r="Y267" s="3168">
        <v>25.39</v>
      </c>
      <c r="Z267" s="3168">
        <v>8.8699999999999992</v>
      </c>
      <c r="AA267" s="3167" t="s">
        <v>3546</v>
      </c>
    </row>
    <row r="268" spans="1:27" ht="14.25">
      <c r="A268" s="3168">
        <v>267</v>
      </c>
      <c r="B268" s="3168" t="s">
        <v>3522</v>
      </c>
      <c r="C268" s="3168" t="s">
        <v>3502</v>
      </c>
      <c r="D268" s="3168">
        <v>94.98</v>
      </c>
      <c r="E268" s="3168">
        <v>33.17</v>
      </c>
      <c r="F268" s="3168" t="s">
        <v>3540</v>
      </c>
      <c r="V268" s="3168">
        <v>267</v>
      </c>
      <c r="W268" s="3168" t="s">
        <v>3538</v>
      </c>
      <c r="X268" s="3168">
        <v>-1267</v>
      </c>
      <c r="Y268" s="3168">
        <v>25.39</v>
      </c>
      <c r="Z268" s="3168">
        <v>8.8699999999999992</v>
      </c>
      <c r="AA268" s="3167" t="s">
        <v>3546</v>
      </c>
    </row>
    <row r="269" spans="1:27" ht="14.25">
      <c r="A269" s="3168">
        <v>268</v>
      </c>
      <c r="B269" s="3168" t="s">
        <v>3522</v>
      </c>
      <c r="C269" s="3168" t="s">
        <v>3503</v>
      </c>
      <c r="D269" s="3168">
        <v>94.98</v>
      </c>
      <c r="E269" s="3168">
        <v>33.17</v>
      </c>
      <c r="F269" s="3168" t="s">
        <v>3540</v>
      </c>
      <c r="V269" s="3168">
        <v>268</v>
      </c>
      <c r="W269" s="3168" t="s">
        <v>3538</v>
      </c>
      <c r="X269" s="3168">
        <v>-1268</v>
      </c>
      <c r="Y269" s="3168">
        <v>25.39</v>
      </c>
      <c r="Z269" s="3168">
        <v>8.8699999999999992</v>
      </c>
      <c r="AA269" s="3167" t="s">
        <v>3546</v>
      </c>
    </row>
    <row r="270" spans="1:27" ht="14.25">
      <c r="A270" s="3168">
        <v>269</v>
      </c>
      <c r="B270" s="3168" t="s">
        <v>3522</v>
      </c>
      <c r="C270" s="3168" t="s">
        <v>3438</v>
      </c>
      <c r="D270" s="3168">
        <v>94.98</v>
      </c>
      <c r="E270" s="3168">
        <v>33.17</v>
      </c>
      <c r="F270" s="3168" t="s">
        <v>3540</v>
      </c>
      <c r="V270" s="3168">
        <v>269</v>
      </c>
      <c r="W270" s="3168" t="s">
        <v>3538</v>
      </c>
      <c r="X270" s="3168">
        <v>-1269</v>
      </c>
      <c r="Y270" s="3168">
        <v>25.39</v>
      </c>
      <c r="Z270" s="3168">
        <v>8.8699999999999992</v>
      </c>
      <c r="AA270" s="3167" t="s">
        <v>3546</v>
      </c>
    </row>
    <row r="271" spans="1:27" ht="14.25">
      <c r="A271" s="3168">
        <v>270</v>
      </c>
      <c r="B271" s="3168" t="s">
        <v>3522</v>
      </c>
      <c r="C271" s="3168" t="s">
        <v>3449</v>
      </c>
      <c r="D271" s="3168">
        <v>94.98</v>
      </c>
      <c r="E271" s="3168">
        <v>33.17</v>
      </c>
      <c r="F271" s="3168" t="s">
        <v>3540</v>
      </c>
      <c r="V271" s="3168">
        <v>270</v>
      </c>
      <c r="W271" s="3168" t="s">
        <v>3538</v>
      </c>
      <c r="X271" s="3168">
        <v>-1270</v>
      </c>
      <c r="Y271" s="3168">
        <v>25.39</v>
      </c>
      <c r="Z271" s="3168">
        <v>8.8699999999999992</v>
      </c>
      <c r="AA271" s="3167" t="s">
        <v>3546</v>
      </c>
    </row>
    <row r="272" spans="1:27" ht="14.25">
      <c r="A272" s="3168">
        <v>271</v>
      </c>
      <c r="B272" s="3168" t="s">
        <v>3522</v>
      </c>
      <c r="C272" s="3168" t="s">
        <v>3504</v>
      </c>
      <c r="D272" s="3168">
        <v>94.98</v>
      </c>
      <c r="E272" s="3168">
        <v>33.17</v>
      </c>
      <c r="F272" s="3168" t="s">
        <v>3540</v>
      </c>
      <c r="V272" s="3168">
        <v>271</v>
      </c>
      <c r="W272" s="3168" t="s">
        <v>3538</v>
      </c>
      <c r="X272" s="3168">
        <v>-1271</v>
      </c>
      <c r="Y272" s="3168">
        <v>25.39</v>
      </c>
      <c r="Z272" s="3168">
        <v>8.8699999999999992</v>
      </c>
      <c r="AA272" s="3167" t="s">
        <v>3546</v>
      </c>
    </row>
    <row r="273" spans="1:27" ht="14.25">
      <c r="A273" s="3168">
        <v>272</v>
      </c>
      <c r="B273" s="3168" t="s">
        <v>3522</v>
      </c>
      <c r="C273" s="3168" t="s">
        <v>3440</v>
      </c>
      <c r="D273" s="3168">
        <v>94.98</v>
      </c>
      <c r="E273" s="3168">
        <v>33.17</v>
      </c>
      <c r="F273" s="3168" t="s">
        <v>3540</v>
      </c>
      <c r="V273" s="3168">
        <v>272</v>
      </c>
      <c r="W273" s="3168" t="s">
        <v>3538</v>
      </c>
      <c r="X273" s="3168">
        <v>-1272</v>
      </c>
      <c r="Y273" s="3168">
        <v>25.39</v>
      </c>
      <c r="Z273" s="3168">
        <v>8.8699999999999992</v>
      </c>
      <c r="AA273" s="3167" t="s">
        <v>3546</v>
      </c>
    </row>
    <row r="274" spans="1:27" ht="14.25">
      <c r="A274" s="3168">
        <v>273</v>
      </c>
      <c r="B274" s="3168" t="s">
        <v>3522</v>
      </c>
      <c r="C274" s="3168" t="s">
        <v>3473</v>
      </c>
      <c r="D274" s="3168">
        <v>94.98</v>
      </c>
      <c r="E274" s="3168">
        <v>33.17</v>
      </c>
      <c r="F274" s="3168" t="s">
        <v>3540</v>
      </c>
      <c r="V274" s="3168">
        <v>273</v>
      </c>
      <c r="W274" s="3168" t="s">
        <v>3538</v>
      </c>
      <c r="X274" s="3168">
        <v>-1273</v>
      </c>
      <c r="Y274" s="3168">
        <v>25.39</v>
      </c>
      <c r="Z274" s="3168">
        <v>8.8699999999999992</v>
      </c>
      <c r="AA274" s="3167" t="s">
        <v>3546</v>
      </c>
    </row>
    <row r="275" spans="1:27" ht="14.25">
      <c r="A275" s="3168">
        <v>274</v>
      </c>
      <c r="B275" s="3168" t="s">
        <v>3522</v>
      </c>
      <c r="C275" s="3168" t="s">
        <v>3505</v>
      </c>
      <c r="D275" s="3168">
        <v>94.98</v>
      </c>
      <c r="E275" s="3168">
        <v>33.17</v>
      </c>
      <c r="F275" s="3168" t="s">
        <v>3540</v>
      </c>
      <c r="V275" s="3168">
        <v>274</v>
      </c>
      <c r="W275" s="3168" t="s">
        <v>3538</v>
      </c>
      <c r="X275" s="3168">
        <v>-1274</v>
      </c>
      <c r="Y275" s="3168">
        <v>25.39</v>
      </c>
      <c r="Z275" s="3168">
        <v>8.8699999999999992</v>
      </c>
      <c r="AA275" s="3167" t="s">
        <v>3546</v>
      </c>
    </row>
    <row r="276" spans="1:27" ht="14.25">
      <c r="A276" s="3168">
        <v>275</v>
      </c>
      <c r="B276" s="3168" t="s">
        <v>3522</v>
      </c>
      <c r="C276" s="3168" t="s">
        <v>3506</v>
      </c>
      <c r="D276" s="3168">
        <v>94.98</v>
      </c>
      <c r="E276" s="3168">
        <v>33.17</v>
      </c>
      <c r="F276" s="3168" t="s">
        <v>3540</v>
      </c>
      <c r="V276" s="3168">
        <v>275</v>
      </c>
      <c r="W276" s="3168" t="s">
        <v>3538</v>
      </c>
      <c r="X276" s="3168">
        <v>-1275</v>
      </c>
      <c r="Y276" s="3168">
        <v>25.39</v>
      </c>
      <c r="Z276" s="3168">
        <v>8.8699999999999992</v>
      </c>
      <c r="AA276" s="3167" t="s">
        <v>3546</v>
      </c>
    </row>
    <row r="277" spans="1:27" ht="14.25">
      <c r="A277" s="3168">
        <v>276</v>
      </c>
      <c r="B277" s="3168" t="s">
        <v>3522</v>
      </c>
      <c r="C277" s="3168" t="s">
        <v>3507</v>
      </c>
      <c r="D277" s="3168">
        <v>94.98</v>
      </c>
      <c r="E277" s="3168">
        <v>33.17</v>
      </c>
      <c r="F277" s="3168" t="s">
        <v>3540</v>
      </c>
      <c r="V277" s="3168">
        <v>276</v>
      </c>
      <c r="W277" s="3168" t="s">
        <v>3538</v>
      </c>
      <c r="X277" s="3168">
        <v>-1276</v>
      </c>
      <c r="Y277" s="3168">
        <v>25.39</v>
      </c>
      <c r="Z277" s="3168">
        <v>8.8699999999999992</v>
      </c>
      <c r="AA277" s="3167" t="s">
        <v>3546</v>
      </c>
    </row>
    <row r="278" spans="1:27" ht="14.25">
      <c r="A278" s="3168">
        <v>277</v>
      </c>
      <c r="B278" s="3168" t="s">
        <v>3522</v>
      </c>
      <c r="C278" s="3168" t="s">
        <v>3508</v>
      </c>
      <c r="D278" s="3168">
        <v>94.98</v>
      </c>
      <c r="E278" s="3168">
        <v>33.17</v>
      </c>
      <c r="F278" s="3168" t="s">
        <v>3540</v>
      </c>
      <c r="V278" s="3168">
        <v>277</v>
      </c>
      <c r="W278" s="3168" t="s">
        <v>3538</v>
      </c>
      <c r="X278" s="3168">
        <v>-1277</v>
      </c>
      <c r="Y278" s="3168">
        <v>25.39</v>
      </c>
      <c r="Z278" s="3168">
        <v>8.8699999999999992</v>
      </c>
      <c r="AA278" s="3167" t="s">
        <v>3546</v>
      </c>
    </row>
    <row r="279" spans="1:27" ht="14.25">
      <c r="A279" s="3168">
        <v>278</v>
      </c>
      <c r="B279" s="3168" t="s">
        <v>3522</v>
      </c>
      <c r="C279" s="3168" t="s">
        <v>3509</v>
      </c>
      <c r="D279" s="3168">
        <v>94.98</v>
      </c>
      <c r="E279" s="3168">
        <v>33.17</v>
      </c>
      <c r="F279" s="3168" t="s">
        <v>3540</v>
      </c>
      <c r="V279" s="3168">
        <v>278</v>
      </c>
      <c r="W279" s="3168" t="s">
        <v>3538</v>
      </c>
      <c r="X279" s="3168">
        <v>-1278</v>
      </c>
      <c r="Y279" s="3168">
        <v>25.39</v>
      </c>
      <c r="Z279" s="3168">
        <v>8.8699999999999992</v>
      </c>
      <c r="AA279" s="3167" t="s">
        <v>3546</v>
      </c>
    </row>
    <row r="280" spans="1:27" ht="14.25">
      <c r="A280" s="3168">
        <v>279</v>
      </c>
      <c r="B280" s="3168" t="s">
        <v>3522</v>
      </c>
      <c r="C280" s="3168" t="s">
        <v>3523</v>
      </c>
      <c r="D280" s="3168">
        <v>94.95</v>
      </c>
      <c r="E280" s="3168">
        <v>33.159999999999997</v>
      </c>
      <c r="F280" s="3168" t="s">
        <v>3540</v>
      </c>
      <c r="V280" s="3168">
        <v>279</v>
      </c>
      <c r="W280" s="3168" t="s">
        <v>3538</v>
      </c>
      <c r="X280" s="3168">
        <v>-1279</v>
      </c>
      <c r="Y280" s="3168">
        <v>25.39</v>
      </c>
      <c r="Z280" s="3168">
        <v>8.8699999999999992</v>
      </c>
      <c r="AA280" s="3167" t="s">
        <v>3546</v>
      </c>
    </row>
    <row r="281" spans="1:27" ht="14.25">
      <c r="A281" s="3168">
        <v>280</v>
      </c>
      <c r="B281" s="3168" t="s">
        <v>3522</v>
      </c>
      <c r="C281" s="3168" t="s">
        <v>3524</v>
      </c>
      <c r="D281" s="3168">
        <v>95.31</v>
      </c>
      <c r="E281" s="3168">
        <v>33.28</v>
      </c>
      <c r="F281" s="3168" t="s">
        <v>3540</v>
      </c>
      <c r="V281" s="3168">
        <v>280</v>
      </c>
      <c r="W281" s="3168" t="s">
        <v>3538</v>
      </c>
      <c r="X281" s="3168">
        <v>-1280</v>
      </c>
      <c r="Y281" s="3168">
        <v>25.39</v>
      </c>
      <c r="Z281" s="3168">
        <v>8.8699999999999992</v>
      </c>
      <c r="AA281" s="3167" t="s">
        <v>3546</v>
      </c>
    </row>
    <row r="282" spans="1:27" ht="14.25">
      <c r="A282" s="3168">
        <v>281</v>
      </c>
      <c r="B282" s="3168" t="s">
        <v>3522</v>
      </c>
      <c r="C282" s="3168" t="s">
        <v>3525</v>
      </c>
      <c r="D282" s="3168">
        <v>94.95</v>
      </c>
      <c r="E282" s="3168">
        <v>33.159999999999997</v>
      </c>
      <c r="F282" s="3168" t="s">
        <v>3540</v>
      </c>
      <c r="V282" s="3168">
        <v>281</v>
      </c>
      <c r="W282" s="3168" t="s">
        <v>3538</v>
      </c>
      <c r="X282" s="3168">
        <v>-1281</v>
      </c>
      <c r="Y282" s="3168">
        <v>25.39</v>
      </c>
      <c r="Z282" s="3168">
        <v>8.8699999999999992</v>
      </c>
      <c r="AA282" s="3167" t="s">
        <v>3546</v>
      </c>
    </row>
    <row r="283" spans="1:27" ht="14.25">
      <c r="A283" s="3168">
        <v>282</v>
      </c>
      <c r="B283" s="3168" t="s">
        <v>3522</v>
      </c>
      <c r="C283" s="3168" t="s">
        <v>3526</v>
      </c>
      <c r="D283" s="3168">
        <v>95.31</v>
      </c>
      <c r="E283" s="3168">
        <v>33.28</v>
      </c>
      <c r="F283" s="3168" t="s">
        <v>3540</v>
      </c>
      <c r="V283" s="3168">
        <v>282</v>
      </c>
      <c r="W283" s="3168" t="s">
        <v>3538</v>
      </c>
      <c r="X283" s="3168">
        <v>-1282</v>
      </c>
      <c r="Y283" s="3168">
        <v>25.39</v>
      </c>
      <c r="Z283" s="3168">
        <v>8.8699999999999992</v>
      </c>
      <c r="AA283" s="3167" t="s">
        <v>3546</v>
      </c>
    </row>
    <row r="284" spans="1:27" ht="14.25">
      <c r="A284" s="3168">
        <v>283</v>
      </c>
      <c r="B284" s="3168" t="s">
        <v>3522</v>
      </c>
      <c r="C284" s="3168" t="s">
        <v>3527</v>
      </c>
      <c r="D284" s="3168">
        <v>94.95</v>
      </c>
      <c r="E284" s="3168">
        <v>33.159999999999997</v>
      </c>
      <c r="F284" s="3168" t="s">
        <v>3540</v>
      </c>
      <c r="V284" s="3168">
        <v>283</v>
      </c>
      <c r="W284" s="3168" t="s">
        <v>3538</v>
      </c>
      <c r="X284" s="3168">
        <v>-1283</v>
      </c>
      <c r="Y284" s="3168">
        <v>25.39</v>
      </c>
      <c r="Z284" s="3168">
        <v>8.8699999999999992</v>
      </c>
      <c r="AA284" s="3167" t="s">
        <v>3546</v>
      </c>
    </row>
    <row r="285" spans="1:27" ht="14.25">
      <c r="A285" s="3168">
        <v>284</v>
      </c>
      <c r="B285" s="3168" t="s">
        <v>3522</v>
      </c>
      <c r="C285" s="3168" t="s">
        <v>3528</v>
      </c>
      <c r="D285" s="3168">
        <v>94.95</v>
      </c>
      <c r="E285" s="3168">
        <v>33.159999999999997</v>
      </c>
      <c r="F285" s="3168" t="s">
        <v>3540</v>
      </c>
      <c r="V285" s="3168">
        <v>284</v>
      </c>
      <c r="W285" s="3168" t="s">
        <v>3538</v>
      </c>
      <c r="X285" s="3168">
        <v>-1284</v>
      </c>
      <c r="Y285" s="3168">
        <v>25.39</v>
      </c>
      <c r="Z285" s="3168">
        <v>8.8699999999999992</v>
      </c>
      <c r="AA285" s="3167" t="s">
        <v>3546</v>
      </c>
    </row>
    <row r="286" spans="1:27" ht="14.25">
      <c r="A286" s="3168">
        <v>285</v>
      </c>
      <c r="B286" s="3168" t="s">
        <v>3522</v>
      </c>
      <c r="C286" s="3168" t="s">
        <v>3529</v>
      </c>
      <c r="D286" s="3168">
        <v>94.95</v>
      </c>
      <c r="E286" s="3168">
        <v>33.159999999999997</v>
      </c>
      <c r="F286" s="3168" t="s">
        <v>3540</v>
      </c>
      <c r="V286" s="3168">
        <v>285</v>
      </c>
      <c r="W286" s="3168" t="s">
        <v>3538</v>
      </c>
      <c r="X286" s="3168">
        <v>-1285</v>
      </c>
      <c r="Y286" s="3168">
        <v>25.39</v>
      </c>
      <c r="Z286" s="3168">
        <v>8.8699999999999992</v>
      </c>
      <c r="AA286" s="3167" t="s">
        <v>3546</v>
      </c>
    </row>
    <row r="287" spans="1:27" ht="14.25">
      <c r="A287" s="3168">
        <v>286</v>
      </c>
      <c r="B287" s="3168" t="s">
        <v>3522</v>
      </c>
      <c r="C287" s="3168" t="s">
        <v>3530</v>
      </c>
      <c r="D287" s="3168">
        <v>94.95</v>
      </c>
      <c r="E287" s="3168">
        <v>33.159999999999997</v>
      </c>
      <c r="F287" s="3168" t="s">
        <v>3540</v>
      </c>
      <c r="V287" s="3168">
        <v>286</v>
      </c>
      <c r="W287" s="3168" t="s">
        <v>3538</v>
      </c>
      <c r="X287" s="3168">
        <v>-1286</v>
      </c>
      <c r="Y287" s="3168">
        <v>25.39</v>
      </c>
      <c r="Z287" s="3168">
        <v>8.8699999999999992</v>
      </c>
      <c r="AA287" s="3167" t="s">
        <v>3546</v>
      </c>
    </row>
    <row r="288" spans="1:27" ht="14.25">
      <c r="A288" s="3168">
        <v>287</v>
      </c>
      <c r="B288" s="3168" t="s">
        <v>3522</v>
      </c>
      <c r="C288" s="3168" t="s">
        <v>3531</v>
      </c>
      <c r="D288" s="3168">
        <v>95.31</v>
      </c>
      <c r="E288" s="3168">
        <v>33.28</v>
      </c>
      <c r="F288" s="3168" t="s">
        <v>3540</v>
      </c>
      <c r="V288" s="3168">
        <v>287</v>
      </c>
      <c r="W288" s="3168" t="s">
        <v>3538</v>
      </c>
      <c r="X288" s="3168">
        <v>-1287</v>
      </c>
      <c r="Y288" s="3168">
        <v>25.39</v>
      </c>
      <c r="Z288" s="3168">
        <v>8.8699999999999992</v>
      </c>
      <c r="AA288" s="3167" t="s">
        <v>3546</v>
      </c>
    </row>
    <row r="289" spans="1:27" ht="14.25">
      <c r="A289" s="3168">
        <v>288</v>
      </c>
      <c r="B289" s="3168" t="s">
        <v>3532</v>
      </c>
      <c r="C289" s="3168" t="s">
        <v>3452</v>
      </c>
      <c r="D289" s="3168">
        <v>117.12</v>
      </c>
      <c r="E289" s="3168">
        <v>40.9</v>
      </c>
      <c r="F289" s="3168" t="s">
        <v>3540</v>
      </c>
      <c r="V289" s="3168">
        <v>288</v>
      </c>
      <c r="W289" s="3168" t="s">
        <v>3538</v>
      </c>
      <c r="X289" s="3168">
        <v>-1288</v>
      </c>
      <c r="Y289" s="3168">
        <v>25.39</v>
      </c>
      <c r="Z289" s="3168">
        <v>8.8699999999999992</v>
      </c>
      <c r="AA289" s="3167" t="s">
        <v>3546</v>
      </c>
    </row>
    <row r="290" spans="1:27" ht="14.25">
      <c r="A290" s="3168">
        <v>289</v>
      </c>
      <c r="B290" s="3168" t="s">
        <v>3532</v>
      </c>
      <c r="C290" s="3168" t="s">
        <v>3475</v>
      </c>
      <c r="D290" s="3168">
        <v>117.46</v>
      </c>
      <c r="E290" s="3168">
        <v>41.02</v>
      </c>
      <c r="F290" s="3168" t="s">
        <v>3540</v>
      </c>
      <c r="V290" s="3168">
        <v>289</v>
      </c>
      <c r="W290" s="3168" t="s">
        <v>3538</v>
      </c>
      <c r="X290" s="3168">
        <v>-1289</v>
      </c>
      <c r="Y290" s="3168">
        <v>25.39</v>
      </c>
      <c r="Z290" s="3168">
        <v>8.8699999999999992</v>
      </c>
      <c r="AA290" s="3167" t="s">
        <v>3546</v>
      </c>
    </row>
    <row r="291" spans="1:27" ht="14.25">
      <c r="A291" s="3168">
        <v>290</v>
      </c>
      <c r="B291" s="3168" t="s">
        <v>3532</v>
      </c>
      <c r="C291" s="3168" t="s">
        <v>3477</v>
      </c>
      <c r="D291" s="3168">
        <v>117.46</v>
      </c>
      <c r="E291" s="3168">
        <v>41.02</v>
      </c>
      <c r="F291" s="3168" t="s">
        <v>3540</v>
      </c>
      <c r="V291" s="3168">
        <v>290</v>
      </c>
      <c r="W291" s="3168" t="s">
        <v>3538</v>
      </c>
      <c r="X291" s="3168">
        <v>-1290</v>
      </c>
      <c r="Y291" s="3168">
        <v>25.39</v>
      </c>
      <c r="Z291" s="3168">
        <v>8.8699999999999992</v>
      </c>
      <c r="AA291" s="3167" t="s">
        <v>3546</v>
      </c>
    </row>
    <row r="292" spans="1:27" ht="14.25">
      <c r="A292" s="3168">
        <v>291</v>
      </c>
      <c r="B292" s="3168" t="s">
        <v>3532</v>
      </c>
      <c r="C292" s="3168" t="s">
        <v>3478</v>
      </c>
      <c r="D292" s="3168">
        <v>117.12</v>
      </c>
      <c r="E292" s="3168">
        <v>40.9</v>
      </c>
      <c r="F292" s="3168" t="s">
        <v>3540</v>
      </c>
      <c r="V292" s="3168">
        <v>291</v>
      </c>
      <c r="W292" s="3168" t="s">
        <v>3538</v>
      </c>
      <c r="X292" s="3168">
        <v>-1291</v>
      </c>
      <c r="Y292" s="3168">
        <v>25.39</v>
      </c>
      <c r="Z292" s="3168">
        <v>8.8699999999999992</v>
      </c>
      <c r="AA292" s="3167" t="s">
        <v>3546</v>
      </c>
    </row>
    <row r="293" spans="1:27" ht="14.25">
      <c r="A293" s="3168">
        <v>292</v>
      </c>
      <c r="B293" s="3168" t="s">
        <v>3532</v>
      </c>
      <c r="C293" s="3168" t="s">
        <v>3479</v>
      </c>
      <c r="D293" s="3168">
        <v>117.46</v>
      </c>
      <c r="E293" s="3168">
        <v>41.02</v>
      </c>
      <c r="F293" s="3168" t="s">
        <v>3540</v>
      </c>
      <c r="V293" s="3168">
        <v>292</v>
      </c>
      <c r="W293" s="3168" t="s">
        <v>3538</v>
      </c>
      <c r="X293" s="3168">
        <v>-1292</v>
      </c>
      <c r="Y293" s="3168">
        <v>25.39</v>
      </c>
      <c r="Z293" s="3168">
        <v>8.8699999999999992</v>
      </c>
      <c r="AA293" s="3167" t="s">
        <v>3546</v>
      </c>
    </row>
    <row r="294" spans="1:27" ht="14.25">
      <c r="A294" s="3168">
        <v>293</v>
      </c>
      <c r="B294" s="3168" t="s">
        <v>3532</v>
      </c>
      <c r="C294" s="3168" t="s">
        <v>3480</v>
      </c>
      <c r="D294" s="3168">
        <v>117.12</v>
      </c>
      <c r="E294" s="3168">
        <v>40.9</v>
      </c>
      <c r="F294" s="3168" t="s">
        <v>3540</v>
      </c>
      <c r="V294" s="3168">
        <v>293</v>
      </c>
      <c r="W294" s="3168" t="s">
        <v>3538</v>
      </c>
      <c r="X294" s="3168">
        <v>-1293</v>
      </c>
      <c r="Y294" s="3168">
        <v>25.39</v>
      </c>
      <c r="Z294" s="3168">
        <v>8.8699999999999992</v>
      </c>
      <c r="AA294" s="3167" t="s">
        <v>3546</v>
      </c>
    </row>
    <row r="295" spans="1:27" ht="14.25">
      <c r="A295" s="3168">
        <v>294</v>
      </c>
      <c r="B295" s="3168" t="s">
        <v>3532</v>
      </c>
      <c r="C295" s="3168" t="s">
        <v>3442</v>
      </c>
      <c r="D295" s="3168">
        <v>117.46</v>
      </c>
      <c r="E295" s="3168">
        <v>41.02</v>
      </c>
      <c r="F295" s="3168" t="s">
        <v>3540</v>
      </c>
      <c r="V295" s="3168">
        <v>294</v>
      </c>
      <c r="W295" s="3168" t="s">
        <v>3538</v>
      </c>
      <c r="X295" s="3168">
        <v>-1294</v>
      </c>
      <c r="Y295" s="3168">
        <v>25.39</v>
      </c>
      <c r="Z295" s="3168">
        <v>8.8699999999999992</v>
      </c>
      <c r="AA295" s="3167" t="s">
        <v>3546</v>
      </c>
    </row>
    <row r="296" spans="1:27" ht="14.25">
      <c r="A296" s="3168">
        <v>295</v>
      </c>
      <c r="B296" s="3168" t="s">
        <v>3532</v>
      </c>
      <c r="C296" s="3168" t="s">
        <v>3481</v>
      </c>
      <c r="D296" s="3168">
        <v>117.12</v>
      </c>
      <c r="E296" s="3168">
        <v>40.9</v>
      </c>
      <c r="F296" s="3168" t="s">
        <v>3540</v>
      </c>
      <c r="V296" s="3168">
        <v>295</v>
      </c>
      <c r="W296" s="3168" t="s">
        <v>3538</v>
      </c>
      <c r="X296" s="3168">
        <v>-1295</v>
      </c>
      <c r="Y296" s="3168">
        <v>25.39</v>
      </c>
      <c r="Z296" s="3168">
        <v>8.8699999999999992</v>
      </c>
      <c r="AA296" s="3167" t="s">
        <v>3546</v>
      </c>
    </row>
    <row r="297" spans="1:27" ht="14.25">
      <c r="A297" s="3168">
        <v>296</v>
      </c>
      <c r="B297" s="3168" t="s">
        <v>3532</v>
      </c>
      <c r="C297" s="3168" t="s">
        <v>3482</v>
      </c>
      <c r="D297" s="3168">
        <v>117.46</v>
      </c>
      <c r="E297" s="3168">
        <v>41.02</v>
      </c>
      <c r="F297" s="3168" t="s">
        <v>3540</v>
      </c>
      <c r="V297" s="3168">
        <v>296</v>
      </c>
      <c r="W297" s="3168" t="s">
        <v>3538</v>
      </c>
      <c r="X297" s="3168">
        <v>-1296</v>
      </c>
      <c r="Y297" s="3168">
        <v>25.39</v>
      </c>
      <c r="Z297" s="3168">
        <v>8.8699999999999992</v>
      </c>
      <c r="AA297" s="3167" t="s">
        <v>3546</v>
      </c>
    </row>
    <row r="298" spans="1:27" ht="14.25">
      <c r="A298" s="3168">
        <v>297</v>
      </c>
      <c r="B298" s="3168" t="s">
        <v>3532</v>
      </c>
      <c r="C298" s="3168" t="s">
        <v>3483</v>
      </c>
      <c r="D298" s="3168">
        <v>117.12</v>
      </c>
      <c r="E298" s="3168">
        <v>40.9</v>
      </c>
      <c r="F298" s="3168" t="s">
        <v>3540</v>
      </c>
      <c r="V298" s="3168">
        <v>297</v>
      </c>
      <c r="W298" s="3168" t="s">
        <v>3538</v>
      </c>
      <c r="X298" s="3168">
        <v>-1297</v>
      </c>
      <c r="Y298" s="3168">
        <v>25.39</v>
      </c>
      <c r="Z298" s="3168">
        <v>8.8699999999999992</v>
      </c>
      <c r="AA298" s="3167" t="s">
        <v>3546</v>
      </c>
    </row>
    <row r="299" spans="1:27" ht="14.25">
      <c r="A299" s="3168">
        <v>298</v>
      </c>
      <c r="B299" s="3168" t="s">
        <v>3532</v>
      </c>
      <c r="C299" s="3168" t="s">
        <v>3443</v>
      </c>
      <c r="D299" s="3168">
        <v>117.46</v>
      </c>
      <c r="E299" s="3168">
        <v>41.02</v>
      </c>
      <c r="F299" s="3168" t="s">
        <v>3540</v>
      </c>
      <c r="V299" s="3168">
        <v>298</v>
      </c>
      <c r="W299" s="3168" t="s">
        <v>3538</v>
      </c>
      <c r="X299" s="3168">
        <v>-1298</v>
      </c>
      <c r="Y299" s="3168">
        <v>25.39</v>
      </c>
      <c r="Z299" s="3168">
        <v>8.8699999999999992</v>
      </c>
      <c r="AA299" s="3167" t="s">
        <v>3546</v>
      </c>
    </row>
    <row r="300" spans="1:27" ht="14.25">
      <c r="A300" s="3168">
        <v>299</v>
      </c>
      <c r="B300" s="3168" t="s">
        <v>3532</v>
      </c>
      <c r="C300" s="3168" t="s">
        <v>3484</v>
      </c>
      <c r="D300" s="3168">
        <v>117.12</v>
      </c>
      <c r="E300" s="3168">
        <v>40.9</v>
      </c>
      <c r="F300" s="3168" t="s">
        <v>3540</v>
      </c>
      <c r="V300" s="3168">
        <v>299</v>
      </c>
      <c r="W300" s="3168" t="s">
        <v>3538</v>
      </c>
      <c r="X300" s="3168">
        <v>-1299</v>
      </c>
      <c r="Y300" s="3168">
        <v>25.39</v>
      </c>
      <c r="Z300" s="3168">
        <v>8.8699999999999992</v>
      </c>
      <c r="AA300" s="3167" t="s">
        <v>3546</v>
      </c>
    </row>
    <row r="301" spans="1:27" ht="14.25">
      <c r="A301" s="3168">
        <v>300</v>
      </c>
      <c r="B301" s="3168" t="s">
        <v>3532</v>
      </c>
      <c r="C301" s="3168" t="s">
        <v>3453</v>
      </c>
      <c r="D301" s="3168">
        <v>83.52</v>
      </c>
      <c r="E301" s="3168">
        <v>29.16</v>
      </c>
      <c r="F301" s="3168" t="s">
        <v>3540</v>
      </c>
      <c r="V301" s="3168">
        <v>300</v>
      </c>
      <c r="W301" s="3168" t="s">
        <v>3538</v>
      </c>
      <c r="X301" s="3168">
        <v>-1300</v>
      </c>
      <c r="Y301" s="3168">
        <v>25.39</v>
      </c>
      <c r="Z301" s="3168">
        <v>8.8699999999999992</v>
      </c>
      <c r="AA301" s="3167" t="s">
        <v>3546</v>
      </c>
    </row>
    <row r="302" spans="1:27" ht="14.25">
      <c r="A302" s="3168">
        <v>301</v>
      </c>
      <c r="B302" s="3168" t="s">
        <v>3532</v>
      </c>
      <c r="C302" s="3168" t="s">
        <v>3429</v>
      </c>
      <c r="D302" s="3168">
        <v>117.38</v>
      </c>
      <c r="E302" s="3168">
        <v>40.99</v>
      </c>
      <c r="F302" s="3168" t="s">
        <v>3540</v>
      </c>
      <c r="V302" s="3168">
        <v>301</v>
      </c>
      <c r="W302" s="3168" t="s">
        <v>3538</v>
      </c>
      <c r="X302" s="3168">
        <v>-1301</v>
      </c>
      <c r="Y302" s="3168">
        <v>25.39</v>
      </c>
      <c r="Z302" s="3168">
        <v>8.8699999999999992</v>
      </c>
      <c r="AA302" s="3167" t="s">
        <v>3546</v>
      </c>
    </row>
    <row r="303" spans="1:27" ht="14.25">
      <c r="A303" s="3168">
        <v>302</v>
      </c>
      <c r="B303" s="3168" t="s">
        <v>3532</v>
      </c>
      <c r="C303" s="3168" t="s">
        <v>3463</v>
      </c>
      <c r="D303" s="3168">
        <v>117.38</v>
      </c>
      <c r="E303" s="3168">
        <v>40.99</v>
      </c>
      <c r="F303" s="3168" t="s">
        <v>3540</v>
      </c>
      <c r="V303" s="3168">
        <v>302</v>
      </c>
      <c r="W303" s="3168" t="s">
        <v>3538</v>
      </c>
      <c r="X303" s="3168">
        <v>-1302</v>
      </c>
      <c r="Y303" s="3168">
        <v>25.39</v>
      </c>
      <c r="Z303" s="3168">
        <v>8.8699999999999992</v>
      </c>
      <c r="AA303" s="3167" t="s">
        <v>3546</v>
      </c>
    </row>
    <row r="304" spans="1:27" ht="14.25">
      <c r="A304" s="3168">
        <v>303</v>
      </c>
      <c r="B304" s="3168" t="s">
        <v>3532</v>
      </c>
      <c r="C304" s="3168" t="s">
        <v>3464</v>
      </c>
      <c r="D304" s="3168">
        <v>117.38</v>
      </c>
      <c r="E304" s="3168">
        <v>40.99</v>
      </c>
      <c r="F304" s="3168" t="s">
        <v>3540</v>
      </c>
      <c r="V304" s="3168">
        <v>303</v>
      </c>
      <c r="W304" s="3168" t="s">
        <v>3538</v>
      </c>
      <c r="X304" s="3168">
        <v>-1303</v>
      </c>
      <c r="Y304" s="3168">
        <v>25.39</v>
      </c>
      <c r="Z304" s="3168">
        <v>8.8699999999999992</v>
      </c>
      <c r="AA304" s="3167" t="s">
        <v>3546</v>
      </c>
    </row>
    <row r="305" spans="1:27" ht="14.25">
      <c r="A305" s="3168">
        <v>304</v>
      </c>
      <c r="B305" s="3168" t="s">
        <v>3532</v>
      </c>
      <c r="C305" s="3168" t="s">
        <v>3488</v>
      </c>
      <c r="D305" s="3168">
        <v>117.38</v>
      </c>
      <c r="E305" s="3168">
        <v>40.99</v>
      </c>
      <c r="F305" s="3168" t="s">
        <v>3540</v>
      </c>
      <c r="V305" s="3168">
        <v>304</v>
      </c>
      <c r="W305" s="3168" t="s">
        <v>3538</v>
      </c>
      <c r="X305" s="3168">
        <v>-1304</v>
      </c>
      <c r="Y305" s="3168">
        <v>25.39</v>
      </c>
      <c r="Z305" s="3168">
        <v>8.8699999999999992</v>
      </c>
      <c r="AA305" s="3167" t="s">
        <v>3546</v>
      </c>
    </row>
    <row r="306" spans="1:27" ht="14.25">
      <c r="A306" s="3168">
        <v>305</v>
      </c>
      <c r="B306" s="3168" t="s">
        <v>3532</v>
      </c>
      <c r="C306" s="3168" t="s">
        <v>3489</v>
      </c>
      <c r="D306" s="3168">
        <v>117.38</v>
      </c>
      <c r="E306" s="3168">
        <v>40.99</v>
      </c>
      <c r="F306" s="3168" t="s">
        <v>3540</v>
      </c>
      <c r="V306" s="3168">
        <v>305</v>
      </c>
      <c r="W306" s="3168" t="s">
        <v>3538</v>
      </c>
      <c r="X306" s="3168">
        <v>-1305</v>
      </c>
      <c r="Y306" s="3168">
        <v>25.39</v>
      </c>
      <c r="Z306" s="3168">
        <v>8.8699999999999992</v>
      </c>
      <c r="AA306" s="3167" t="s">
        <v>3546</v>
      </c>
    </row>
    <row r="307" spans="1:27" ht="14.25">
      <c r="A307" s="3168">
        <v>306</v>
      </c>
      <c r="B307" s="3168" t="s">
        <v>3532</v>
      </c>
      <c r="C307" s="3168" t="s">
        <v>3520</v>
      </c>
      <c r="D307" s="3168">
        <v>117.38</v>
      </c>
      <c r="E307" s="3168">
        <v>40.99</v>
      </c>
      <c r="F307" s="3168" t="s">
        <v>3540</v>
      </c>
      <c r="V307" s="3168">
        <v>306</v>
      </c>
      <c r="W307" s="3168" t="s">
        <v>3538</v>
      </c>
      <c r="X307" s="3168">
        <v>-1306</v>
      </c>
      <c r="Y307" s="3168">
        <v>25.39</v>
      </c>
      <c r="Z307" s="3168">
        <v>8.8699999999999992</v>
      </c>
      <c r="AA307" s="3167" t="s">
        <v>3546</v>
      </c>
    </row>
    <row r="308" spans="1:27" ht="14.25">
      <c r="A308" s="3168">
        <v>307</v>
      </c>
      <c r="B308" s="3168" t="s">
        <v>3532</v>
      </c>
      <c r="C308" s="3168" t="s">
        <v>3490</v>
      </c>
      <c r="D308" s="3168">
        <v>117.38</v>
      </c>
      <c r="E308" s="3168">
        <v>40.99</v>
      </c>
      <c r="F308" s="3168" t="s">
        <v>3540</v>
      </c>
      <c r="V308" s="3168">
        <v>307</v>
      </c>
      <c r="W308" s="3168" t="s">
        <v>3538</v>
      </c>
      <c r="X308" s="3168">
        <v>-1307</v>
      </c>
      <c r="Y308" s="3168">
        <v>25.39</v>
      </c>
      <c r="Z308" s="3168">
        <v>8.8699999999999992</v>
      </c>
      <c r="AA308" s="3167" t="s">
        <v>3546</v>
      </c>
    </row>
    <row r="309" spans="1:27" ht="14.25">
      <c r="A309" s="3168">
        <v>308</v>
      </c>
      <c r="B309" s="3168" t="s">
        <v>3532</v>
      </c>
      <c r="C309" s="3168" t="s">
        <v>3491</v>
      </c>
      <c r="D309" s="3168">
        <v>117.38</v>
      </c>
      <c r="E309" s="3168">
        <v>40.99</v>
      </c>
      <c r="F309" s="3168" t="s">
        <v>3540</v>
      </c>
      <c r="V309" s="3168">
        <v>308</v>
      </c>
      <c r="W309" s="3168" t="s">
        <v>3538</v>
      </c>
      <c r="X309" s="3168">
        <v>-1308</v>
      </c>
      <c r="Y309" s="3168">
        <v>25.39</v>
      </c>
      <c r="Z309" s="3168">
        <v>8.8699999999999992</v>
      </c>
      <c r="AA309" s="3167" t="s">
        <v>3546</v>
      </c>
    </row>
    <row r="310" spans="1:27" ht="14.25">
      <c r="A310" s="3168">
        <v>309</v>
      </c>
      <c r="B310" s="3168" t="s">
        <v>3532</v>
      </c>
      <c r="C310" s="3168" t="s">
        <v>3492</v>
      </c>
      <c r="D310" s="3168">
        <v>117.38</v>
      </c>
      <c r="E310" s="3168">
        <v>40.99</v>
      </c>
      <c r="F310" s="3168" t="s">
        <v>3540</v>
      </c>
      <c r="V310" s="3168">
        <v>309</v>
      </c>
      <c r="W310" s="3168" t="s">
        <v>3538</v>
      </c>
      <c r="X310" s="3168">
        <v>-1309</v>
      </c>
      <c r="Y310" s="3168">
        <v>25.39</v>
      </c>
      <c r="Z310" s="3168">
        <v>8.8699999999999992</v>
      </c>
      <c r="AA310" s="3167" t="s">
        <v>3546</v>
      </c>
    </row>
    <row r="311" spans="1:27" ht="14.25">
      <c r="A311" s="3168">
        <v>310</v>
      </c>
      <c r="B311" s="3168" t="s">
        <v>3532</v>
      </c>
      <c r="C311" s="3168" t="s">
        <v>3493</v>
      </c>
      <c r="D311" s="3168">
        <v>117.38</v>
      </c>
      <c r="E311" s="3168">
        <v>40.99</v>
      </c>
      <c r="F311" s="3168" t="s">
        <v>3540</v>
      </c>
      <c r="V311" s="3168">
        <v>310</v>
      </c>
      <c r="W311" s="3168" t="s">
        <v>3538</v>
      </c>
      <c r="X311" s="3168">
        <v>-1310</v>
      </c>
      <c r="Y311" s="3168">
        <v>25.39</v>
      </c>
      <c r="Z311" s="3168">
        <v>8.8699999999999992</v>
      </c>
      <c r="AA311" s="3167" t="s">
        <v>3546</v>
      </c>
    </row>
    <row r="312" spans="1:27" ht="14.25">
      <c r="A312" s="3168">
        <v>311</v>
      </c>
      <c r="B312" s="3168" t="s">
        <v>3532</v>
      </c>
      <c r="C312" s="3168" t="s">
        <v>3494</v>
      </c>
      <c r="D312" s="3168">
        <v>117.38</v>
      </c>
      <c r="E312" s="3168">
        <v>40.99</v>
      </c>
      <c r="F312" s="3168" t="s">
        <v>3540</v>
      </c>
      <c r="V312" s="3168">
        <v>311</v>
      </c>
      <c r="W312" s="3168" t="s">
        <v>3538</v>
      </c>
      <c r="X312" s="3168">
        <v>-1311</v>
      </c>
      <c r="Y312" s="3168">
        <v>25.39</v>
      </c>
      <c r="Z312" s="3168">
        <v>8.8699999999999992</v>
      </c>
      <c r="AA312" s="3167" t="s">
        <v>3546</v>
      </c>
    </row>
    <row r="313" spans="1:27" ht="14.25">
      <c r="A313" s="3168">
        <v>312</v>
      </c>
      <c r="B313" s="3168" t="s">
        <v>3532</v>
      </c>
      <c r="C313" s="3168" t="s">
        <v>3495</v>
      </c>
      <c r="D313" s="3168">
        <v>117.38</v>
      </c>
      <c r="E313" s="3168">
        <v>40.99</v>
      </c>
      <c r="F313" s="3168" t="s">
        <v>3540</v>
      </c>
      <c r="V313" s="3168">
        <v>312</v>
      </c>
      <c r="W313" s="3168" t="s">
        <v>3538</v>
      </c>
      <c r="X313" s="3168">
        <v>-1312</v>
      </c>
      <c r="Y313" s="3168">
        <v>25.39</v>
      </c>
      <c r="Z313" s="3168">
        <v>8.8699999999999992</v>
      </c>
      <c r="AA313" s="3167" t="s">
        <v>3546</v>
      </c>
    </row>
    <row r="314" spans="1:27" ht="14.25">
      <c r="A314" s="3168">
        <v>313</v>
      </c>
      <c r="B314" s="3168" t="s">
        <v>3532</v>
      </c>
      <c r="C314" s="3168" t="s">
        <v>3496</v>
      </c>
      <c r="D314" s="3168">
        <v>80.34</v>
      </c>
      <c r="E314" s="3168">
        <v>28.05</v>
      </c>
      <c r="F314" s="3168" t="s">
        <v>3540</v>
      </c>
      <c r="V314" s="3168">
        <v>313</v>
      </c>
      <c r="W314" s="3168" t="s">
        <v>3538</v>
      </c>
      <c r="X314" s="3168">
        <v>-1313</v>
      </c>
      <c r="Y314" s="3168">
        <v>25.39</v>
      </c>
      <c r="Z314" s="3168">
        <v>8.8699999999999992</v>
      </c>
      <c r="AA314" s="3167" t="s">
        <v>3546</v>
      </c>
    </row>
    <row r="315" spans="1:27" ht="14.25">
      <c r="A315" s="3168">
        <v>314</v>
      </c>
      <c r="B315" s="3168" t="s">
        <v>3532</v>
      </c>
      <c r="C315" s="3168" t="s">
        <v>3447</v>
      </c>
      <c r="D315" s="3168">
        <v>117.11</v>
      </c>
      <c r="E315" s="3168">
        <v>40.89</v>
      </c>
      <c r="F315" s="3168" t="s">
        <v>3540</v>
      </c>
      <c r="V315" s="3168">
        <v>314</v>
      </c>
      <c r="W315" s="3168" t="s">
        <v>3538</v>
      </c>
      <c r="X315" s="3168">
        <v>-1314</v>
      </c>
      <c r="Y315" s="3168">
        <v>25.39</v>
      </c>
      <c r="Z315" s="3168">
        <v>8.8699999999999992</v>
      </c>
      <c r="AA315" s="3167" t="s">
        <v>3546</v>
      </c>
    </row>
    <row r="316" spans="1:27" ht="14.25">
      <c r="A316" s="3168">
        <v>315</v>
      </c>
      <c r="B316" s="3168" t="s">
        <v>3532</v>
      </c>
      <c r="C316" s="3168" t="s">
        <v>3498</v>
      </c>
      <c r="D316" s="3168">
        <v>97.15</v>
      </c>
      <c r="E316" s="3168">
        <v>33.92</v>
      </c>
      <c r="F316" s="3168" t="s">
        <v>3540</v>
      </c>
      <c r="V316" s="3168">
        <v>315</v>
      </c>
      <c r="W316" s="3168" t="s">
        <v>3538</v>
      </c>
      <c r="X316" s="3168">
        <v>-1315</v>
      </c>
      <c r="Y316" s="3168">
        <v>25.39</v>
      </c>
      <c r="Z316" s="3168">
        <v>8.8699999999999992</v>
      </c>
      <c r="AA316" s="3167" t="s">
        <v>3546</v>
      </c>
    </row>
    <row r="317" spans="1:27" ht="14.25">
      <c r="A317" s="3168">
        <v>316</v>
      </c>
      <c r="B317" s="3168" t="s">
        <v>3532</v>
      </c>
      <c r="C317" s="3168" t="s">
        <v>3435</v>
      </c>
      <c r="D317" s="3168">
        <v>117.11</v>
      </c>
      <c r="E317" s="3168">
        <v>40.89</v>
      </c>
      <c r="F317" s="3168" t="s">
        <v>3540</v>
      </c>
      <c r="V317" s="3168">
        <v>316</v>
      </c>
      <c r="W317" s="3168" t="s">
        <v>3538</v>
      </c>
      <c r="X317" s="3168">
        <v>-1316</v>
      </c>
      <c r="Y317" s="3168">
        <v>25.39</v>
      </c>
      <c r="Z317" s="3168">
        <v>8.8699999999999992</v>
      </c>
      <c r="AA317" s="3167" t="s">
        <v>3546</v>
      </c>
    </row>
    <row r="318" spans="1:27" ht="14.25">
      <c r="A318" s="3168">
        <v>317</v>
      </c>
      <c r="B318" s="3168" t="s">
        <v>3532</v>
      </c>
      <c r="C318" s="3168" t="s">
        <v>3499</v>
      </c>
      <c r="D318" s="3168">
        <v>117.45</v>
      </c>
      <c r="E318" s="3168">
        <v>41.01</v>
      </c>
      <c r="F318" s="3168" t="s">
        <v>3540</v>
      </c>
      <c r="V318" s="3168">
        <v>317</v>
      </c>
      <c r="W318" s="3168" t="s">
        <v>3538</v>
      </c>
      <c r="X318" s="3168">
        <v>-1317</v>
      </c>
      <c r="Y318" s="3168">
        <v>25.39</v>
      </c>
      <c r="Z318" s="3168">
        <v>8.8699999999999992</v>
      </c>
      <c r="AA318" s="3167" t="s">
        <v>3546</v>
      </c>
    </row>
    <row r="319" spans="1:27" ht="14.25">
      <c r="A319" s="3168">
        <v>318</v>
      </c>
      <c r="B319" s="3168" t="s">
        <v>3532</v>
      </c>
      <c r="C319" s="3168" t="s">
        <v>3500</v>
      </c>
      <c r="D319" s="3168">
        <v>117.11</v>
      </c>
      <c r="E319" s="3168">
        <v>40.89</v>
      </c>
      <c r="F319" s="3168" t="s">
        <v>3540</v>
      </c>
      <c r="V319" s="3168">
        <v>318</v>
      </c>
      <c r="W319" s="3168" t="s">
        <v>3538</v>
      </c>
      <c r="X319" s="3168">
        <v>-1318</v>
      </c>
      <c r="Y319" s="3168">
        <v>25.39</v>
      </c>
      <c r="Z319" s="3168">
        <v>8.8699999999999992</v>
      </c>
      <c r="AA319" s="3167" t="s">
        <v>3546</v>
      </c>
    </row>
    <row r="320" spans="1:27" ht="14.25">
      <c r="A320" s="3168">
        <v>319</v>
      </c>
      <c r="B320" s="3168" t="s">
        <v>3532</v>
      </c>
      <c r="C320" s="3168" t="s">
        <v>3448</v>
      </c>
      <c r="D320" s="3168">
        <v>117.45</v>
      </c>
      <c r="E320" s="3168">
        <v>41.01</v>
      </c>
      <c r="F320" s="3168" t="s">
        <v>3540</v>
      </c>
      <c r="V320" s="3168">
        <v>319</v>
      </c>
      <c r="W320" s="3168" t="s">
        <v>3538</v>
      </c>
      <c r="X320" s="3168">
        <v>-1319</v>
      </c>
      <c r="Y320" s="3168">
        <v>25.39</v>
      </c>
      <c r="Z320" s="3168">
        <v>8.8699999999999992</v>
      </c>
      <c r="AA320" s="3167" t="s">
        <v>3546</v>
      </c>
    </row>
    <row r="321" spans="1:27" ht="14.25">
      <c r="A321" s="3168">
        <v>320</v>
      </c>
      <c r="B321" s="3168" t="s">
        <v>3532</v>
      </c>
      <c r="C321" s="3168" t="s">
        <v>3501</v>
      </c>
      <c r="D321" s="3168">
        <v>117.11</v>
      </c>
      <c r="E321" s="3168">
        <v>40.89</v>
      </c>
      <c r="F321" s="3168" t="s">
        <v>3540</v>
      </c>
      <c r="V321" s="3168">
        <v>320</v>
      </c>
      <c r="W321" s="3168" t="s">
        <v>3538</v>
      </c>
      <c r="X321" s="3168">
        <v>-1320</v>
      </c>
      <c r="Y321" s="3168">
        <v>25.39</v>
      </c>
      <c r="Z321" s="3168">
        <v>8.8699999999999992</v>
      </c>
      <c r="AA321" s="3167" t="s">
        <v>3546</v>
      </c>
    </row>
    <row r="322" spans="1:27" ht="14.25">
      <c r="A322" s="3168">
        <v>321</v>
      </c>
      <c r="B322" s="3168" t="s">
        <v>3532</v>
      </c>
      <c r="C322" s="3168" t="s">
        <v>3502</v>
      </c>
      <c r="D322" s="3168">
        <v>117.45</v>
      </c>
      <c r="E322" s="3168">
        <v>41.01</v>
      </c>
      <c r="F322" s="3168" t="s">
        <v>3540</v>
      </c>
      <c r="V322" s="3168">
        <v>321</v>
      </c>
      <c r="W322" s="3168" t="s">
        <v>3538</v>
      </c>
      <c r="X322" s="3168">
        <v>-1321</v>
      </c>
      <c r="Y322" s="3168">
        <v>25.39</v>
      </c>
      <c r="Z322" s="3168">
        <v>8.8699999999999992</v>
      </c>
      <c r="AA322" s="3167" t="s">
        <v>3546</v>
      </c>
    </row>
    <row r="323" spans="1:27" ht="14.25">
      <c r="A323" s="3168">
        <v>322</v>
      </c>
      <c r="B323" s="3168" t="s">
        <v>3532</v>
      </c>
      <c r="C323" s="3168" t="s">
        <v>3436</v>
      </c>
      <c r="D323" s="3168">
        <v>117.11</v>
      </c>
      <c r="E323" s="3168">
        <v>40.89</v>
      </c>
      <c r="F323" s="3168" t="s">
        <v>3540</v>
      </c>
      <c r="V323" s="3168">
        <v>322</v>
      </c>
      <c r="W323" s="3168" t="s">
        <v>3538</v>
      </c>
      <c r="X323" s="3168">
        <v>-1322</v>
      </c>
      <c r="Y323" s="3168">
        <v>25.39</v>
      </c>
      <c r="Z323" s="3168">
        <v>8.8699999999999992</v>
      </c>
      <c r="AA323" s="3167" t="s">
        <v>3546</v>
      </c>
    </row>
    <row r="324" spans="1:27" ht="14.25">
      <c r="A324" s="3168">
        <v>323</v>
      </c>
      <c r="B324" s="3168" t="s">
        <v>3532</v>
      </c>
      <c r="C324" s="3168" t="s">
        <v>3437</v>
      </c>
      <c r="D324" s="3168">
        <v>117.45</v>
      </c>
      <c r="E324" s="3168">
        <v>41.01</v>
      </c>
      <c r="F324" s="3168" t="s">
        <v>3540</v>
      </c>
      <c r="V324" s="3168">
        <v>323</v>
      </c>
      <c r="W324" s="3168" t="s">
        <v>3538</v>
      </c>
      <c r="X324" s="3168">
        <v>-1323</v>
      </c>
      <c r="Y324" s="3168">
        <v>25.39</v>
      </c>
      <c r="Z324" s="3168">
        <v>8.8699999999999992</v>
      </c>
      <c r="AA324" s="3167" t="s">
        <v>3546</v>
      </c>
    </row>
    <row r="325" spans="1:27" ht="14.25">
      <c r="A325" s="3168">
        <v>324</v>
      </c>
      <c r="B325" s="3168" t="s">
        <v>3532</v>
      </c>
      <c r="C325" s="3168" t="s">
        <v>3503</v>
      </c>
      <c r="D325" s="3168">
        <v>117.11</v>
      </c>
      <c r="E325" s="3168">
        <v>40.89</v>
      </c>
      <c r="F325" s="3168" t="s">
        <v>3540</v>
      </c>
      <c r="V325" s="3168">
        <v>324</v>
      </c>
      <c r="W325" s="3168" t="s">
        <v>3538</v>
      </c>
      <c r="X325" s="3168">
        <v>-1324</v>
      </c>
      <c r="Y325" s="3168">
        <v>25.39</v>
      </c>
      <c r="Z325" s="3168">
        <v>8.8699999999999992</v>
      </c>
      <c r="AA325" s="3167" t="s">
        <v>3546</v>
      </c>
    </row>
    <row r="326" spans="1:27" ht="14.25">
      <c r="A326" s="3168">
        <v>325</v>
      </c>
      <c r="B326" s="3168" t="s">
        <v>3532</v>
      </c>
      <c r="C326" s="3168" t="s">
        <v>3449</v>
      </c>
      <c r="D326" s="3168">
        <v>117.11</v>
      </c>
      <c r="E326" s="3168">
        <v>40.89</v>
      </c>
      <c r="F326" s="3168" t="s">
        <v>3540</v>
      </c>
      <c r="V326" s="3168">
        <v>325</v>
      </c>
      <c r="W326" s="3168" t="s">
        <v>3538</v>
      </c>
      <c r="X326" s="3168">
        <v>-1325</v>
      </c>
      <c r="Y326" s="3168">
        <v>25.39</v>
      </c>
      <c r="Z326" s="3168">
        <v>8.8699999999999992</v>
      </c>
      <c r="AA326" s="3167" t="s">
        <v>3546</v>
      </c>
    </row>
    <row r="327" spans="1:27" ht="14.25">
      <c r="A327" s="3168">
        <v>326</v>
      </c>
      <c r="B327" s="3168" t="s">
        <v>3532</v>
      </c>
      <c r="C327" s="3168" t="s">
        <v>3439</v>
      </c>
      <c r="D327" s="3168">
        <v>117.45</v>
      </c>
      <c r="E327" s="3168">
        <v>41.01</v>
      </c>
      <c r="F327" s="3168" t="s">
        <v>3540</v>
      </c>
      <c r="V327" s="3168">
        <v>326</v>
      </c>
      <c r="W327" s="3168" t="s">
        <v>3538</v>
      </c>
      <c r="X327" s="3168">
        <v>-1326</v>
      </c>
      <c r="Y327" s="3168">
        <v>25.39</v>
      </c>
      <c r="Z327" s="3168">
        <v>8.8699999999999992</v>
      </c>
      <c r="AA327" s="3167" t="s">
        <v>3546</v>
      </c>
    </row>
    <row r="328" spans="1:27" ht="14.25">
      <c r="A328" s="3168">
        <v>327</v>
      </c>
      <c r="B328" s="3168" t="s">
        <v>3532</v>
      </c>
      <c r="C328" s="3168" t="s">
        <v>3504</v>
      </c>
      <c r="D328" s="3168">
        <v>117.11</v>
      </c>
      <c r="E328" s="3168">
        <v>40.89</v>
      </c>
      <c r="F328" s="3168" t="s">
        <v>3540</v>
      </c>
      <c r="V328" s="3168">
        <v>327</v>
      </c>
      <c r="W328" s="3168" t="s">
        <v>3538</v>
      </c>
      <c r="X328" s="3168">
        <v>-1327</v>
      </c>
      <c r="Y328" s="3168">
        <v>25.39</v>
      </c>
      <c r="Z328" s="3168">
        <v>8.8699999999999992</v>
      </c>
      <c r="AA328" s="3167" t="s">
        <v>3546</v>
      </c>
    </row>
    <row r="329" spans="1:27" ht="14.25">
      <c r="A329" s="3168">
        <v>328</v>
      </c>
      <c r="B329" s="3168" t="s">
        <v>3532</v>
      </c>
      <c r="C329" s="3168" t="s">
        <v>3440</v>
      </c>
      <c r="D329" s="3168">
        <v>117.45</v>
      </c>
      <c r="E329" s="3168">
        <v>41.01</v>
      </c>
      <c r="F329" s="3168" t="s">
        <v>3540</v>
      </c>
      <c r="V329" s="3168">
        <v>328</v>
      </c>
      <c r="W329" s="3168" t="s">
        <v>3538</v>
      </c>
      <c r="X329" s="3168">
        <v>-1328</v>
      </c>
      <c r="Y329" s="3168">
        <v>25.39</v>
      </c>
      <c r="Z329" s="3168">
        <v>8.8699999999999992</v>
      </c>
      <c r="AA329" s="3167" t="s">
        <v>3546</v>
      </c>
    </row>
    <row r="330" spans="1:27" ht="14.25">
      <c r="A330" s="3168">
        <v>329</v>
      </c>
      <c r="B330" s="3168" t="s">
        <v>3532</v>
      </c>
      <c r="C330" s="3168" t="s">
        <v>3473</v>
      </c>
      <c r="D330" s="3168">
        <v>117.45</v>
      </c>
      <c r="E330" s="3168">
        <v>41.01</v>
      </c>
      <c r="F330" s="3168" t="s">
        <v>3540</v>
      </c>
      <c r="V330" s="3168">
        <v>329</v>
      </c>
      <c r="W330" s="3168" t="s">
        <v>3538</v>
      </c>
      <c r="X330" s="3168">
        <v>-1329</v>
      </c>
      <c r="Y330" s="3168">
        <v>25.39</v>
      </c>
      <c r="Z330" s="3168">
        <v>8.8699999999999992</v>
      </c>
      <c r="AA330" s="3167" t="s">
        <v>3546</v>
      </c>
    </row>
    <row r="331" spans="1:27" ht="14.25">
      <c r="A331" s="3168">
        <v>330</v>
      </c>
      <c r="B331" s="3168" t="s">
        <v>3532</v>
      </c>
      <c r="C331" s="3168" t="s">
        <v>3505</v>
      </c>
      <c r="D331" s="3168">
        <v>117.45</v>
      </c>
      <c r="E331" s="3168">
        <v>41.01</v>
      </c>
      <c r="F331" s="3168" t="s">
        <v>3540</v>
      </c>
      <c r="V331" s="3168">
        <v>330</v>
      </c>
      <c r="W331" s="3168" t="s">
        <v>3538</v>
      </c>
      <c r="X331" s="3168">
        <v>-1330</v>
      </c>
      <c r="Y331" s="3168">
        <v>25.39</v>
      </c>
      <c r="Z331" s="3168">
        <v>8.8699999999999992</v>
      </c>
      <c r="AA331" s="3167" t="s">
        <v>3546</v>
      </c>
    </row>
    <row r="332" spans="1:27" ht="14.25">
      <c r="A332" s="3168">
        <v>331</v>
      </c>
      <c r="B332" s="3168" t="s">
        <v>3532</v>
      </c>
      <c r="C332" s="3168" t="s">
        <v>3506</v>
      </c>
      <c r="D332" s="3168">
        <v>117.45</v>
      </c>
      <c r="E332" s="3168">
        <v>41.01</v>
      </c>
      <c r="F332" s="3168" t="s">
        <v>3540</v>
      </c>
      <c r="V332" s="3168">
        <v>331</v>
      </c>
      <c r="W332" s="3168" t="s">
        <v>3538</v>
      </c>
      <c r="X332" s="3168">
        <v>-1331</v>
      </c>
      <c r="Y332" s="3168">
        <v>25.39</v>
      </c>
      <c r="Z332" s="3168">
        <v>8.8699999999999992</v>
      </c>
      <c r="AA332" s="3167" t="s">
        <v>3546</v>
      </c>
    </row>
    <row r="333" spans="1:27" ht="14.25">
      <c r="A333" s="3168">
        <v>332</v>
      </c>
      <c r="B333" s="3168" t="s">
        <v>3532</v>
      </c>
      <c r="C333" s="3168" t="s">
        <v>3507</v>
      </c>
      <c r="D333" s="3168">
        <v>117.45</v>
      </c>
      <c r="E333" s="3168">
        <v>41.01</v>
      </c>
      <c r="F333" s="3168" t="s">
        <v>3540</v>
      </c>
      <c r="V333" s="3168">
        <v>332</v>
      </c>
      <c r="W333" s="3168" t="s">
        <v>3538</v>
      </c>
      <c r="X333" s="3168">
        <v>-1332</v>
      </c>
      <c r="Y333" s="3168">
        <v>25.39</v>
      </c>
      <c r="Z333" s="3168">
        <v>8.8699999999999992</v>
      </c>
      <c r="AA333" s="3167" t="s">
        <v>3546</v>
      </c>
    </row>
    <row r="334" spans="1:27" ht="14.25">
      <c r="A334" s="3168">
        <v>333</v>
      </c>
      <c r="B334" s="3168" t="s">
        <v>3532</v>
      </c>
      <c r="C334" s="3168" t="s">
        <v>3509</v>
      </c>
      <c r="D334" s="3168">
        <v>83.51</v>
      </c>
      <c r="E334" s="3168">
        <v>29.16</v>
      </c>
      <c r="F334" s="3168" t="s">
        <v>3540</v>
      </c>
      <c r="V334" s="3168">
        <v>333</v>
      </c>
      <c r="W334" s="3168" t="s">
        <v>3538</v>
      </c>
      <c r="X334" s="3168">
        <v>-1333</v>
      </c>
      <c r="Y334" s="3168">
        <v>25.39</v>
      </c>
      <c r="Z334" s="3168">
        <v>8.8699999999999992</v>
      </c>
      <c r="AA334" s="3167" t="s">
        <v>3546</v>
      </c>
    </row>
    <row r="335" spans="1:27" ht="14.25">
      <c r="A335" s="3168">
        <v>334</v>
      </c>
      <c r="B335" s="3168" t="s">
        <v>3533</v>
      </c>
      <c r="C335" s="3168" t="s">
        <v>3451</v>
      </c>
      <c r="D335" s="3168">
        <v>130.15</v>
      </c>
      <c r="E335" s="3168">
        <v>45.45</v>
      </c>
      <c r="F335" s="3168" t="s">
        <v>3540</v>
      </c>
      <c r="V335" s="3168">
        <v>334</v>
      </c>
      <c r="W335" s="3168" t="s">
        <v>3538</v>
      </c>
      <c r="X335" s="3168">
        <v>-1334</v>
      </c>
      <c r="Y335" s="3168">
        <v>25.39</v>
      </c>
      <c r="Z335" s="3168">
        <v>8.8699999999999992</v>
      </c>
      <c r="AA335" s="3167" t="s">
        <v>3546</v>
      </c>
    </row>
    <row r="336" spans="1:27" ht="14.25">
      <c r="A336" s="3168">
        <v>335</v>
      </c>
      <c r="B336" s="3168" t="s">
        <v>3533</v>
      </c>
      <c r="C336" s="3168" t="s">
        <v>3452</v>
      </c>
      <c r="D336" s="3168">
        <v>129.81</v>
      </c>
      <c r="E336" s="3168">
        <v>45.33</v>
      </c>
      <c r="F336" s="3168" t="s">
        <v>3540</v>
      </c>
      <c r="V336" s="3168">
        <v>335</v>
      </c>
      <c r="W336" s="3168" t="s">
        <v>3538</v>
      </c>
      <c r="X336" s="3168">
        <v>-1335</v>
      </c>
      <c r="Y336" s="3168">
        <v>25.39</v>
      </c>
      <c r="Z336" s="3168">
        <v>8.8699999999999992</v>
      </c>
      <c r="AA336" s="3167" t="s">
        <v>3546</v>
      </c>
    </row>
    <row r="337" spans="1:27" ht="14.25">
      <c r="A337" s="3168">
        <v>336</v>
      </c>
      <c r="B337" s="3168" t="s">
        <v>3533</v>
      </c>
      <c r="C337" s="3168" t="s">
        <v>3475</v>
      </c>
      <c r="D337" s="3168">
        <v>130.15</v>
      </c>
      <c r="E337" s="3168">
        <v>45.45</v>
      </c>
      <c r="F337" s="3168" t="s">
        <v>3540</v>
      </c>
      <c r="V337" s="3168">
        <v>336</v>
      </c>
      <c r="W337" s="3168" t="s">
        <v>3538</v>
      </c>
      <c r="X337" s="3168">
        <v>-1336</v>
      </c>
      <c r="Y337" s="3168">
        <v>25.39</v>
      </c>
      <c r="Z337" s="3168">
        <v>8.8699999999999992</v>
      </c>
      <c r="AA337" s="3167" t="s">
        <v>3546</v>
      </c>
    </row>
    <row r="338" spans="1:27" ht="14.25">
      <c r="A338" s="3168">
        <v>337</v>
      </c>
      <c r="B338" s="3168" t="s">
        <v>3533</v>
      </c>
      <c r="C338" s="3168" t="s">
        <v>3476</v>
      </c>
      <c r="D338" s="3168">
        <v>129.81</v>
      </c>
      <c r="E338" s="3168">
        <v>45.33</v>
      </c>
      <c r="F338" s="3168" t="s">
        <v>3540</v>
      </c>
      <c r="V338" s="3168">
        <v>337</v>
      </c>
      <c r="W338" s="3168" t="s">
        <v>3538</v>
      </c>
      <c r="X338" s="3168">
        <v>-1337</v>
      </c>
      <c r="Y338" s="3168">
        <v>25.39</v>
      </c>
      <c r="Z338" s="3168">
        <v>8.8699999999999992</v>
      </c>
      <c r="AA338" s="3167" t="s">
        <v>3546</v>
      </c>
    </row>
    <row r="339" spans="1:27" ht="14.25">
      <c r="A339" s="3168">
        <v>338</v>
      </c>
      <c r="B339" s="3168" t="s">
        <v>3533</v>
      </c>
      <c r="C339" s="3168" t="s">
        <v>3477</v>
      </c>
      <c r="D339" s="3168">
        <v>130.15</v>
      </c>
      <c r="E339" s="3168">
        <v>45.45</v>
      </c>
      <c r="F339" s="3168" t="s">
        <v>3540</v>
      </c>
      <c r="V339" s="3168">
        <v>338</v>
      </c>
      <c r="W339" s="3168" t="s">
        <v>3538</v>
      </c>
      <c r="X339" s="3168">
        <v>-1338</v>
      </c>
      <c r="Y339" s="3168">
        <v>25.39</v>
      </c>
      <c r="Z339" s="3168">
        <v>8.8699999999999992</v>
      </c>
      <c r="AA339" s="3167" t="s">
        <v>3546</v>
      </c>
    </row>
    <row r="340" spans="1:27" ht="14.25">
      <c r="A340" s="3168">
        <v>339</v>
      </c>
      <c r="B340" s="3168" t="s">
        <v>3533</v>
      </c>
      <c r="C340" s="3168" t="s">
        <v>3478</v>
      </c>
      <c r="D340" s="3168">
        <v>129.81</v>
      </c>
      <c r="E340" s="3168">
        <v>45.33</v>
      </c>
      <c r="F340" s="3168" t="s">
        <v>3540</v>
      </c>
      <c r="V340" s="3168">
        <v>339</v>
      </c>
      <c r="W340" s="3168" t="s">
        <v>3538</v>
      </c>
      <c r="X340" s="3168">
        <v>-1339</v>
      </c>
      <c r="Y340" s="3168">
        <v>25.39</v>
      </c>
      <c r="Z340" s="3168">
        <v>8.8699999999999992</v>
      </c>
      <c r="AA340" s="3167" t="s">
        <v>3546</v>
      </c>
    </row>
    <row r="341" spans="1:27" ht="14.25">
      <c r="A341" s="3168">
        <v>340</v>
      </c>
      <c r="B341" s="3168" t="s">
        <v>3533</v>
      </c>
      <c r="C341" s="3168" t="s">
        <v>3479</v>
      </c>
      <c r="D341" s="3168">
        <v>130.15</v>
      </c>
      <c r="E341" s="3168">
        <v>45.45</v>
      </c>
      <c r="F341" s="3168" t="s">
        <v>3540</v>
      </c>
      <c r="V341" s="3168">
        <v>340</v>
      </c>
      <c r="W341" s="3168" t="s">
        <v>3538</v>
      </c>
      <c r="X341" s="3168">
        <v>-1340</v>
      </c>
      <c r="Y341" s="3168">
        <v>25.39</v>
      </c>
      <c r="Z341" s="3168">
        <v>8.8699999999999992</v>
      </c>
      <c r="AA341" s="3167" t="s">
        <v>3546</v>
      </c>
    </row>
    <row r="342" spans="1:27" ht="14.25">
      <c r="A342" s="3168">
        <v>341</v>
      </c>
      <c r="B342" s="3168" t="s">
        <v>3533</v>
      </c>
      <c r="C342" s="3168" t="s">
        <v>3480</v>
      </c>
      <c r="D342" s="3168">
        <v>129.81</v>
      </c>
      <c r="E342" s="3168">
        <v>45.33</v>
      </c>
      <c r="F342" s="3168" t="s">
        <v>3540</v>
      </c>
      <c r="V342" s="3168">
        <v>341</v>
      </c>
      <c r="W342" s="3168" t="s">
        <v>3538</v>
      </c>
      <c r="X342" s="3168">
        <v>-1341</v>
      </c>
      <c r="Y342" s="3168">
        <v>25.39</v>
      </c>
      <c r="Z342" s="3168">
        <v>8.8699999999999992</v>
      </c>
      <c r="AA342" s="3167" t="s">
        <v>3546</v>
      </c>
    </row>
    <row r="343" spans="1:27" ht="14.25">
      <c r="A343" s="3168">
        <v>342</v>
      </c>
      <c r="B343" s="3168" t="s">
        <v>3533</v>
      </c>
      <c r="C343" s="3168" t="s">
        <v>3442</v>
      </c>
      <c r="D343" s="3168">
        <v>130.15</v>
      </c>
      <c r="E343" s="3168">
        <v>45.45</v>
      </c>
      <c r="F343" s="3168" t="s">
        <v>3540</v>
      </c>
      <c r="V343" s="3168">
        <v>342</v>
      </c>
      <c r="W343" s="3168" t="s">
        <v>3538</v>
      </c>
      <c r="X343" s="3168">
        <v>-1342</v>
      </c>
      <c r="Y343" s="3168">
        <v>25.39</v>
      </c>
      <c r="Z343" s="3168">
        <v>8.8699999999999992</v>
      </c>
      <c r="AA343" s="3167" t="s">
        <v>3546</v>
      </c>
    </row>
    <row r="344" spans="1:27" ht="14.25">
      <c r="A344" s="3168">
        <v>343</v>
      </c>
      <c r="B344" s="3168" t="s">
        <v>3533</v>
      </c>
      <c r="C344" s="3168" t="s">
        <v>3481</v>
      </c>
      <c r="D344" s="3168">
        <v>129.81</v>
      </c>
      <c r="E344" s="3168">
        <v>45.33</v>
      </c>
      <c r="F344" s="3168" t="s">
        <v>3540</v>
      </c>
      <c r="V344" s="3168">
        <v>343</v>
      </c>
      <c r="W344" s="3168" t="s">
        <v>3538</v>
      </c>
      <c r="X344" s="3168">
        <v>-1343</v>
      </c>
      <c r="Y344" s="3168">
        <v>25.39</v>
      </c>
      <c r="Z344" s="3168">
        <v>8.8699999999999992</v>
      </c>
      <c r="AA344" s="3167" t="s">
        <v>3546</v>
      </c>
    </row>
    <row r="345" spans="1:27" ht="14.25">
      <c r="A345" s="3168">
        <v>344</v>
      </c>
      <c r="B345" s="3168" t="s">
        <v>3533</v>
      </c>
      <c r="C345" s="3168" t="s">
        <v>3482</v>
      </c>
      <c r="D345" s="3168">
        <v>130.15</v>
      </c>
      <c r="E345" s="3168">
        <v>45.45</v>
      </c>
      <c r="F345" s="3168" t="s">
        <v>3540</v>
      </c>
      <c r="V345" s="3168">
        <v>344</v>
      </c>
      <c r="W345" s="3168" t="s">
        <v>3538</v>
      </c>
      <c r="X345" s="3168">
        <v>-1344</v>
      </c>
      <c r="Y345" s="3168">
        <v>25.39</v>
      </c>
      <c r="Z345" s="3168">
        <v>8.8699999999999992</v>
      </c>
      <c r="AA345" s="3167" t="s">
        <v>3546</v>
      </c>
    </row>
    <row r="346" spans="1:27" ht="14.25">
      <c r="A346" s="3168">
        <v>345</v>
      </c>
      <c r="B346" s="3168" t="s">
        <v>3533</v>
      </c>
      <c r="C346" s="3168" t="s">
        <v>3483</v>
      </c>
      <c r="D346" s="3168">
        <v>129.81</v>
      </c>
      <c r="E346" s="3168">
        <v>45.33</v>
      </c>
      <c r="F346" s="3168" t="s">
        <v>3540</v>
      </c>
      <c r="V346" s="3168">
        <v>345</v>
      </c>
      <c r="W346" s="3168" t="s">
        <v>3538</v>
      </c>
      <c r="X346" s="3168">
        <v>-1345</v>
      </c>
      <c r="Y346" s="3168">
        <v>25.39</v>
      </c>
      <c r="Z346" s="3168">
        <v>8.8699999999999992</v>
      </c>
      <c r="AA346" s="3167" t="s">
        <v>3546</v>
      </c>
    </row>
    <row r="347" spans="1:27" ht="14.25">
      <c r="A347" s="3168">
        <v>346</v>
      </c>
      <c r="B347" s="3168" t="s">
        <v>3533</v>
      </c>
      <c r="C347" s="3168" t="s">
        <v>3443</v>
      </c>
      <c r="D347" s="3168">
        <v>130.15</v>
      </c>
      <c r="E347" s="3168">
        <v>45.45</v>
      </c>
      <c r="F347" s="3168" t="s">
        <v>3540</v>
      </c>
      <c r="V347" s="3168">
        <v>346</v>
      </c>
      <c r="W347" s="3168" t="s">
        <v>3538</v>
      </c>
      <c r="X347" s="3168">
        <v>-1346</v>
      </c>
      <c r="Y347" s="3168">
        <v>25.39</v>
      </c>
      <c r="Z347" s="3168">
        <v>8.8699999999999992</v>
      </c>
      <c r="AA347" s="3167" t="s">
        <v>3546</v>
      </c>
    </row>
    <row r="348" spans="1:27" ht="14.25">
      <c r="A348" s="3168">
        <v>347</v>
      </c>
      <c r="B348" s="3168" t="s">
        <v>3533</v>
      </c>
      <c r="C348" s="3168" t="s">
        <v>3484</v>
      </c>
      <c r="D348" s="3168">
        <v>129.81</v>
      </c>
      <c r="E348" s="3168">
        <v>45.33</v>
      </c>
      <c r="F348" s="3168" t="s">
        <v>3540</v>
      </c>
      <c r="V348" s="3168">
        <v>347</v>
      </c>
      <c r="W348" s="3168" t="s">
        <v>3538</v>
      </c>
      <c r="X348" s="3168">
        <v>-1347</v>
      </c>
      <c r="Y348" s="3168">
        <v>25.39</v>
      </c>
      <c r="Z348" s="3168">
        <v>8.8699999999999992</v>
      </c>
      <c r="AA348" s="3167" t="s">
        <v>3546</v>
      </c>
    </row>
    <row r="349" spans="1:27" ht="14.25">
      <c r="A349" s="3168">
        <v>348</v>
      </c>
      <c r="B349" s="3168" t="s">
        <v>3533</v>
      </c>
      <c r="C349" s="3168" t="s">
        <v>3453</v>
      </c>
      <c r="D349" s="3168">
        <v>130.15</v>
      </c>
      <c r="E349" s="3168">
        <v>45.45</v>
      </c>
      <c r="F349" s="3168" t="s">
        <v>3540</v>
      </c>
      <c r="V349" s="3168">
        <v>348</v>
      </c>
      <c r="W349" s="3168" t="s">
        <v>3538</v>
      </c>
      <c r="X349" s="3168">
        <v>-1348</v>
      </c>
      <c r="Y349" s="3168">
        <v>25.39</v>
      </c>
      <c r="Z349" s="3168">
        <v>8.8699999999999992</v>
      </c>
      <c r="AA349" s="3167" t="s">
        <v>3546</v>
      </c>
    </row>
    <row r="350" spans="1:27" ht="14.25">
      <c r="A350" s="3168">
        <v>349</v>
      </c>
      <c r="B350" s="3168" t="s">
        <v>3533</v>
      </c>
      <c r="C350" s="3168" t="s">
        <v>3485</v>
      </c>
      <c r="D350" s="3168">
        <v>129.81</v>
      </c>
      <c r="E350" s="3168">
        <v>45.33</v>
      </c>
      <c r="F350" s="3168" t="s">
        <v>3540</v>
      </c>
      <c r="V350" s="3168">
        <v>349</v>
      </c>
      <c r="W350" s="3168" t="s">
        <v>3538</v>
      </c>
      <c r="X350" s="3168">
        <v>-1349</v>
      </c>
      <c r="Y350" s="3168">
        <v>25.39</v>
      </c>
      <c r="Z350" s="3168">
        <v>8.8699999999999992</v>
      </c>
      <c r="AA350" s="3167" t="s">
        <v>3546</v>
      </c>
    </row>
    <row r="351" spans="1:27" ht="14.25">
      <c r="A351" s="3168">
        <v>350</v>
      </c>
      <c r="B351" s="3168" t="s">
        <v>3533</v>
      </c>
      <c r="C351" s="3168" t="s">
        <v>3429</v>
      </c>
      <c r="D351" s="3168">
        <v>117.69</v>
      </c>
      <c r="E351" s="3168">
        <v>41.1</v>
      </c>
      <c r="F351" s="3168" t="s">
        <v>3540</v>
      </c>
      <c r="V351" s="3168">
        <v>350</v>
      </c>
      <c r="W351" s="3168" t="s">
        <v>3538</v>
      </c>
      <c r="X351" s="3168">
        <v>-1350</v>
      </c>
      <c r="Y351" s="3168">
        <v>25.39</v>
      </c>
      <c r="Z351" s="3168">
        <v>8.8699999999999992</v>
      </c>
      <c r="AA351" s="3167" t="s">
        <v>3546</v>
      </c>
    </row>
    <row r="352" spans="1:27" ht="14.25">
      <c r="A352" s="3168">
        <v>351</v>
      </c>
      <c r="B352" s="3168" t="s">
        <v>3533</v>
      </c>
      <c r="C352" s="3168" t="s">
        <v>3462</v>
      </c>
      <c r="D352" s="3168">
        <v>117.69</v>
      </c>
      <c r="E352" s="3168">
        <v>41.1</v>
      </c>
      <c r="F352" s="3168" t="s">
        <v>3540</v>
      </c>
      <c r="V352" s="3168">
        <v>351</v>
      </c>
      <c r="W352" s="3168" t="s">
        <v>3538</v>
      </c>
      <c r="X352" s="3168">
        <v>-1351</v>
      </c>
      <c r="Y352" s="3168">
        <v>25.39</v>
      </c>
      <c r="Z352" s="3168">
        <v>8.8699999999999992</v>
      </c>
      <c r="AA352" s="3167" t="s">
        <v>3546</v>
      </c>
    </row>
    <row r="353" spans="1:27" ht="14.25">
      <c r="A353" s="3168">
        <v>352</v>
      </c>
      <c r="B353" s="3168" t="s">
        <v>3533</v>
      </c>
      <c r="C353" s="3168" t="s">
        <v>3463</v>
      </c>
      <c r="D353" s="3168">
        <v>117.69</v>
      </c>
      <c r="E353" s="3168">
        <v>41.1</v>
      </c>
      <c r="F353" s="3168" t="s">
        <v>3540</v>
      </c>
      <c r="V353" s="3168">
        <v>352</v>
      </c>
      <c r="W353" s="3168" t="s">
        <v>3538</v>
      </c>
      <c r="X353" s="3168">
        <v>-1352</v>
      </c>
      <c r="Y353" s="3168">
        <v>25.39</v>
      </c>
      <c r="Z353" s="3168">
        <v>8.8699999999999992</v>
      </c>
      <c r="AA353" s="3167" t="s">
        <v>3546</v>
      </c>
    </row>
    <row r="354" spans="1:27" ht="14.25">
      <c r="A354" s="3168">
        <v>353</v>
      </c>
      <c r="B354" s="3168" t="s">
        <v>3533</v>
      </c>
      <c r="C354" s="3168" t="s">
        <v>3464</v>
      </c>
      <c r="D354" s="3168">
        <v>117.69</v>
      </c>
      <c r="E354" s="3168">
        <v>41.1</v>
      </c>
      <c r="F354" s="3168" t="s">
        <v>3540</v>
      </c>
      <c r="V354" s="3168">
        <v>353</v>
      </c>
      <c r="W354" s="3168" t="s">
        <v>3538</v>
      </c>
      <c r="X354" s="3168">
        <v>-1353</v>
      </c>
      <c r="Y354" s="3168">
        <v>25.39</v>
      </c>
      <c r="Z354" s="3168">
        <v>8.8699999999999992</v>
      </c>
      <c r="AA354" s="3167" t="s">
        <v>3546</v>
      </c>
    </row>
    <row r="355" spans="1:27" ht="14.25">
      <c r="A355" s="3168">
        <v>354</v>
      </c>
      <c r="B355" s="3168" t="s">
        <v>3533</v>
      </c>
      <c r="C355" s="3168" t="s">
        <v>3488</v>
      </c>
      <c r="D355" s="3168">
        <v>117.69</v>
      </c>
      <c r="E355" s="3168">
        <v>41.1</v>
      </c>
      <c r="F355" s="3168" t="s">
        <v>3540</v>
      </c>
      <c r="V355" s="3168">
        <v>354</v>
      </c>
      <c r="W355" s="3168" t="s">
        <v>3538</v>
      </c>
      <c r="X355" s="3168">
        <v>-1354</v>
      </c>
      <c r="Y355" s="3168">
        <v>25.39</v>
      </c>
      <c r="Z355" s="3168">
        <v>8.8699999999999992</v>
      </c>
      <c r="AA355" s="3167" t="s">
        <v>3546</v>
      </c>
    </row>
    <row r="356" spans="1:27" ht="14.25">
      <c r="A356" s="3168">
        <v>355</v>
      </c>
      <c r="B356" s="3168" t="s">
        <v>3533</v>
      </c>
      <c r="C356" s="3168" t="s">
        <v>3489</v>
      </c>
      <c r="D356" s="3168">
        <v>117.69</v>
      </c>
      <c r="E356" s="3168">
        <v>41.1</v>
      </c>
      <c r="F356" s="3168" t="s">
        <v>3540</v>
      </c>
      <c r="V356" s="3168">
        <v>355</v>
      </c>
      <c r="W356" s="3168" t="s">
        <v>3538</v>
      </c>
      <c r="X356" s="3168">
        <v>-1355</v>
      </c>
      <c r="Y356" s="3168">
        <v>25.39</v>
      </c>
      <c r="Z356" s="3168">
        <v>8.8699999999999992</v>
      </c>
      <c r="AA356" s="3167" t="s">
        <v>3546</v>
      </c>
    </row>
    <row r="357" spans="1:27" ht="14.25">
      <c r="A357" s="3168">
        <v>356</v>
      </c>
      <c r="B357" s="3168" t="s">
        <v>3533</v>
      </c>
      <c r="C357" s="3168" t="s">
        <v>3519</v>
      </c>
      <c r="D357" s="3168">
        <v>117.69</v>
      </c>
      <c r="E357" s="3168">
        <v>41.1</v>
      </c>
      <c r="F357" s="3168" t="s">
        <v>3540</v>
      </c>
      <c r="V357" s="3168">
        <v>356</v>
      </c>
      <c r="W357" s="3168" t="s">
        <v>3538</v>
      </c>
      <c r="X357" s="3168">
        <v>-1356</v>
      </c>
      <c r="Y357" s="3168">
        <v>25.39</v>
      </c>
      <c r="Z357" s="3168">
        <v>8.8699999999999992</v>
      </c>
      <c r="AA357" s="3167" t="s">
        <v>3546</v>
      </c>
    </row>
    <row r="358" spans="1:27" ht="14.25">
      <c r="A358" s="3168">
        <v>357</v>
      </c>
      <c r="B358" s="3168" t="s">
        <v>3533</v>
      </c>
      <c r="C358" s="3168" t="s">
        <v>3520</v>
      </c>
      <c r="D358" s="3168">
        <v>117.69</v>
      </c>
      <c r="E358" s="3168">
        <v>41.1</v>
      </c>
      <c r="F358" s="3168" t="s">
        <v>3540</v>
      </c>
      <c r="V358" s="3168">
        <v>357</v>
      </c>
      <c r="W358" s="3168" t="s">
        <v>3538</v>
      </c>
      <c r="X358" s="3168">
        <v>-1357</v>
      </c>
      <c r="Y358" s="3168">
        <v>25.39</v>
      </c>
      <c r="Z358" s="3168">
        <v>8.8699999999999992</v>
      </c>
      <c r="AA358" s="3167" t="s">
        <v>3546</v>
      </c>
    </row>
    <row r="359" spans="1:27" ht="14.25">
      <c r="A359" s="3168">
        <v>358</v>
      </c>
      <c r="B359" s="3168" t="s">
        <v>3533</v>
      </c>
      <c r="C359" s="3168" t="s">
        <v>3491</v>
      </c>
      <c r="D359" s="3168">
        <v>117.69</v>
      </c>
      <c r="E359" s="3168">
        <v>41.1</v>
      </c>
      <c r="F359" s="3168" t="s">
        <v>3540</v>
      </c>
      <c r="V359" s="3168">
        <v>358</v>
      </c>
      <c r="W359" s="3168" t="s">
        <v>3538</v>
      </c>
      <c r="X359" s="3168">
        <v>-1358</v>
      </c>
      <c r="Y359" s="3168">
        <v>25.39</v>
      </c>
      <c r="Z359" s="3168">
        <v>8.8699999999999992</v>
      </c>
      <c r="AA359" s="3167" t="s">
        <v>3546</v>
      </c>
    </row>
    <row r="360" spans="1:27" ht="14.25">
      <c r="A360" s="3168">
        <v>359</v>
      </c>
      <c r="B360" s="3168" t="s">
        <v>3533</v>
      </c>
      <c r="C360" s="3168" t="s">
        <v>3492</v>
      </c>
      <c r="D360" s="3168">
        <v>117.69</v>
      </c>
      <c r="E360" s="3168">
        <v>41.1</v>
      </c>
      <c r="F360" s="3168" t="s">
        <v>3540</v>
      </c>
      <c r="V360" s="3168">
        <v>359</v>
      </c>
      <c r="W360" s="3168" t="s">
        <v>3538</v>
      </c>
      <c r="X360" s="3168">
        <v>-1359</v>
      </c>
      <c r="Y360" s="3168">
        <v>25.39</v>
      </c>
      <c r="Z360" s="3168">
        <v>8.8699999999999992</v>
      </c>
      <c r="AA360" s="3167" t="s">
        <v>3546</v>
      </c>
    </row>
    <row r="361" spans="1:27" ht="14.25">
      <c r="A361" s="3168">
        <v>360</v>
      </c>
      <c r="B361" s="3168" t="s">
        <v>3533</v>
      </c>
      <c r="C361" s="3168" t="s">
        <v>3493</v>
      </c>
      <c r="D361" s="3168">
        <v>117.69</v>
      </c>
      <c r="E361" s="3168">
        <v>41.1</v>
      </c>
      <c r="F361" s="3168" t="s">
        <v>3540</v>
      </c>
      <c r="V361" s="3168">
        <v>360</v>
      </c>
      <c r="W361" s="3168" t="s">
        <v>3538</v>
      </c>
      <c r="X361" s="3168">
        <v>-1360</v>
      </c>
      <c r="Y361" s="3168">
        <v>25.39</v>
      </c>
      <c r="Z361" s="3168">
        <v>8.8699999999999992</v>
      </c>
      <c r="AA361" s="3167" t="s">
        <v>3546</v>
      </c>
    </row>
    <row r="362" spans="1:27" ht="14.25">
      <c r="A362" s="3168">
        <v>361</v>
      </c>
      <c r="B362" s="3168" t="s">
        <v>3533</v>
      </c>
      <c r="C362" s="3168" t="s">
        <v>3494</v>
      </c>
      <c r="D362" s="3168">
        <v>117.69</v>
      </c>
      <c r="E362" s="3168">
        <v>41.1</v>
      </c>
      <c r="F362" s="3168" t="s">
        <v>3540</v>
      </c>
      <c r="V362" s="3168">
        <v>361</v>
      </c>
      <c r="W362" s="3168" t="s">
        <v>3538</v>
      </c>
      <c r="X362" s="3168">
        <v>-1361</v>
      </c>
      <c r="Y362" s="3168">
        <v>25.39</v>
      </c>
      <c r="Z362" s="3168">
        <v>8.8699999999999992</v>
      </c>
      <c r="AA362" s="3167" t="s">
        <v>3546</v>
      </c>
    </row>
    <row r="363" spans="1:27" ht="14.25">
      <c r="A363" s="3168">
        <v>362</v>
      </c>
      <c r="B363" s="3168" t="s">
        <v>3533</v>
      </c>
      <c r="C363" s="3168" t="s">
        <v>3495</v>
      </c>
      <c r="D363" s="3168">
        <v>117.69</v>
      </c>
      <c r="E363" s="3168">
        <v>41.1</v>
      </c>
      <c r="F363" s="3168" t="s">
        <v>3540</v>
      </c>
      <c r="V363" s="3168">
        <v>362</v>
      </c>
      <c r="W363" s="3168" t="s">
        <v>3538</v>
      </c>
      <c r="X363" s="3168">
        <v>-1362</v>
      </c>
      <c r="Y363" s="3168">
        <v>25.39</v>
      </c>
      <c r="Z363" s="3168">
        <v>8.8699999999999992</v>
      </c>
      <c r="AA363" s="3167" t="s">
        <v>3546</v>
      </c>
    </row>
    <row r="364" spans="1:27" ht="14.25">
      <c r="A364" s="3168">
        <v>363</v>
      </c>
      <c r="B364" s="3168" t="s">
        <v>3533</v>
      </c>
      <c r="C364" s="3168" t="s">
        <v>3496</v>
      </c>
      <c r="D364" s="3168">
        <v>117.69</v>
      </c>
      <c r="E364" s="3168">
        <v>41.1</v>
      </c>
      <c r="F364" s="3168" t="s">
        <v>3540</v>
      </c>
      <c r="V364" s="3168">
        <v>363</v>
      </c>
      <c r="W364" s="3168" t="s">
        <v>3538</v>
      </c>
      <c r="X364" s="3168">
        <v>-1363</v>
      </c>
      <c r="Y364" s="3168">
        <v>25.39</v>
      </c>
      <c r="Z364" s="3168">
        <v>8.8699999999999992</v>
      </c>
      <c r="AA364" s="3167" t="s">
        <v>3546</v>
      </c>
    </row>
    <row r="365" spans="1:27" ht="14.25">
      <c r="A365" s="3168">
        <v>364</v>
      </c>
      <c r="B365" s="3168" t="s">
        <v>3533</v>
      </c>
      <c r="C365" s="3168" t="s">
        <v>3446</v>
      </c>
      <c r="D365" s="3168">
        <v>117.69</v>
      </c>
      <c r="E365" s="3168">
        <v>41.1</v>
      </c>
      <c r="F365" s="3168" t="s">
        <v>3540</v>
      </c>
      <c r="V365" s="3168">
        <v>364</v>
      </c>
      <c r="W365" s="3168" t="s">
        <v>3538</v>
      </c>
      <c r="X365" s="3168">
        <v>-1364</v>
      </c>
      <c r="Y365" s="3168">
        <v>25.39</v>
      </c>
      <c r="Z365" s="3168">
        <v>8.8699999999999992</v>
      </c>
      <c r="AA365" s="3167" t="s">
        <v>3546</v>
      </c>
    </row>
    <row r="366" spans="1:27" ht="14.25">
      <c r="A366" s="3168">
        <v>365</v>
      </c>
      <c r="B366" s="3168" t="s">
        <v>3533</v>
      </c>
      <c r="C366" s="3168" t="s">
        <v>3447</v>
      </c>
      <c r="D366" s="3168">
        <v>117.38</v>
      </c>
      <c r="E366" s="3168">
        <v>40.99</v>
      </c>
      <c r="F366" s="3168" t="s">
        <v>3540</v>
      </c>
      <c r="V366" s="3168">
        <v>365</v>
      </c>
      <c r="W366" s="3168" t="s">
        <v>3538</v>
      </c>
      <c r="X366" s="3168">
        <v>-1365</v>
      </c>
      <c r="Y366" s="3168">
        <v>25.39</v>
      </c>
      <c r="Z366" s="3168">
        <v>8.8699999999999992</v>
      </c>
      <c r="AA366" s="3167" t="s">
        <v>3546</v>
      </c>
    </row>
    <row r="367" spans="1:27" ht="14.25">
      <c r="A367" s="3168">
        <v>366</v>
      </c>
      <c r="B367" s="3168" t="s">
        <v>3533</v>
      </c>
      <c r="C367" s="3168" t="s">
        <v>3498</v>
      </c>
      <c r="D367" s="3168">
        <v>117.72</v>
      </c>
      <c r="E367" s="3168">
        <v>41.11</v>
      </c>
      <c r="F367" s="3168" t="s">
        <v>3540</v>
      </c>
      <c r="V367" s="3168">
        <v>366</v>
      </c>
      <c r="W367" s="3168" t="s">
        <v>3538</v>
      </c>
      <c r="X367" s="3168">
        <v>-1366</v>
      </c>
      <c r="Y367" s="3168">
        <v>25.39</v>
      </c>
      <c r="Z367" s="3168">
        <v>8.8699999999999992</v>
      </c>
      <c r="AA367" s="3167" t="s">
        <v>3546</v>
      </c>
    </row>
    <row r="368" spans="1:27" ht="14.25">
      <c r="A368" s="3168">
        <v>367</v>
      </c>
      <c r="B368" s="3168" t="s">
        <v>3533</v>
      </c>
      <c r="C368" s="3168" t="s">
        <v>3435</v>
      </c>
      <c r="D368" s="3168">
        <v>117.38</v>
      </c>
      <c r="E368" s="3168">
        <v>40.99</v>
      </c>
      <c r="F368" s="3168" t="s">
        <v>3540</v>
      </c>
      <c r="V368" s="3168">
        <v>367</v>
      </c>
      <c r="W368" s="3168" t="s">
        <v>3538</v>
      </c>
      <c r="X368" s="3168">
        <v>-1367</v>
      </c>
      <c r="Y368" s="3168">
        <v>25.39</v>
      </c>
      <c r="Z368" s="3168">
        <v>8.8699999999999992</v>
      </c>
      <c r="AA368" s="3167" t="s">
        <v>3546</v>
      </c>
    </row>
    <row r="369" spans="1:27" ht="14.25">
      <c r="A369" s="3168">
        <v>368</v>
      </c>
      <c r="B369" s="3168" t="s">
        <v>3533</v>
      </c>
      <c r="C369" s="3168" t="s">
        <v>3499</v>
      </c>
      <c r="D369" s="3168">
        <v>117.72</v>
      </c>
      <c r="E369" s="3168">
        <v>41.11</v>
      </c>
      <c r="F369" s="3168" t="s">
        <v>3540</v>
      </c>
      <c r="V369" s="3168">
        <v>368</v>
      </c>
      <c r="W369" s="3168" t="s">
        <v>3538</v>
      </c>
      <c r="X369" s="3168">
        <v>-1368</v>
      </c>
      <c r="Y369" s="3168">
        <v>25.39</v>
      </c>
      <c r="Z369" s="3168">
        <v>8.8699999999999992</v>
      </c>
      <c r="AA369" s="3167" t="s">
        <v>3546</v>
      </c>
    </row>
    <row r="370" spans="1:27" ht="14.25">
      <c r="A370" s="3168">
        <v>369</v>
      </c>
      <c r="B370" s="3168" t="s">
        <v>3533</v>
      </c>
      <c r="C370" s="3168" t="s">
        <v>3500</v>
      </c>
      <c r="D370" s="3168">
        <v>117.38</v>
      </c>
      <c r="E370" s="3168">
        <v>40.99</v>
      </c>
      <c r="F370" s="3168" t="s">
        <v>3540</v>
      </c>
      <c r="V370" s="3168">
        <v>369</v>
      </c>
      <c r="W370" s="3168" t="s">
        <v>3538</v>
      </c>
      <c r="X370" s="3168">
        <v>-1369</v>
      </c>
      <c r="Y370" s="3168">
        <v>25.39</v>
      </c>
      <c r="Z370" s="3168">
        <v>8.8699999999999992</v>
      </c>
      <c r="AA370" s="3167" t="s">
        <v>3546</v>
      </c>
    </row>
    <row r="371" spans="1:27" ht="14.25">
      <c r="A371" s="3168">
        <v>370</v>
      </c>
      <c r="B371" s="3168" t="s">
        <v>3533</v>
      </c>
      <c r="C371" s="3168" t="s">
        <v>3448</v>
      </c>
      <c r="D371" s="3168">
        <v>117.72</v>
      </c>
      <c r="E371" s="3168">
        <v>41.11</v>
      </c>
      <c r="F371" s="3168" t="s">
        <v>3540</v>
      </c>
      <c r="V371" s="3168">
        <v>370</v>
      </c>
      <c r="W371" s="3168" t="s">
        <v>3538</v>
      </c>
      <c r="X371" s="3168">
        <v>-1370</v>
      </c>
      <c r="Y371" s="3168">
        <v>25.39</v>
      </c>
      <c r="Z371" s="3168">
        <v>8.8699999999999992</v>
      </c>
      <c r="AA371" s="3167" t="s">
        <v>3546</v>
      </c>
    </row>
    <row r="372" spans="1:27" ht="14.25">
      <c r="A372" s="3168">
        <v>371</v>
      </c>
      <c r="B372" s="3168" t="s">
        <v>3533</v>
      </c>
      <c r="C372" s="3168" t="s">
        <v>3501</v>
      </c>
      <c r="D372" s="3168">
        <v>117.38</v>
      </c>
      <c r="E372" s="3168">
        <v>40.99</v>
      </c>
      <c r="F372" s="3168" t="s">
        <v>3540</v>
      </c>
      <c r="V372" s="3168">
        <v>371</v>
      </c>
      <c r="W372" s="3168" t="s">
        <v>3538</v>
      </c>
      <c r="X372" s="3168">
        <v>-1371</v>
      </c>
      <c r="Y372" s="3168">
        <v>25.39</v>
      </c>
      <c r="Z372" s="3168">
        <v>8.8699999999999992</v>
      </c>
      <c r="AA372" s="3167" t="s">
        <v>3546</v>
      </c>
    </row>
    <row r="373" spans="1:27" ht="14.25">
      <c r="A373" s="3168">
        <v>372</v>
      </c>
      <c r="B373" s="3168" t="s">
        <v>3533</v>
      </c>
      <c r="C373" s="3168" t="s">
        <v>3502</v>
      </c>
      <c r="D373" s="3168">
        <v>117.72</v>
      </c>
      <c r="E373" s="3168">
        <v>41.11</v>
      </c>
      <c r="F373" s="3168" t="s">
        <v>3540</v>
      </c>
      <c r="V373" s="3168">
        <v>372</v>
      </c>
      <c r="W373" s="3168" t="s">
        <v>3538</v>
      </c>
      <c r="X373" s="3168">
        <v>-1372</v>
      </c>
      <c r="Y373" s="3168">
        <v>25.39</v>
      </c>
      <c r="Z373" s="3168">
        <v>8.8699999999999992</v>
      </c>
      <c r="AA373" s="3167" t="s">
        <v>3546</v>
      </c>
    </row>
    <row r="374" spans="1:27" ht="14.25">
      <c r="A374" s="3168">
        <v>373</v>
      </c>
      <c r="B374" s="3168" t="s">
        <v>3533</v>
      </c>
      <c r="C374" s="3168" t="s">
        <v>3436</v>
      </c>
      <c r="D374" s="3168">
        <v>117.38</v>
      </c>
      <c r="E374" s="3168">
        <v>40.99</v>
      </c>
      <c r="F374" s="3168" t="s">
        <v>3540</v>
      </c>
      <c r="V374" s="3168">
        <v>373</v>
      </c>
      <c r="W374" s="3168" t="s">
        <v>3538</v>
      </c>
      <c r="X374" s="3168">
        <v>-1373</v>
      </c>
      <c r="Y374" s="3168">
        <v>25.39</v>
      </c>
      <c r="Z374" s="3168">
        <v>8.8699999999999992</v>
      </c>
      <c r="AA374" s="3167" t="s">
        <v>3546</v>
      </c>
    </row>
    <row r="375" spans="1:27" ht="14.25">
      <c r="A375" s="3168">
        <v>374</v>
      </c>
      <c r="B375" s="3168" t="s">
        <v>3533</v>
      </c>
      <c r="C375" s="3168" t="s">
        <v>3437</v>
      </c>
      <c r="D375" s="3168">
        <v>117.72</v>
      </c>
      <c r="E375" s="3168">
        <v>41.11</v>
      </c>
      <c r="F375" s="3168" t="s">
        <v>3540</v>
      </c>
      <c r="V375" s="3168">
        <v>374</v>
      </c>
      <c r="W375" s="3168" t="s">
        <v>3538</v>
      </c>
      <c r="X375" s="3168">
        <v>-1374</v>
      </c>
      <c r="Y375" s="3168">
        <v>25.39</v>
      </c>
      <c r="Z375" s="3168">
        <v>8.8699999999999992</v>
      </c>
      <c r="AA375" s="3167" t="s">
        <v>3546</v>
      </c>
    </row>
    <row r="376" spans="1:27" ht="14.25">
      <c r="A376" s="3168">
        <v>375</v>
      </c>
      <c r="B376" s="3168" t="s">
        <v>3533</v>
      </c>
      <c r="C376" s="3168" t="s">
        <v>3503</v>
      </c>
      <c r="D376" s="3168">
        <v>117.38</v>
      </c>
      <c r="E376" s="3168">
        <v>40.99</v>
      </c>
      <c r="F376" s="3168" t="s">
        <v>3540</v>
      </c>
      <c r="V376" s="3168">
        <v>375</v>
      </c>
      <c r="W376" s="3168" t="s">
        <v>3538</v>
      </c>
      <c r="X376" s="3168">
        <v>-1375</v>
      </c>
      <c r="Y376" s="3168">
        <v>25.39</v>
      </c>
      <c r="Z376" s="3168">
        <v>8.8699999999999992</v>
      </c>
      <c r="AA376" s="3167" t="s">
        <v>3546</v>
      </c>
    </row>
    <row r="377" spans="1:27" ht="14.25">
      <c r="A377" s="3168">
        <v>376</v>
      </c>
      <c r="B377" s="3168" t="s">
        <v>3533</v>
      </c>
      <c r="C377" s="3168" t="s">
        <v>3438</v>
      </c>
      <c r="D377" s="3168">
        <v>117.72</v>
      </c>
      <c r="E377" s="3168">
        <v>41.11</v>
      </c>
      <c r="F377" s="3168" t="s">
        <v>3540</v>
      </c>
      <c r="V377" s="3168">
        <v>376</v>
      </c>
      <c r="W377" s="3168" t="s">
        <v>3538</v>
      </c>
      <c r="X377" s="3168">
        <v>-1376</v>
      </c>
      <c r="Y377" s="3168">
        <v>25.39</v>
      </c>
      <c r="Z377" s="3168">
        <v>8.8699999999999992</v>
      </c>
      <c r="AA377" s="3167" t="s">
        <v>3546</v>
      </c>
    </row>
    <row r="378" spans="1:27" ht="14.25">
      <c r="A378" s="3168">
        <v>377</v>
      </c>
      <c r="B378" s="3168" t="s">
        <v>3533</v>
      </c>
      <c r="C378" s="3168" t="s">
        <v>3449</v>
      </c>
      <c r="D378" s="3168">
        <v>117.38</v>
      </c>
      <c r="E378" s="3168">
        <v>40.99</v>
      </c>
      <c r="F378" s="3168" t="s">
        <v>3540</v>
      </c>
      <c r="V378" s="3168">
        <v>377</v>
      </c>
      <c r="W378" s="3168" t="s">
        <v>3538</v>
      </c>
      <c r="X378" s="3168">
        <v>-1377</v>
      </c>
      <c r="Y378" s="3168">
        <v>25.39</v>
      </c>
      <c r="Z378" s="3168">
        <v>8.8699999999999992</v>
      </c>
      <c r="AA378" s="3167" t="s">
        <v>3546</v>
      </c>
    </row>
    <row r="379" spans="1:27" ht="14.25">
      <c r="A379" s="3168">
        <v>378</v>
      </c>
      <c r="B379" s="3168" t="s">
        <v>3533</v>
      </c>
      <c r="C379" s="3168" t="s">
        <v>3439</v>
      </c>
      <c r="D379" s="3168">
        <v>117.72</v>
      </c>
      <c r="E379" s="3168">
        <v>41.11</v>
      </c>
      <c r="F379" s="3168" t="s">
        <v>3540</v>
      </c>
      <c r="V379" s="3168">
        <v>378</v>
      </c>
      <c r="W379" s="3168" t="s">
        <v>3538</v>
      </c>
      <c r="X379" s="3168">
        <v>-1378</v>
      </c>
      <c r="Y379" s="3168">
        <v>25.39</v>
      </c>
      <c r="Z379" s="3168">
        <v>8.8699999999999992</v>
      </c>
      <c r="AA379" s="3167" t="s">
        <v>3546</v>
      </c>
    </row>
    <row r="380" spans="1:27" ht="14.25">
      <c r="A380" s="3168">
        <v>379</v>
      </c>
      <c r="B380" s="3168" t="s">
        <v>3533</v>
      </c>
      <c r="C380" s="3168" t="s">
        <v>3504</v>
      </c>
      <c r="D380" s="3168">
        <v>117.38</v>
      </c>
      <c r="E380" s="3168">
        <v>40.99</v>
      </c>
      <c r="F380" s="3168" t="s">
        <v>3540</v>
      </c>
      <c r="V380" s="3168">
        <v>379</v>
      </c>
      <c r="W380" s="3168" t="s">
        <v>3538</v>
      </c>
      <c r="X380" s="3168">
        <v>-1379</v>
      </c>
      <c r="Y380" s="3168">
        <v>25.39</v>
      </c>
      <c r="Z380" s="3168">
        <v>8.8699999999999992</v>
      </c>
      <c r="AA380" s="3167" t="s">
        <v>3546</v>
      </c>
    </row>
    <row r="381" spans="1:27" ht="14.25">
      <c r="A381" s="3168">
        <v>380</v>
      </c>
      <c r="B381" s="3168" t="s">
        <v>3533</v>
      </c>
      <c r="C381" s="3168" t="s">
        <v>3440</v>
      </c>
      <c r="D381" s="3168">
        <v>117.72</v>
      </c>
      <c r="E381" s="3168">
        <v>41.11</v>
      </c>
      <c r="F381" s="3168" t="s">
        <v>3540</v>
      </c>
      <c r="V381" s="3168">
        <v>380</v>
      </c>
      <c r="W381" s="3168" t="s">
        <v>3538</v>
      </c>
      <c r="X381" s="3168">
        <v>-1380</v>
      </c>
      <c r="Y381" s="3168">
        <v>25.39</v>
      </c>
      <c r="Z381" s="3168">
        <v>8.8699999999999992</v>
      </c>
      <c r="AA381" s="3167" t="s">
        <v>3546</v>
      </c>
    </row>
    <row r="382" spans="1:27" ht="14.25">
      <c r="A382" s="3168">
        <v>381</v>
      </c>
      <c r="B382" s="3168" t="s">
        <v>3533</v>
      </c>
      <c r="C382" s="3168" t="s">
        <v>3473</v>
      </c>
      <c r="D382" s="3168">
        <v>117.72</v>
      </c>
      <c r="E382" s="3168">
        <v>41.11</v>
      </c>
      <c r="F382" s="3168" t="s">
        <v>3540</v>
      </c>
      <c r="V382" s="3168">
        <v>381</v>
      </c>
      <c r="W382" s="3168" t="s">
        <v>3538</v>
      </c>
      <c r="X382" s="3168">
        <v>-1381</v>
      </c>
      <c r="Y382" s="3168">
        <v>25.39</v>
      </c>
      <c r="Z382" s="3168">
        <v>8.8699999999999992</v>
      </c>
      <c r="AA382" s="3167" t="s">
        <v>3546</v>
      </c>
    </row>
    <row r="383" spans="1:27" ht="14.25">
      <c r="A383" s="3168">
        <v>382</v>
      </c>
      <c r="B383" s="3168" t="s">
        <v>3533</v>
      </c>
      <c r="C383" s="3168" t="s">
        <v>3505</v>
      </c>
      <c r="D383" s="3168">
        <v>117.72</v>
      </c>
      <c r="E383" s="3168">
        <v>41.11</v>
      </c>
      <c r="F383" s="3168" t="s">
        <v>3540</v>
      </c>
      <c r="V383" s="3168">
        <v>382</v>
      </c>
      <c r="W383" s="3168" t="s">
        <v>3538</v>
      </c>
      <c r="X383" s="3168">
        <v>-1382</v>
      </c>
      <c r="Y383" s="3168">
        <v>25.39</v>
      </c>
      <c r="Z383" s="3168">
        <v>8.8699999999999992</v>
      </c>
      <c r="AA383" s="3167" t="s">
        <v>3546</v>
      </c>
    </row>
    <row r="384" spans="1:27" ht="14.25">
      <c r="A384" s="3168">
        <v>383</v>
      </c>
      <c r="B384" s="3168" t="s">
        <v>3533</v>
      </c>
      <c r="C384" s="3168" t="s">
        <v>3506</v>
      </c>
      <c r="D384" s="3168">
        <v>117.72</v>
      </c>
      <c r="E384" s="3168">
        <v>41.11</v>
      </c>
      <c r="F384" s="3168" t="s">
        <v>3540</v>
      </c>
      <c r="V384" s="3168">
        <v>383</v>
      </c>
      <c r="W384" s="3168" t="s">
        <v>3538</v>
      </c>
      <c r="X384" s="3168">
        <v>-1383</v>
      </c>
      <c r="Y384" s="3168">
        <v>25.39</v>
      </c>
      <c r="Z384" s="3168">
        <v>8.8699999999999992</v>
      </c>
      <c r="AA384" s="3167" t="s">
        <v>3546</v>
      </c>
    </row>
    <row r="385" spans="1:27" ht="14.25">
      <c r="A385" s="3168">
        <v>384</v>
      </c>
      <c r="B385" s="3168" t="s">
        <v>3533</v>
      </c>
      <c r="C385" s="3168" t="s">
        <v>3507</v>
      </c>
      <c r="D385" s="3168">
        <v>117.72</v>
      </c>
      <c r="E385" s="3168">
        <v>41.11</v>
      </c>
      <c r="F385" s="3168" t="s">
        <v>3540</v>
      </c>
      <c r="V385" s="3168">
        <v>384</v>
      </c>
      <c r="W385" s="3168" t="s">
        <v>3538</v>
      </c>
      <c r="X385" s="3168">
        <v>-1384</v>
      </c>
      <c r="Y385" s="3168">
        <v>25.39</v>
      </c>
      <c r="Z385" s="3168">
        <v>8.8699999999999992</v>
      </c>
      <c r="AA385" s="3167" t="s">
        <v>3546</v>
      </c>
    </row>
    <row r="386" spans="1:27" ht="14.25">
      <c r="A386" s="3168">
        <v>385</v>
      </c>
      <c r="B386" s="3168" t="s">
        <v>3533</v>
      </c>
      <c r="C386" s="3168" t="s">
        <v>3508</v>
      </c>
      <c r="D386" s="3168">
        <v>117.72</v>
      </c>
      <c r="E386" s="3168">
        <v>41.11</v>
      </c>
      <c r="F386" s="3168" t="s">
        <v>3540</v>
      </c>
      <c r="V386" s="3168">
        <v>385</v>
      </c>
      <c r="W386" s="3168" t="s">
        <v>3538</v>
      </c>
      <c r="X386" s="3168">
        <v>-1385</v>
      </c>
      <c r="Y386" s="3168">
        <v>25.39</v>
      </c>
      <c r="Z386" s="3168">
        <v>8.8699999999999992</v>
      </c>
      <c r="AA386" s="3167" t="s">
        <v>3546</v>
      </c>
    </row>
    <row r="387" spans="1:27" ht="14.25">
      <c r="A387" s="3168">
        <v>386</v>
      </c>
      <c r="B387" s="3168" t="s">
        <v>3533</v>
      </c>
      <c r="C387" s="3168" t="s">
        <v>3509</v>
      </c>
      <c r="D387" s="3168">
        <v>117.72</v>
      </c>
      <c r="E387" s="3168">
        <v>41.11</v>
      </c>
      <c r="F387" s="3168" t="s">
        <v>3540</v>
      </c>
      <c r="V387" s="3168">
        <v>386</v>
      </c>
      <c r="W387" s="3168" t="s">
        <v>3538</v>
      </c>
      <c r="X387" s="3168">
        <v>-1386</v>
      </c>
      <c r="Y387" s="3168">
        <v>25.39</v>
      </c>
      <c r="Z387" s="3168">
        <v>8.8699999999999992</v>
      </c>
      <c r="AA387" s="3167" t="s">
        <v>3546</v>
      </c>
    </row>
    <row r="388" spans="1:27" ht="14.25">
      <c r="A388" s="3168">
        <v>387</v>
      </c>
      <c r="B388" s="3168" t="s">
        <v>3534</v>
      </c>
      <c r="C388" s="3168" t="s">
        <v>3451</v>
      </c>
      <c r="D388" s="3168">
        <v>129.72</v>
      </c>
      <c r="E388" s="3168">
        <v>45.3</v>
      </c>
      <c r="F388" s="3168" t="s">
        <v>3540</v>
      </c>
      <c r="V388" s="3168">
        <v>387</v>
      </c>
      <c r="W388" s="3168" t="s">
        <v>3538</v>
      </c>
      <c r="X388" s="3168">
        <v>-1387</v>
      </c>
      <c r="Y388" s="3168">
        <v>25.39</v>
      </c>
      <c r="Z388" s="3168">
        <v>8.8699999999999992</v>
      </c>
      <c r="AA388" s="3167" t="s">
        <v>3546</v>
      </c>
    </row>
    <row r="389" spans="1:27" ht="14.25">
      <c r="A389" s="3168">
        <v>388</v>
      </c>
      <c r="B389" s="3168" t="s">
        <v>3534</v>
      </c>
      <c r="C389" s="3168" t="s">
        <v>3452</v>
      </c>
      <c r="D389" s="3168">
        <v>129.38</v>
      </c>
      <c r="E389" s="3168">
        <v>45.18</v>
      </c>
      <c r="F389" s="3168" t="s">
        <v>3540</v>
      </c>
      <c r="V389" s="3168">
        <v>388</v>
      </c>
      <c r="W389" s="3168" t="s">
        <v>3538</v>
      </c>
      <c r="X389" s="3168">
        <v>-1388</v>
      </c>
      <c r="Y389" s="3168">
        <v>25.39</v>
      </c>
      <c r="Z389" s="3168">
        <v>8.8699999999999992</v>
      </c>
      <c r="AA389" s="3167" t="s">
        <v>3546</v>
      </c>
    </row>
    <row r="390" spans="1:27" ht="14.25">
      <c r="A390" s="3168">
        <v>389</v>
      </c>
      <c r="B390" s="3168" t="s">
        <v>3534</v>
      </c>
      <c r="C390" s="3168" t="s">
        <v>3475</v>
      </c>
      <c r="D390" s="3168">
        <v>129.72</v>
      </c>
      <c r="E390" s="3168">
        <v>45.3</v>
      </c>
      <c r="F390" s="3168" t="s">
        <v>3540</v>
      </c>
      <c r="V390" s="3168">
        <v>389</v>
      </c>
      <c r="W390" s="3168" t="s">
        <v>3538</v>
      </c>
      <c r="X390" s="3168">
        <v>-1389</v>
      </c>
      <c r="Y390" s="3168">
        <v>25.39</v>
      </c>
      <c r="Z390" s="3168">
        <v>8.8699999999999992</v>
      </c>
      <c r="AA390" s="3167" t="s">
        <v>3546</v>
      </c>
    </row>
    <row r="391" spans="1:27" ht="14.25">
      <c r="A391" s="3168">
        <v>390</v>
      </c>
      <c r="B391" s="3168" t="s">
        <v>3534</v>
      </c>
      <c r="C391" s="3168" t="s">
        <v>3476</v>
      </c>
      <c r="D391" s="3168">
        <v>129.38</v>
      </c>
      <c r="E391" s="3168">
        <v>45.18</v>
      </c>
      <c r="F391" s="3168" t="s">
        <v>3540</v>
      </c>
      <c r="V391" s="3168">
        <v>390</v>
      </c>
      <c r="W391" s="3168" t="s">
        <v>3538</v>
      </c>
      <c r="X391" s="3168">
        <v>-1390</v>
      </c>
      <c r="Y391" s="3168">
        <v>25.39</v>
      </c>
      <c r="Z391" s="3168">
        <v>8.8699999999999992</v>
      </c>
      <c r="AA391" s="3167" t="s">
        <v>3546</v>
      </c>
    </row>
    <row r="392" spans="1:27" ht="14.25">
      <c r="A392" s="3168">
        <v>391</v>
      </c>
      <c r="B392" s="3168" t="s">
        <v>3534</v>
      </c>
      <c r="C392" s="3168" t="s">
        <v>3477</v>
      </c>
      <c r="D392" s="3168">
        <v>129.72</v>
      </c>
      <c r="E392" s="3168">
        <v>45.3</v>
      </c>
      <c r="F392" s="3168" t="s">
        <v>3540</v>
      </c>
      <c r="V392" s="3168">
        <v>391</v>
      </c>
      <c r="W392" s="3168" t="s">
        <v>3538</v>
      </c>
      <c r="X392" s="3168">
        <v>-1391</v>
      </c>
      <c r="Y392" s="3168">
        <v>25.39</v>
      </c>
      <c r="Z392" s="3168">
        <v>8.8699999999999992</v>
      </c>
      <c r="AA392" s="3167" t="s">
        <v>3546</v>
      </c>
    </row>
    <row r="393" spans="1:27" ht="14.25">
      <c r="A393" s="3168">
        <v>392</v>
      </c>
      <c r="B393" s="3168" t="s">
        <v>3534</v>
      </c>
      <c r="C393" s="3168" t="s">
        <v>3480</v>
      </c>
      <c r="D393" s="3168">
        <v>129.38</v>
      </c>
      <c r="E393" s="3168">
        <v>45.18</v>
      </c>
      <c r="F393" s="3168" t="s">
        <v>3540</v>
      </c>
      <c r="V393" s="3168">
        <v>392</v>
      </c>
      <c r="W393" s="3168" t="s">
        <v>3538</v>
      </c>
      <c r="X393" s="3168">
        <v>-1392</v>
      </c>
      <c r="Y393" s="3168">
        <v>25.39</v>
      </c>
      <c r="Z393" s="3168">
        <v>8.8699999999999992</v>
      </c>
      <c r="AA393" s="3167" t="s">
        <v>3546</v>
      </c>
    </row>
    <row r="394" spans="1:27" ht="14.25">
      <c r="A394" s="3168">
        <v>393</v>
      </c>
      <c r="B394" s="3168" t="s">
        <v>3534</v>
      </c>
      <c r="C394" s="3168" t="s">
        <v>3442</v>
      </c>
      <c r="D394" s="3168">
        <v>129.72</v>
      </c>
      <c r="E394" s="3168">
        <v>45.3</v>
      </c>
      <c r="F394" s="3168" t="s">
        <v>3540</v>
      </c>
      <c r="V394" s="3168">
        <v>393</v>
      </c>
      <c r="W394" s="3168" t="s">
        <v>3538</v>
      </c>
      <c r="X394" s="3168">
        <v>-1393</v>
      </c>
      <c r="Y394" s="3168">
        <v>25.39</v>
      </c>
      <c r="Z394" s="3168">
        <v>8.8699999999999992</v>
      </c>
      <c r="AA394" s="3167" t="s">
        <v>3546</v>
      </c>
    </row>
    <row r="395" spans="1:27" ht="14.25">
      <c r="A395" s="3168">
        <v>394</v>
      </c>
      <c r="B395" s="3168" t="s">
        <v>3534</v>
      </c>
      <c r="C395" s="3168" t="s">
        <v>3482</v>
      </c>
      <c r="D395" s="3168">
        <v>129.72</v>
      </c>
      <c r="E395" s="3168">
        <v>45.3</v>
      </c>
      <c r="F395" s="3168" t="s">
        <v>3540</v>
      </c>
      <c r="V395" s="3168">
        <v>394</v>
      </c>
      <c r="W395" s="3168" t="s">
        <v>3538</v>
      </c>
      <c r="X395" s="3168">
        <v>-1394</v>
      </c>
      <c r="Y395" s="3168">
        <v>25.39</v>
      </c>
      <c r="Z395" s="3168">
        <v>8.8699999999999992</v>
      </c>
      <c r="AA395" s="3167" t="s">
        <v>3546</v>
      </c>
    </row>
    <row r="396" spans="1:27" ht="14.25">
      <c r="A396" s="3168">
        <v>395</v>
      </c>
      <c r="B396" s="3168" t="s">
        <v>3534</v>
      </c>
      <c r="C396" s="3168" t="s">
        <v>3443</v>
      </c>
      <c r="D396" s="3168">
        <v>129.72</v>
      </c>
      <c r="E396" s="3168">
        <v>45.3</v>
      </c>
      <c r="F396" s="3168" t="s">
        <v>3540</v>
      </c>
      <c r="V396" s="3168">
        <v>395</v>
      </c>
      <c r="W396" s="3168" t="s">
        <v>3538</v>
      </c>
      <c r="X396" s="3168">
        <v>-1395</v>
      </c>
      <c r="Y396" s="3168">
        <v>25.39</v>
      </c>
      <c r="Z396" s="3168">
        <v>8.8699999999999992</v>
      </c>
      <c r="AA396" s="3167" t="s">
        <v>3546</v>
      </c>
    </row>
    <row r="397" spans="1:27" ht="14.25">
      <c r="A397" s="3168">
        <v>396</v>
      </c>
      <c r="B397" s="3168" t="s">
        <v>3534</v>
      </c>
      <c r="C397" s="3168" t="s">
        <v>3484</v>
      </c>
      <c r="D397" s="3168">
        <v>129.38</v>
      </c>
      <c r="E397" s="3168">
        <v>45.18</v>
      </c>
      <c r="F397" s="3168" t="s">
        <v>3540</v>
      </c>
      <c r="V397" s="3168">
        <v>396</v>
      </c>
      <c r="W397" s="3168" t="s">
        <v>3538</v>
      </c>
      <c r="X397" s="3168">
        <v>-1396</v>
      </c>
      <c r="Y397" s="3168">
        <v>25.39</v>
      </c>
      <c r="Z397" s="3168">
        <v>8.8699999999999992</v>
      </c>
      <c r="AA397" s="3167" t="s">
        <v>3546</v>
      </c>
    </row>
    <row r="398" spans="1:27" ht="14.25">
      <c r="A398" s="3168">
        <v>397</v>
      </c>
      <c r="B398" s="3168" t="s">
        <v>3534</v>
      </c>
      <c r="C398" s="3168" t="s">
        <v>3453</v>
      </c>
      <c r="D398" s="3168">
        <v>129.72</v>
      </c>
      <c r="E398" s="3168">
        <v>45.3</v>
      </c>
      <c r="F398" s="3168" t="s">
        <v>3540</v>
      </c>
      <c r="V398" s="3168">
        <v>397</v>
      </c>
      <c r="W398" s="3168" t="s">
        <v>3538</v>
      </c>
      <c r="X398" s="3168">
        <v>-1397</v>
      </c>
      <c r="Y398" s="3168">
        <v>25.39</v>
      </c>
      <c r="Z398" s="3168">
        <v>8.8699999999999992</v>
      </c>
      <c r="AA398" s="3167" t="s">
        <v>3546</v>
      </c>
    </row>
    <row r="399" spans="1:27" ht="14.25">
      <c r="A399" s="3168">
        <v>398</v>
      </c>
      <c r="B399" s="3168" t="s">
        <v>3534</v>
      </c>
      <c r="C399" s="3168" t="s">
        <v>3485</v>
      </c>
      <c r="D399" s="3168">
        <v>129.38</v>
      </c>
      <c r="E399" s="3168">
        <v>45.18</v>
      </c>
      <c r="F399" s="3168" t="s">
        <v>3540</v>
      </c>
      <c r="V399" s="3168">
        <v>398</v>
      </c>
      <c r="W399" s="3168" t="s">
        <v>3538</v>
      </c>
      <c r="X399" s="3168">
        <v>-1398</v>
      </c>
      <c r="Y399" s="3168">
        <v>25.39</v>
      </c>
      <c r="Z399" s="3168">
        <v>8.8699999999999992</v>
      </c>
      <c r="AA399" s="3167" t="s">
        <v>3546</v>
      </c>
    </row>
    <row r="400" spans="1:27" ht="14.25">
      <c r="A400" s="3168">
        <v>399</v>
      </c>
      <c r="B400" s="3168" t="s">
        <v>3534</v>
      </c>
      <c r="C400" s="3168" t="s">
        <v>3486</v>
      </c>
      <c r="D400" s="3168">
        <v>101.76</v>
      </c>
      <c r="E400" s="3168">
        <v>35.53</v>
      </c>
      <c r="F400" s="3168" t="s">
        <v>3540</v>
      </c>
      <c r="V400" s="3168">
        <v>399</v>
      </c>
      <c r="W400" s="3168" t="s">
        <v>3538</v>
      </c>
      <c r="X400" s="3168">
        <v>-1399</v>
      </c>
      <c r="Y400" s="3168">
        <v>25.39</v>
      </c>
      <c r="Z400" s="3168">
        <v>8.8699999999999992</v>
      </c>
      <c r="AA400" s="3167" t="s">
        <v>3546</v>
      </c>
    </row>
    <row r="401" spans="1:27" ht="14.25">
      <c r="A401" s="3168">
        <v>400</v>
      </c>
      <c r="B401" s="3168" t="s">
        <v>3534</v>
      </c>
      <c r="C401" s="3168" t="s">
        <v>3444</v>
      </c>
      <c r="D401" s="3168">
        <v>101.43</v>
      </c>
      <c r="E401" s="3168">
        <v>35.42</v>
      </c>
      <c r="F401" s="3168" t="s">
        <v>3540</v>
      </c>
      <c r="V401" s="3168">
        <v>400</v>
      </c>
      <c r="W401" s="3168" t="s">
        <v>3538</v>
      </c>
      <c r="X401" s="3168">
        <v>-1400</v>
      </c>
      <c r="Y401" s="3168">
        <v>25.39</v>
      </c>
      <c r="Z401" s="3168">
        <v>8.8699999999999992</v>
      </c>
      <c r="AA401" s="3167" t="s">
        <v>3546</v>
      </c>
    </row>
    <row r="402" spans="1:27" ht="14.25">
      <c r="A402" s="3168">
        <v>401</v>
      </c>
      <c r="B402" s="3168" t="s">
        <v>3534</v>
      </c>
      <c r="C402" s="3168" t="s">
        <v>3429</v>
      </c>
      <c r="D402" s="3168">
        <v>117.08</v>
      </c>
      <c r="E402" s="3168">
        <v>40.880000000000003</v>
      </c>
      <c r="F402" s="3168" t="s">
        <v>3540</v>
      </c>
      <c r="V402" s="3168">
        <v>401</v>
      </c>
      <c r="W402" s="3168" t="s">
        <v>3538</v>
      </c>
      <c r="X402" s="3168">
        <v>-1401</v>
      </c>
      <c r="Y402" s="3168">
        <v>25.39</v>
      </c>
      <c r="Z402" s="3168">
        <v>8.8699999999999992</v>
      </c>
      <c r="AA402" s="3167" t="s">
        <v>3546</v>
      </c>
    </row>
    <row r="403" spans="1:27" ht="14.25">
      <c r="A403" s="3168">
        <v>402</v>
      </c>
      <c r="B403" s="3168" t="s">
        <v>3534</v>
      </c>
      <c r="C403" s="3168" t="s">
        <v>3462</v>
      </c>
      <c r="D403" s="3168">
        <v>117.08</v>
      </c>
      <c r="E403" s="3168">
        <v>40.880000000000003</v>
      </c>
      <c r="F403" s="3168" t="s">
        <v>3540</v>
      </c>
      <c r="V403" s="3168">
        <v>402</v>
      </c>
      <c r="W403" s="3168" t="s">
        <v>3538</v>
      </c>
      <c r="X403" s="3168">
        <v>-1402</v>
      </c>
      <c r="Y403" s="3168">
        <v>25.39</v>
      </c>
      <c r="Z403" s="3168">
        <v>8.8699999999999992</v>
      </c>
      <c r="AA403" s="3167" t="s">
        <v>3546</v>
      </c>
    </row>
    <row r="404" spans="1:27" ht="14.25">
      <c r="A404" s="3168">
        <v>403</v>
      </c>
      <c r="B404" s="3168" t="s">
        <v>3534</v>
      </c>
      <c r="C404" s="3168" t="s">
        <v>3463</v>
      </c>
      <c r="D404" s="3168">
        <v>117.08</v>
      </c>
      <c r="E404" s="3168">
        <v>40.880000000000003</v>
      </c>
      <c r="F404" s="3168" t="s">
        <v>3540</v>
      </c>
      <c r="V404" s="3168">
        <v>403</v>
      </c>
      <c r="W404" s="3168" t="s">
        <v>3538</v>
      </c>
      <c r="X404" s="3168">
        <v>-1403</v>
      </c>
      <c r="Y404" s="3168">
        <v>25.39</v>
      </c>
      <c r="Z404" s="3168">
        <v>8.8699999999999992</v>
      </c>
      <c r="AA404" s="3167" t="s">
        <v>3546</v>
      </c>
    </row>
    <row r="405" spans="1:27" ht="14.25">
      <c r="A405" s="3168">
        <v>404</v>
      </c>
      <c r="B405" s="3168" t="s">
        <v>3534</v>
      </c>
      <c r="C405" s="3168" t="s">
        <v>3464</v>
      </c>
      <c r="D405" s="3168">
        <v>117.08</v>
      </c>
      <c r="E405" s="3168">
        <v>40.880000000000003</v>
      </c>
      <c r="F405" s="3168" t="s">
        <v>3540</v>
      </c>
      <c r="V405" s="3168">
        <v>404</v>
      </c>
      <c r="W405" s="3168" t="s">
        <v>3538</v>
      </c>
      <c r="X405" s="3168">
        <v>-1404</v>
      </c>
      <c r="Y405" s="3168">
        <v>25.39</v>
      </c>
      <c r="Z405" s="3168">
        <v>8.8699999999999992</v>
      </c>
      <c r="AA405" s="3167" t="s">
        <v>3546</v>
      </c>
    </row>
    <row r="406" spans="1:27" ht="14.25">
      <c r="A406" s="3168">
        <v>405</v>
      </c>
      <c r="B406" s="3168" t="s">
        <v>3534</v>
      </c>
      <c r="C406" s="3168" t="s">
        <v>3488</v>
      </c>
      <c r="D406" s="3168">
        <v>117.08</v>
      </c>
      <c r="E406" s="3168">
        <v>40.880000000000003</v>
      </c>
      <c r="F406" s="3168" t="s">
        <v>3540</v>
      </c>
      <c r="V406" s="3168">
        <v>405</v>
      </c>
      <c r="W406" s="3168" t="s">
        <v>3538</v>
      </c>
      <c r="X406" s="3168">
        <v>-1405</v>
      </c>
      <c r="Y406" s="3168">
        <v>25.39</v>
      </c>
      <c r="Z406" s="3168">
        <v>8.8699999999999992</v>
      </c>
      <c r="AA406" s="3167" t="s">
        <v>3546</v>
      </c>
    </row>
    <row r="407" spans="1:27" ht="14.25">
      <c r="A407" s="3168">
        <v>406</v>
      </c>
      <c r="B407" s="3168" t="s">
        <v>3534</v>
      </c>
      <c r="C407" s="3168" t="s">
        <v>3519</v>
      </c>
      <c r="D407" s="3168">
        <v>117.08</v>
      </c>
      <c r="E407" s="3168">
        <v>40.880000000000003</v>
      </c>
      <c r="F407" s="3168" t="s">
        <v>3540</v>
      </c>
      <c r="V407" s="3168">
        <v>406</v>
      </c>
      <c r="W407" s="3168" t="s">
        <v>3538</v>
      </c>
      <c r="X407" s="3168">
        <v>-1406</v>
      </c>
      <c r="Y407" s="3168">
        <v>25.39</v>
      </c>
      <c r="Z407" s="3168">
        <v>8.8699999999999992</v>
      </c>
      <c r="AA407" s="3167" t="s">
        <v>3546</v>
      </c>
    </row>
    <row r="408" spans="1:27" ht="14.25">
      <c r="A408" s="3168">
        <v>407</v>
      </c>
      <c r="B408" s="3168" t="s">
        <v>3534</v>
      </c>
      <c r="C408" s="3168" t="s">
        <v>3490</v>
      </c>
      <c r="D408" s="3168">
        <v>117.08</v>
      </c>
      <c r="E408" s="3168">
        <v>40.880000000000003</v>
      </c>
      <c r="F408" s="3168" t="s">
        <v>3540</v>
      </c>
      <c r="V408" s="3168">
        <v>407</v>
      </c>
      <c r="W408" s="3168" t="s">
        <v>3538</v>
      </c>
      <c r="X408" s="3168">
        <v>-1407</v>
      </c>
      <c r="Y408" s="3168">
        <v>25.39</v>
      </c>
      <c r="Z408" s="3168">
        <v>8.8699999999999992</v>
      </c>
      <c r="AA408" s="3167" t="s">
        <v>3546</v>
      </c>
    </row>
    <row r="409" spans="1:27" ht="14.25">
      <c r="A409" s="3168">
        <v>408</v>
      </c>
      <c r="B409" s="3168" t="s">
        <v>3534</v>
      </c>
      <c r="C409" s="3168" t="s">
        <v>3491</v>
      </c>
      <c r="D409" s="3168">
        <v>117.08</v>
      </c>
      <c r="E409" s="3168">
        <v>40.880000000000003</v>
      </c>
      <c r="F409" s="3168" t="s">
        <v>3540</v>
      </c>
      <c r="V409" s="3168">
        <v>408</v>
      </c>
      <c r="W409" s="3168" t="s">
        <v>3538</v>
      </c>
      <c r="X409" s="3168">
        <v>-1408</v>
      </c>
      <c r="Y409" s="3168">
        <v>25.39</v>
      </c>
      <c r="Z409" s="3168">
        <v>8.8699999999999992</v>
      </c>
      <c r="AA409" s="3167" t="s">
        <v>3546</v>
      </c>
    </row>
    <row r="410" spans="1:27" ht="14.25">
      <c r="A410" s="3168">
        <v>409</v>
      </c>
      <c r="B410" s="3168" t="s">
        <v>3534</v>
      </c>
      <c r="C410" s="3168" t="s">
        <v>3495</v>
      </c>
      <c r="D410" s="3168">
        <v>117.08</v>
      </c>
      <c r="E410" s="3168">
        <v>40.880000000000003</v>
      </c>
      <c r="F410" s="3168" t="s">
        <v>3540</v>
      </c>
      <c r="V410" s="3168">
        <v>409</v>
      </c>
      <c r="W410" s="3168" t="s">
        <v>3538</v>
      </c>
      <c r="X410" s="3168">
        <v>-1409</v>
      </c>
      <c r="Y410" s="3168">
        <v>25.39</v>
      </c>
      <c r="Z410" s="3168">
        <v>8.8699999999999992</v>
      </c>
      <c r="AA410" s="3167" t="s">
        <v>3546</v>
      </c>
    </row>
    <row r="411" spans="1:27" ht="14.25">
      <c r="A411" s="3168">
        <v>410</v>
      </c>
      <c r="B411" s="3168" t="s">
        <v>3534</v>
      </c>
      <c r="C411" s="3168" t="s">
        <v>3496</v>
      </c>
      <c r="D411" s="3168">
        <v>117.08</v>
      </c>
      <c r="E411" s="3168">
        <v>40.880000000000003</v>
      </c>
      <c r="F411" s="3168" t="s">
        <v>3540</v>
      </c>
      <c r="V411" s="3168">
        <v>410</v>
      </c>
      <c r="W411" s="3168" t="s">
        <v>3538</v>
      </c>
      <c r="X411" s="3168">
        <v>-1410</v>
      </c>
      <c r="Y411" s="3168">
        <v>25.39</v>
      </c>
      <c r="Z411" s="3168">
        <v>8.8699999999999992</v>
      </c>
      <c r="AA411" s="3167" t="s">
        <v>3546</v>
      </c>
    </row>
    <row r="412" spans="1:27" ht="14.25">
      <c r="A412" s="3168">
        <v>411</v>
      </c>
      <c r="B412" s="3168" t="s">
        <v>3534</v>
      </c>
      <c r="C412" s="3168" t="s">
        <v>3446</v>
      </c>
      <c r="D412" s="3168">
        <v>117.08</v>
      </c>
      <c r="E412" s="3168">
        <v>40.880000000000003</v>
      </c>
      <c r="F412" s="3168" t="s">
        <v>3540</v>
      </c>
      <c r="V412" s="3168">
        <v>411</v>
      </c>
      <c r="W412" s="3168" t="s">
        <v>3538</v>
      </c>
      <c r="X412" s="3168">
        <v>-1411</v>
      </c>
      <c r="Y412" s="3168">
        <v>25.39</v>
      </c>
      <c r="Z412" s="3168">
        <v>8.8699999999999992</v>
      </c>
      <c r="AA412" s="3167" t="s">
        <v>3546</v>
      </c>
    </row>
    <row r="413" spans="1:27" ht="14.25">
      <c r="A413" s="3168">
        <v>412</v>
      </c>
      <c r="B413" s="3168" t="s">
        <v>3534</v>
      </c>
      <c r="C413" s="3168" t="s">
        <v>3497</v>
      </c>
      <c r="D413" s="3168">
        <v>80.13</v>
      </c>
      <c r="E413" s="3168">
        <v>27.98</v>
      </c>
      <c r="F413" s="3168" t="s">
        <v>3540</v>
      </c>
      <c r="V413" s="3168">
        <v>412</v>
      </c>
      <c r="W413" s="3168" t="s">
        <v>3538</v>
      </c>
      <c r="X413" s="3168">
        <v>-1412</v>
      </c>
      <c r="Y413" s="3168">
        <v>25.39</v>
      </c>
      <c r="Z413" s="3168">
        <v>8.8699999999999992</v>
      </c>
      <c r="AA413" s="3167" t="s">
        <v>3546</v>
      </c>
    </row>
    <row r="414" spans="1:27" ht="14.25">
      <c r="A414" s="3168">
        <v>413</v>
      </c>
      <c r="B414" s="3168" t="s">
        <v>3534</v>
      </c>
      <c r="C414" s="3168" t="s">
        <v>3447</v>
      </c>
      <c r="D414" s="3168">
        <v>117.4</v>
      </c>
      <c r="E414" s="3168">
        <v>40.99</v>
      </c>
      <c r="F414" s="3168" t="s">
        <v>3540</v>
      </c>
      <c r="V414" s="3168">
        <v>413</v>
      </c>
      <c r="W414" s="3168" t="s">
        <v>3538</v>
      </c>
      <c r="X414" s="3168">
        <v>-1413</v>
      </c>
      <c r="Y414" s="3168">
        <v>25.39</v>
      </c>
      <c r="Z414" s="3168">
        <v>8.8699999999999992</v>
      </c>
      <c r="AA414" s="3167" t="s">
        <v>3546</v>
      </c>
    </row>
    <row r="415" spans="1:27" ht="14.25">
      <c r="A415" s="3168">
        <v>414</v>
      </c>
      <c r="B415" s="3168" t="s">
        <v>3534</v>
      </c>
      <c r="C415" s="3168" t="s">
        <v>3498</v>
      </c>
      <c r="D415" s="3168">
        <v>117.74</v>
      </c>
      <c r="E415" s="3168">
        <v>41.11</v>
      </c>
      <c r="F415" s="3168" t="s">
        <v>3540</v>
      </c>
      <c r="V415" s="3168">
        <v>414</v>
      </c>
      <c r="W415" s="3168" t="s">
        <v>3538</v>
      </c>
      <c r="X415" s="3168">
        <v>-1414</v>
      </c>
      <c r="Y415" s="3168">
        <v>25.39</v>
      </c>
      <c r="Z415" s="3168">
        <v>8.8699999999999992</v>
      </c>
      <c r="AA415" s="3167" t="s">
        <v>3546</v>
      </c>
    </row>
    <row r="416" spans="1:27" ht="14.25">
      <c r="A416" s="3168">
        <v>415</v>
      </c>
      <c r="B416" s="3168" t="s">
        <v>3534</v>
      </c>
      <c r="C416" s="3168" t="s">
        <v>3435</v>
      </c>
      <c r="D416" s="3168">
        <v>117.4</v>
      </c>
      <c r="E416" s="3168">
        <v>40.99</v>
      </c>
      <c r="F416" s="3168" t="s">
        <v>3540</v>
      </c>
      <c r="V416" s="3168">
        <v>415</v>
      </c>
      <c r="W416" s="3168" t="s">
        <v>3538</v>
      </c>
      <c r="X416" s="3168">
        <v>-1415</v>
      </c>
      <c r="Y416" s="3168">
        <v>25.39</v>
      </c>
      <c r="Z416" s="3168">
        <v>8.8699999999999992</v>
      </c>
      <c r="AA416" s="3167" t="s">
        <v>3546</v>
      </c>
    </row>
    <row r="417" spans="1:27" ht="14.25">
      <c r="A417" s="3168">
        <v>416</v>
      </c>
      <c r="B417" s="3168" t="s">
        <v>3534</v>
      </c>
      <c r="C417" s="3168" t="s">
        <v>3499</v>
      </c>
      <c r="D417" s="3168">
        <v>117.74</v>
      </c>
      <c r="E417" s="3168">
        <v>41.11</v>
      </c>
      <c r="F417" s="3168" t="s">
        <v>3540</v>
      </c>
      <c r="V417" s="3168">
        <v>416</v>
      </c>
      <c r="W417" s="3168" t="s">
        <v>3538</v>
      </c>
      <c r="X417" s="3168">
        <v>-1416</v>
      </c>
      <c r="Y417" s="3168">
        <v>25.39</v>
      </c>
      <c r="Z417" s="3168">
        <v>8.8699999999999992</v>
      </c>
      <c r="AA417" s="3167" t="s">
        <v>3546</v>
      </c>
    </row>
    <row r="418" spans="1:27" ht="14.25">
      <c r="A418" s="3168">
        <v>417</v>
      </c>
      <c r="B418" s="3168" t="s">
        <v>3534</v>
      </c>
      <c r="C418" s="3168" t="s">
        <v>3500</v>
      </c>
      <c r="D418" s="3168">
        <v>117.4</v>
      </c>
      <c r="E418" s="3168">
        <v>40.99</v>
      </c>
      <c r="F418" s="3168" t="s">
        <v>3540</v>
      </c>
      <c r="V418" s="3168">
        <v>417</v>
      </c>
      <c r="W418" s="3168" t="s">
        <v>3538</v>
      </c>
      <c r="X418" s="3168">
        <v>-1417</v>
      </c>
      <c r="Y418" s="3168">
        <v>25.39</v>
      </c>
      <c r="Z418" s="3168">
        <v>8.8699999999999992</v>
      </c>
      <c r="AA418" s="3167" t="s">
        <v>3546</v>
      </c>
    </row>
    <row r="419" spans="1:27" ht="14.25">
      <c r="A419" s="3168">
        <v>418</v>
      </c>
      <c r="B419" s="3168" t="s">
        <v>3534</v>
      </c>
      <c r="C419" s="3168" t="s">
        <v>3448</v>
      </c>
      <c r="D419" s="3168">
        <v>117.74</v>
      </c>
      <c r="E419" s="3168">
        <v>41.11</v>
      </c>
      <c r="F419" s="3168" t="s">
        <v>3540</v>
      </c>
      <c r="V419" s="3168">
        <v>418</v>
      </c>
      <c r="W419" s="3168" t="s">
        <v>3538</v>
      </c>
      <c r="X419" s="3168">
        <v>-1418</v>
      </c>
      <c r="Y419" s="3168">
        <v>25.39</v>
      </c>
      <c r="Z419" s="3168">
        <v>8.8699999999999992</v>
      </c>
      <c r="AA419" s="3167" t="s">
        <v>3546</v>
      </c>
    </row>
    <row r="420" spans="1:27" ht="14.25">
      <c r="A420" s="3168">
        <v>419</v>
      </c>
      <c r="B420" s="3168" t="s">
        <v>3534</v>
      </c>
      <c r="C420" s="3168" t="s">
        <v>3501</v>
      </c>
      <c r="D420" s="3168">
        <v>117.4</v>
      </c>
      <c r="E420" s="3168">
        <v>40.99</v>
      </c>
      <c r="F420" s="3168" t="s">
        <v>3540</v>
      </c>
      <c r="V420" s="3168">
        <v>419</v>
      </c>
      <c r="W420" s="3168" t="s">
        <v>3538</v>
      </c>
      <c r="X420" s="3168">
        <v>-1419</v>
      </c>
      <c r="Y420" s="3168">
        <v>25.39</v>
      </c>
      <c r="Z420" s="3168">
        <v>8.8699999999999992</v>
      </c>
      <c r="AA420" s="3167" t="s">
        <v>3546</v>
      </c>
    </row>
    <row r="421" spans="1:27" ht="14.25">
      <c r="A421" s="3168">
        <v>420</v>
      </c>
      <c r="B421" s="3168" t="s">
        <v>3534</v>
      </c>
      <c r="C421" s="3168" t="s">
        <v>3502</v>
      </c>
      <c r="D421" s="3168">
        <v>117.74</v>
      </c>
      <c r="E421" s="3168">
        <v>41.11</v>
      </c>
      <c r="F421" s="3168" t="s">
        <v>3540</v>
      </c>
      <c r="V421" s="3168">
        <v>420</v>
      </c>
      <c r="W421" s="3168" t="s">
        <v>3538</v>
      </c>
      <c r="X421" s="3168">
        <v>-1420</v>
      </c>
      <c r="Y421" s="3168">
        <v>25.39</v>
      </c>
      <c r="Z421" s="3168">
        <v>8.8699999999999992</v>
      </c>
      <c r="AA421" s="3167" t="s">
        <v>3546</v>
      </c>
    </row>
    <row r="422" spans="1:27" ht="14.25">
      <c r="A422" s="3168">
        <v>421</v>
      </c>
      <c r="B422" s="3168" t="s">
        <v>3534</v>
      </c>
      <c r="C422" s="3168" t="s">
        <v>3437</v>
      </c>
      <c r="D422" s="3168">
        <v>117.74</v>
      </c>
      <c r="E422" s="3168">
        <v>41.11</v>
      </c>
      <c r="F422" s="3168" t="s">
        <v>3540</v>
      </c>
      <c r="V422" s="3168">
        <v>421</v>
      </c>
      <c r="W422" s="3168" t="s">
        <v>3538</v>
      </c>
      <c r="X422" s="3168">
        <v>-1421</v>
      </c>
      <c r="Y422" s="3168">
        <v>25.39</v>
      </c>
      <c r="Z422" s="3168">
        <v>8.8699999999999992</v>
      </c>
      <c r="AA422" s="3167" t="s">
        <v>3546</v>
      </c>
    </row>
    <row r="423" spans="1:27" ht="14.25">
      <c r="A423" s="3168">
        <v>422</v>
      </c>
      <c r="B423" s="3168" t="s">
        <v>3534</v>
      </c>
      <c r="C423" s="3168" t="s">
        <v>3503</v>
      </c>
      <c r="D423" s="3168">
        <v>117.4</v>
      </c>
      <c r="E423" s="3168">
        <v>40.99</v>
      </c>
      <c r="F423" s="3168" t="s">
        <v>3540</v>
      </c>
      <c r="V423" s="3168">
        <v>422</v>
      </c>
      <c r="W423" s="3168" t="s">
        <v>3538</v>
      </c>
      <c r="X423" s="3168">
        <v>-1422</v>
      </c>
      <c r="Y423" s="3168">
        <v>25.39</v>
      </c>
      <c r="Z423" s="3168">
        <v>8.8699999999999992</v>
      </c>
      <c r="AA423" s="3167" t="s">
        <v>3546</v>
      </c>
    </row>
    <row r="424" spans="1:27" ht="14.25">
      <c r="A424" s="3168">
        <v>423</v>
      </c>
      <c r="B424" s="3168" t="s">
        <v>3534</v>
      </c>
      <c r="C424" s="3168" t="s">
        <v>3438</v>
      </c>
      <c r="D424" s="3168">
        <v>117.74</v>
      </c>
      <c r="E424" s="3168">
        <v>41.11</v>
      </c>
      <c r="F424" s="3168" t="s">
        <v>3540</v>
      </c>
      <c r="V424" s="3168">
        <v>423</v>
      </c>
      <c r="W424" s="3168" t="s">
        <v>3538</v>
      </c>
      <c r="X424" s="3168">
        <v>-1423</v>
      </c>
      <c r="Y424" s="3168">
        <v>25.39</v>
      </c>
      <c r="Z424" s="3168">
        <v>8.8699999999999992</v>
      </c>
      <c r="AA424" s="3167" t="s">
        <v>3546</v>
      </c>
    </row>
    <row r="425" spans="1:27" ht="14.25">
      <c r="A425" s="3168">
        <v>424</v>
      </c>
      <c r="B425" s="3168" t="s">
        <v>3534</v>
      </c>
      <c r="C425" s="3168" t="s">
        <v>3449</v>
      </c>
      <c r="D425" s="3168">
        <v>117.4</v>
      </c>
      <c r="E425" s="3168">
        <v>40.99</v>
      </c>
      <c r="F425" s="3168" t="s">
        <v>3540</v>
      </c>
      <c r="V425" s="3168">
        <v>424</v>
      </c>
      <c r="W425" s="3168" t="s">
        <v>3538</v>
      </c>
      <c r="X425" s="3168">
        <v>-1424</v>
      </c>
      <c r="Y425" s="3168">
        <v>38.08</v>
      </c>
      <c r="Z425" s="3168">
        <v>13.3</v>
      </c>
      <c r="AA425" s="3167" t="s">
        <v>3546</v>
      </c>
    </row>
    <row r="426" spans="1:27" ht="14.25">
      <c r="A426" s="3168">
        <v>425</v>
      </c>
      <c r="B426" s="3168" t="s">
        <v>3534</v>
      </c>
      <c r="C426" s="3168" t="s">
        <v>3439</v>
      </c>
      <c r="D426" s="3168">
        <v>117.74</v>
      </c>
      <c r="E426" s="3168">
        <v>41.11</v>
      </c>
      <c r="F426" s="3168" t="s">
        <v>3540</v>
      </c>
      <c r="V426" s="3168">
        <v>425</v>
      </c>
      <c r="W426" s="3168" t="s">
        <v>3538</v>
      </c>
      <c r="X426" s="3168">
        <v>-1425</v>
      </c>
      <c r="Y426" s="3168">
        <v>25.39</v>
      </c>
      <c r="Z426" s="3168">
        <v>8.8699999999999992</v>
      </c>
      <c r="AA426" s="3167" t="s">
        <v>3546</v>
      </c>
    </row>
    <row r="427" spans="1:27" ht="14.25">
      <c r="A427" s="3168">
        <v>426</v>
      </c>
      <c r="B427" s="3168" t="s">
        <v>3534</v>
      </c>
      <c r="C427" s="3168" t="s">
        <v>3504</v>
      </c>
      <c r="D427" s="3168">
        <v>117.4</v>
      </c>
      <c r="E427" s="3168">
        <v>40.99</v>
      </c>
      <c r="F427" s="3168" t="s">
        <v>3540</v>
      </c>
      <c r="V427" s="3168">
        <v>426</v>
      </c>
      <c r="W427" s="3168" t="s">
        <v>3538</v>
      </c>
      <c r="X427" s="3168">
        <v>-1426</v>
      </c>
      <c r="Y427" s="3168">
        <v>25.39</v>
      </c>
      <c r="Z427" s="3168">
        <v>8.8699999999999992</v>
      </c>
      <c r="AA427" s="3167" t="s">
        <v>3546</v>
      </c>
    </row>
    <row r="428" spans="1:27" ht="14.25">
      <c r="A428" s="3168">
        <v>427</v>
      </c>
      <c r="B428" s="3168" t="s">
        <v>3534</v>
      </c>
      <c r="C428" s="3168" t="s">
        <v>3440</v>
      </c>
      <c r="D428" s="3168">
        <v>117.74</v>
      </c>
      <c r="E428" s="3168">
        <v>41.11</v>
      </c>
      <c r="F428" s="3168" t="s">
        <v>3540</v>
      </c>
      <c r="V428" s="3168">
        <v>427</v>
      </c>
      <c r="W428" s="3168" t="s">
        <v>3538</v>
      </c>
      <c r="X428" s="3168">
        <v>-1427</v>
      </c>
      <c r="Y428" s="3168">
        <v>25.39</v>
      </c>
      <c r="Z428" s="3168">
        <v>8.8699999999999992</v>
      </c>
      <c r="AA428" s="3167" t="s">
        <v>3546</v>
      </c>
    </row>
    <row r="429" spans="1:27" ht="14.25">
      <c r="A429" s="3168">
        <v>428</v>
      </c>
      <c r="B429" s="3168" t="s">
        <v>3534</v>
      </c>
      <c r="C429" s="3168" t="s">
        <v>3473</v>
      </c>
      <c r="D429" s="3168">
        <v>117.4</v>
      </c>
      <c r="E429" s="3168">
        <v>40.99</v>
      </c>
      <c r="F429" s="3168" t="s">
        <v>3540</v>
      </c>
      <c r="V429" s="3168">
        <v>428</v>
      </c>
      <c r="W429" s="3168" t="s">
        <v>3538</v>
      </c>
      <c r="X429" s="3168">
        <v>-1428</v>
      </c>
      <c r="Y429" s="3168">
        <v>25.39</v>
      </c>
      <c r="Z429" s="3168">
        <v>8.8699999999999992</v>
      </c>
      <c r="AA429" s="3167" t="s">
        <v>3546</v>
      </c>
    </row>
    <row r="430" spans="1:27" ht="14.25">
      <c r="A430" s="3168">
        <v>429</v>
      </c>
      <c r="B430" s="3168" t="s">
        <v>3534</v>
      </c>
      <c r="C430" s="3168" t="s">
        <v>3505</v>
      </c>
      <c r="D430" s="3168">
        <v>117.74</v>
      </c>
      <c r="E430" s="3168">
        <v>41.11</v>
      </c>
      <c r="F430" s="3168" t="s">
        <v>3540</v>
      </c>
      <c r="V430" s="3168">
        <v>429</v>
      </c>
      <c r="W430" s="3168" t="s">
        <v>3538</v>
      </c>
      <c r="X430" s="3168">
        <v>-1429</v>
      </c>
      <c r="Y430" s="3168">
        <v>25.39</v>
      </c>
      <c r="Z430" s="3168">
        <v>8.8699999999999992</v>
      </c>
      <c r="AA430" s="3167" t="s">
        <v>3546</v>
      </c>
    </row>
    <row r="431" spans="1:27" ht="14.25">
      <c r="A431" s="3168">
        <v>430</v>
      </c>
      <c r="B431" s="3168" t="s">
        <v>3534</v>
      </c>
      <c r="C431" s="3168" t="s">
        <v>3506</v>
      </c>
      <c r="D431" s="3168">
        <v>117.74</v>
      </c>
      <c r="E431" s="3168">
        <v>41.11</v>
      </c>
      <c r="F431" s="3168" t="s">
        <v>3540</v>
      </c>
      <c r="V431" s="3168">
        <v>430</v>
      </c>
      <c r="W431" s="3168" t="s">
        <v>3538</v>
      </c>
      <c r="X431" s="3168">
        <v>-1430</v>
      </c>
      <c r="Y431" s="3168">
        <v>25.39</v>
      </c>
      <c r="Z431" s="3168">
        <v>8.8699999999999992</v>
      </c>
      <c r="AA431" s="3167" t="s">
        <v>3546</v>
      </c>
    </row>
    <row r="432" spans="1:27" ht="14.25">
      <c r="A432" s="3168">
        <v>431</v>
      </c>
      <c r="B432" s="3168" t="s">
        <v>3534</v>
      </c>
      <c r="C432" s="3168" t="s">
        <v>3507</v>
      </c>
      <c r="D432" s="3168">
        <v>117.74</v>
      </c>
      <c r="E432" s="3168">
        <v>41.11</v>
      </c>
      <c r="F432" s="3168" t="s">
        <v>3540</v>
      </c>
      <c r="V432" s="3168">
        <v>431</v>
      </c>
      <c r="W432" s="3168" t="s">
        <v>3538</v>
      </c>
      <c r="X432" s="3168">
        <v>-1431</v>
      </c>
      <c r="Y432" s="3168">
        <v>38.08</v>
      </c>
      <c r="Z432" s="3168">
        <v>13.3</v>
      </c>
      <c r="AA432" s="3167" t="s">
        <v>3546</v>
      </c>
    </row>
    <row r="433" spans="1:27" ht="14.25">
      <c r="A433" s="3168">
        <v>432</v>
      </c>
      <c r="B433" s="3168" t="s">
        <v>3534</v>
      </c>
      <c r="C433" s="3168" t="s">
        <v>3508</v>
      </c>
      <c r="D433" s="3168">
        <v>117.74</v>
      </c>
      <c r="E433" s="3168">
        <v>41.11</v>
      </c>
      <c r="F433" s="3168" t="s">
        <v>3540</v>
      </c>
      <c r="V433" s="3168">
        <v>432</v>
      </c>
      <c r="W433" s="3168" t="s">
        <v>3538</v>
      </c>
      <c r="X433" s="3168">
        <v>-1432</v>
      </c>
      <c r="Y433" s="3168">
        <v>25.39</v>
      </c>
      <c r="Z433" s="3168">
        <v>8.8699999999999992</v>
      </c>
      <c r="AA433" s="3167" t="s">
        <v>3546</v>
      </c>
    </row>
    <row r="434" spans="1:27" ht="14.25">
      <c r="A434" s="3168">
        <v>433</v>
      </c>
      <c r="B434" s="3168" t="s">
        <v>3534</v>
      </c>
      <c r="C434" s="3168" t="s">
        <v>3509</v>
      </c>
      <c r="D434" s="3168">
        <v>117.74</v>
      </c>
      <c r="E434" s="3168">
        <v>41.11</v>
      </c>
      <c r="F434" s="3168" t="s">
        <v>3540</v>
      </c>
      <c r="V434" s="3168">
        <v>433</v>
      </c>
      <c r="W434" s="3168" t="s">
        <v>3538</v>
      </c>
      <c r="X434" s="3168">
        <v>-1433</v>
      </c>
      <c r="Y434" s="3168">
        <v>25.39</v>
      </c>
      <c r="Z434" s="3168">
        <v>8.8699999999999992</v>
      </c>
      <c r="AA434" s="3167" t="s">
        <v>3546</v>
      </c>
    </row>
    <row r="435" spans="1:27" ht="14.25">
      <c r="A435" s="3168">
        <v>434</v>
      </c>
      <c r="B435" s="3168" t="s">
        <v>3535</v>
      </c>
      <c r="C435" s="3168" t="s">
        <v>3451</v>
      </c>
      <c r="D435" s="3168">
        <v>129.75</v>
      </c>
      <c r="E435" s="3168">
        <v>45.31</v>
      </c>
      <c r="F435" s="3168" t="s">
        <v>3540</v>
      </c>
      <c r="V435" s="3168">
        <v>434</v>
      </c>
      <c r="W435" s="3168" t="s">
        <v>3538</v>
      </c>
      <c r="X435" s="3168">
        <v>-1434</v>
      </c>
      <c r="Y435" s="3168">
        <v>25.39</v>
      </c>
      <c r="Z435" s="3168">
        <v>8.8699999999999992</v>
      </c>
      <c r="AA435" s="3167" t="s">
        <v>3546</v>
      </c>
    </row>
    <row r="436" spans="1:27" ht="14.25">
      <c r="A436" s="3168">
        <v>435</v>
      </c>
      <c r="B436" s="3168" t="s">
        <v>3535</v>
      </c>
      <c r="C436" s="3168" t="s">
        <v>3452</v>
      </c>
      <c r="D436" s="3168">
        <v>129.41</v>
      </c>
      <c r="E436" s="3168">
        <v>45.19</v>
      </c>
      <c r="F436" s="3168" t="s">
        <v>3540</v>
      </c>
      <c r="V436" s="3168">
        <v>435</v>
      </c>
      <c r="W436" s="3168" t="s">
        <v>3538</v>
      </c>
      <c r="X436" s="3168">
        <v>-1435</v>
      </c>
      <c r="Y436" s="3168">
        <v>25.39</v>
      </c>
      <c r="Z436" s="3168">
        <v>8.8699999999999992</v>
      </c>
      <c r="AA436" s="3167" t="s">
        <v>3546</v>
      </c>
    </row>
    <row r="437" spans="1:27" ht="14.25">
      <c r="A437" s="3168">
        <v>436</v>
      </c>
      <c r="B437" s="3168" t="s">
        <v>3535</v>
      </c>
      <c r="C437" s="3168" t="s">
        <v>3475</v>
      </c>
      <c r="D437" s="3168">
        <v>129.75</v>
      </c>
      <c r="E437" s="3168">
        <v>45.31</v>
      </c>
      <c r="F437" s="3168" t="s">
        <v>3540</v>
      </c>
      <c r="V437" s="3168">
        <v>436</v>
      </c>
      <c r="W437" s="3168" t="s">
        <v>3538</v>
      </c>
      <c r="X437" s="3168">
        <v>-1436</v>
      </c>
      <c r="Y437" s="3168">
        <v>25.39</v>
      </c>
      <c r="Z437" s="3168">
        <v>8.8699999999999992</v>
      </c>
      <c r="AA437" s="3167" t="s">
        <v>3546</v>
      </c>
    </row>
    <row r="438" spans="1:27" ht="14.25">
      <c r="A438" s="3168">
        <v>437</v>
      </c>
      <c r="B438" s="3168" t="s">
        <v>3535</v>
      </c>
      <c r="C438" s="3168" t="s">
        <v>3476</v>
      </c>
      <c r="D438" s="3168">
        <v>129.41</v>
      </c>
      <c r="E438" s="3168">
        <v>45.19</v>
      </c>
      <c r="F438" s="3168" t="s">
        <v>3540</v>
      </c>
      <c r="V438" s="3168">
        <v>437</v>
      </c>
      <c r="W438" s="3168" t="s">
        <v>3538</v>
      </c>
      <c r="X438" s="3168">
        <v>-1437</v>
      </c>
      <c r="Y438" s="3168">
        <v>25.39</v>
      </c>
      <c r="Z438" s="3168">
        <v>8.8699999999999992</v>
      </c>
      <c r="AA438" s="3167" t="s">
        <v>3546</v>
      </c>
    </row>
    <row r="439" spans="1:27" ht="14.25">
      <c r="A439" s="3168">
        <v>438</v>
      </c>
      <c r="B439" s="3168" t="s">
        <v>3535</v>
      </c>
      <c r="C439" s="3168" t="s">
        <v>3442</v>
      </c>
      <c r="D439" s="3168">
        <v>129.75</v>
      </c>
      <c r="E439" s="3168">
        <v>45.31</v>
      </c>
      <c r="F439" s="3168" t="s">
        <v>3540</v>
      </c>
      <c r="V439" s="3168">
        <v>438</v>
      </c>
      <c r="W439" s="3168" t="s">
        <v>3538</v>
      </c>
      <c r="X439" s="3168">
        <v>-1438</v>
      </c>
      <c r="Y439" s="3168">
        <v>25.39</v>
      </c>
      <c r="Z439" s="3168">
        <v>8.8699999999999992</v>
      </c>
      <c r="AA439" s="3167" t="s">
        <v>3546</v>
      </c>
    </row>
    <row r="440" spans="1:27" ht="14.25">
      <c r="A440" s="3168">
        <v>439</v>
      </c>
      <c r="B440" s="3168" t="s">
        <v>3535</v>
      </c>
      <c r="C440" s="3168" t="s">
        <v>3453</v>
      </c>
      <c r="D440" s="3168">
        <v>129.75</v>
      </c>
      <c r="E440" s="3168">
        <v>45.31</v>
      </c>
      <c r="F440" s="3168" t="s">
        <v>3540</v>
      </c>
      <c r="V440" s="3168">
        <v>439</v>
      </c>
      <c r="W440" s="3168" t="s">
        <v>3538</v>
      </c>
      <c r="X440" s="3168">
        <v>-1439</v>
      </c>
      <c r="Y440" s="3168">
        <v>25.39</v>
      </c>
      <c r="Z440" s="3168">
        <v>8.8699999999999992</v>
      </c>
      <c r="AA440" s="3167" t="s">
        <v>3546</v>
      </c>
    </row>
    <row r="441" spans="1:27" ht="14.25">
      <c r="A441" s="3168">
        <v>440</v>
      </c>
      <c r="B441" s="3168" t="s">
        <v>3535</v>
      </c>
      <c r="C441" s="3168" t="s">
        <v>3485</v>
      </c>
      <c r="D441" s="3168">
        <v>129.41</v>
      </c>
      <c r="E441" s="3168">
        <v>45.19</v>
      </c>
      <c r="F441" s="3168" t="s">
        <v>3540</v>
      </c>
      <c r="V441" s="3168">
        <v>440</v>
      </c>
      <c r="W441" s="3168" t="s">
        <v>3538</v>
      </c>
      <c r="X441" s="3168">
        <v>-1440</v>
      </c>
      <c r="Y441" s="3168">
        <v>25.39</v>
      </c>
      <c r="Z441" s="3168">
        <v>8.8699999999999992</v>
      </c>
      <c r="AA441" s="3167" t="s">
        <v>3546</v>
      </c>
    </row>
    <row r="442" spans="1:27" ht="14.25">
      <c r="A442" s="3168">
        <v>441</v>
      </c>
      <c r="B442" s="3168" t="s">
        <v>3535</v>
      </c>
      <c r="C442" s="3168" t="s">
        <v>3444</v>
      </c>
      <c r="D442" s="3168">
        <v>101.45</v>
      </c>
      <c r="E442" s="3168">
        <v>35.43</v>
      </c>
      <c r="F442" s="3168" t="s">
        <v>3540</v>
      </c>
      <c r="V442" s="3168">
        <v>441</v>
      </c>
      <c r="W442" s="3168" t="s">
        <v>3538</v>
      </c>
      <c r="X442" s="3168">
        <v>-1441</v>
      </c>
      <c r="Y442" s="3168">
        <v>25.39</v>
      </c>
      <c r="Z442" s="3168">
        <v>8.8699999999999992</v>
      </c>
      <c r="AA442" s="3167" t="s">
        <v>3546</v>
      </c>
    </row>
    <row r="443" spans="1:27" ht="14.25">
      <c r="A443" s="3168">
        <v>442</v>
      </c>
      <c r="B443" s="3168" t="s">
        <v>3535</v>
      </c>
      <c r="C443" s="3168" t="s">
        <v>3429</v>
      </c>
      <c r="D443" s="3168">
        <v>117.1</v>
      </c>
      <c r="E443" s="3168">
        <v>40.89</v>
      </c>
      <c r="F443" s="3168" t="s">
        <v>3540</v>
      </c>
      <c r="V443" s="3168">
        <v>442</v>
      </c>
      <c r="W443" s="3168" t="s">
        <v>3538</v>
      </c>
      <c r="X443" s="3168">
        <v>-1442</v>
      </c>
      <c r="Y443" s="3168">
        <v>25.39</v>
      </c>
      <c r="Z443" s="3168">
        <v>8.8699999999999992</v>
      </c>
      <c r="AA443" s="3167" t="s">
        <v>3546</v>
      </c>
    </row>
    <row r="444" spans="1:27" ht="14.25">
      <c r="A444" s="3168">
        <v>443</v>
      </c>
      <c r="B444" s="3168" t="s">
        <v>3535</v>
      </c>
      <c r="C444" s="3168" t="s">
        <v>3462</v>
      </c>
      <c r="D444" s="3168">
        <v>117.1</v>
      </c>
      <c r="E444" s="3168">
        <v>40.89</v>
      </c>
      <c r="F444" s="3168" t="s">
        <v>3540</v>
      </c>
      <c r="V444" s="3168">
        <v>443</v>
      </c>
      <c r="W444" s="3168" t="s">
        <v>3538</v>
      </c>
      <c r="X444" s="3168">
        <v>-1443</v>
      </c>
      <c r="Y444" s="3168">
        <v>25.39</v>
      </c>
      <c r="Z444" s="3168">
        <v>8.8699999999999992</v>
      </c>
      <c r="AA444" s="3167" t="s">
        <v>3546</v>
      </c>
    </row>
    <row r="445" spans="1:27" ht="14.25">
      <c r="A445" s="3168">
        <v>444</v>
      </c>
      <c r="B445" s="3168" t="s">
        <v>3535</v>
      </c>
      <c r="C445" s="3168" t="s">
        <v>3463</v>
      </c>
      <c r="D445" s="3168">
        <v>117.1</v>
      </c>
      <c r="E445" s="3168">
        <v>40.89</v>
      </c>
      <c r="F445" s="3168" t="s">
        <v>3540</v>
      </c>
      <c r="V445" s="3168">
        <v>444</v>
      </c>
      <c r="W445" s="3168" t="s">
        <v>3538</v>
      </c>
      <c r="X445" s="3168">
        <v>-1444</v>
      </c>
      <c r="Y445" s="3168">
        <v>25.39</v>
      </c>
      <c r="Z445" s="3168">
        <v>8.8699999999999992</v>
      </c>
      <c r="AA445" s="3167" t="s">
        <v>3546</v>
      </c>
    </row>
    <row r="446" spans="1:27" ht="14.25">
      <c r="A446" s="3168">
        <v>445</v>
      </c>
      <c r="B446" s="3168" t="s">
        <v>3535</v>
      </c>
      <c r="C446" s="3168" t="s">
        <v>3464</v>
      </c>
      <c r="D446" s="3168">
        <v>117.1</v>
      </c>
      <c r="E446" s="3168">
        <v>40.89</v>
      </c>
      <c r="F446" s="3168" t="s">
        <v>3540</v>
      </c>
      <c r="V446" s="3168">
        <v>445</v>
      </c>
      <c r="W446" s="3168" t="s">
        <v>3538</v>
      </c>
      <c r="X446" s="3168">
        <v>-1445</v>
      </c>
      <c r="Y446" s="3168">
        <v>25.39</v>
      </c>
      <c r="Z446" s="3168">
        <v>8.8699999999999992</v>
      </c>
      <c r="AA446" s="3167" t="s">
        <v>3546</v>
      </c>
    </row>
    <row r="447" spans="1:27" ht="14.25">
      <c r="A447" s="3168">
        <v>446</v>
      </c>
      <c r="B447" s="3168" t="s">
        <v>3535</v>
      </c>
      <c r="C447" s="3168" t="s">
        <v>3489</v>
      </c>
      <c r="D447" s="3168">
        <v>117.1</v>
      </c>
      <c r="E447" s="3168">
        <v>40.89</v>
      </c>
      <c r="F447" s="3168" t="s">
        <v>3540</v>
      </c>
      <c r="V447" s="3168">
        <v>446</v>
      </c>
      <c r="W447" s="3168" t="s">
        <v>3538</v>
      </c>
      <c r="X447" s="3168">
        <v>-1446</v>
      </c>
      <c r="Y447" s="3168">
        <v>25.39</v>
      </c>
      <c r="Z447" s="3168">
        <v>8.8699999999999992</v>
      </c>
      <c r="AA447" s="3167" t="s">
        <v>3546</v>
      </c>
    </row>
    <row r="448" spans="1:27" ht="14.25">
      <c r="A448" s="3168">
        <v>447</v>
      </c>
      <c r="B448" s="3168" t="s">
        <v>3535</v>
      </c>
      <c r="C448" s="3168" t="s">
        <v>3519</v>
      </c>
      <c r="D448" s="3168">
        <v>117.1</v>
      </c>
      <c r="E448" s="3168">
        <v>40.89</v>
      </c>
      <c r="F448" s="3168" t="s">
        <v>3540</v>
      </c>
      <c r="V448" s="3168">
        <v>447</v>
      </c>
      <c r="W448" s="3168" t="s">
        <v>3538</v>
      </c>
      <c r="X448" s="3168">
        <v>-1447</v>
      </c>
      <c r="Y448" s="3168">
        <v>25.39</v>
      </c>
      <c r="Z448" s="3168">
        <v>8.8699999999999992</v>
      </c>
      <c r="AA448" s="3167" t="s">
        <v>3546</v>
      </c>
    </row>
    <row r="449" spans="1:27" ht="14.25">
      <c r="A449" s="3168">
        <v>448</v>
      </c>
      <c r="B449" s="3168" t="s">
        <v>3535</v>
      </c>
      <c r="C449" s="3168" t="s">
        <v>3520</v>
      </c>
      <c r="D449" s="3168">
        <v>117.1</v>
      </c>
      <c r="E449" s="3168">
        <v>40.89</v>
      </c>
      <c r="F449" s="3168" t="s">
        <v>3540</v>
      </c>
      <c r="V449" s="3168">
        <v>448</v>
      </c>
      <c r="W449" s="3168" t="s">
        <v>3538</v>
      </c>
      <c r="X449" s="3168">
        <v>-1448</v>
      </c>
      <c r="Y449" s="3168">
        <v>25.39</v>
      </c>
      <c r="Z449" s="3168">
        <v>8.8699999999999992</v>
      </c>
      <c r="AA449" s="3167" t="s">
        <v>3546</v>
      </c>
    </row>
    <row r="450" spans="1:27" ht="14.25">
      <c r="A450" s="3168">
        <v>449</v>
      </c>
      <c r="B450" s="3168" t="s">
        <v>3535</v>
      </c>
      <c r="C450" s="3168" t="s">
        <v>3496</v>
      </c>
      <c r="D450" s="3168">
        <v>117.1</v>
      </c>
      <c r="E450" s="3168">
        <v>40.89</v>
      </c>
      <c r="F450" s="3168" t="s">
        <v>3540</v>
      </c>
      <c r="V450" s="3168">
        <v>449</v>
      </c>
      <c r="W450" s="3168" t="s">
        <v>3538</v>
      </c>
      <c r="X450" s="3168">
        <v>-1449</v>
      </c>
      <c r="Y450" s="3168">
        <v>25.39</v>
      </c>
      <c r="Z450" s="3168">
        <v>8.8699999999999992</v>
      </c>
      <c r="AA450" s="3167" t="s">
        <v>3546</v>
      </c>
    </row>
    <row r="451" spans="1:27" ht="14.25">
      <c r="A451" s="3168">
        <v>450</v>
      </c>
      <c r="B451" s="3168" t="s">
        <v>3535</v>
      </c>
      <c r="C451" s="3168" t="s">
        <v>3446</v>
      </c>
      <c r="D451" s="3168">
        <v>117.1</v>
      </c>
      <c r="E451" s="3168">
        <v>40.89</v>
      </c>
      <c r="F451" s="3168" t="s">
        <v>3540</v>
      </c>
      <c r="V451" s="3168">
        <v>450</v>
      </c>
      <c r="W451" s="3168" t="s">
        <v>3538</v>
      </c>
      <c r="X451" s="3168">
        <v>-1450</v>
      </c>
      <c r="Y451" s="3168">
        <v>25.39</v>
      </c>
      <c r="Z451" s="3168">
        <v>8.8699999999999992</v>
      </c>
      <c r="AA451" s="3167" t="s">
        <v>3546</v>
      </c>
    </row>
    <row r="452" spans="1:27" ht="14.25">
      <c r="A452" s="3168">
        <v>451</v>
      </c>
      <c r="B452" s="3168" t="s">
        <v>3535</v>
      </c>
      <c r="C452" s="3168" t="s">
        <v>3447</v>
      </c>
      <c r="D452" s="3168">
        <v>117.43</v>
      </c>
      <c r="E452" s="3168">
        <v>41.01</v>
      </c>
      <c r="F452" s="3168" t="s">
        <v>3540</v>
      </c>
      <c r="V452" s="3168">
        <v>451</v>
      </c>
      <c r="W452" s="3168" t="s">
        <v>3538</v>
      </c>
      <c r="X452" s="3168">
        <v>-1451</v>
      </c>
      <c r="Y452" s="3168">
        <v>25.39</v>
      </c>
      <c r="Z452" s="3168">
        <v>8.8699999999999992</v>
      </c>
      <c r="AA452" s="3167" t="s">
        <v>3546</v>
      </c>
    </row>
    <row r="453" spans="1:27" ht="14.25">
      <c r="A453" s="3168">
        <v>452</v>
      </c>
      <c r="B453" s="3168" t="s">
        <v>3535</v>
      </c>
      <c r="C453" s="3168" t="s">
        <v>3498</v>
      </c>
      <c r="D453" s="3168">
        <v>117.77</v>
      </c>
      <c r="E453" s="3168">
        <v>41.12</v>
      </c>
      <c r="F453" s="3168" t="s">
        <v>3540</v>
      </c>
      <c r="V453" s="3168">
        <v>452</v>
      </c>
      <c r="W453" s="3168" t="s">
        <v>3538</v>
      </c>
      <c r="X453" s="3168">
        <v>-1452</v>
      </c>
      <c r="Y453" s="3168">
        <v>25.39</v>
      </c>
      <c r="Z453" s="3168">
        <v>8.8699999999999992</v>
      </c>
      <c r="AA453" s="3167" t="s">
        <v>3546</v>
      </c>
    </row>
    <row r="454" spans="1:27" ht="14.25">
      <c r="A454" s="3168">
        <v>453</v>
      </c>
      <c r="B454" s="3168" t="s">
        <v>3535</v>
      </c>
      <c r="C454" s="3168" t="s">
        <v>3435</v>
      </c>
      <c r="D454" s="3168">
        <v>117.43</v>
      </c>
      <c r="E454" s="3168">
        <v>41.01</v>
      </c>
      <c r="F454" s="3168" t="s">
        <v>3540</v>
      </c>
      <c r="V454" s="3168">
        <v>453</v>
      </c>
      <c r="W454" s="3168" t="s">
        <v>3538</v>
      </c>
      <c r="X454" s="3168">
        <v>-1453</v>
      </c>
      <c r="Y454" s="3168">
        <v>25.39</v>
      </c>
      <c r="Z454" s="3168">
        <v>8.8699999999999992</v>
      </c>
      <c r="AA454" s="3167" t="s">
        <v>3546</v>
      </c>
    </row>
    <row r="455" spans="1:27" ht="14.25">
      <c r="A455" s="3168">
        <v>454</v>
      </c>
      <c r="B455" s="3168" t="s">
        <v>3535</v>
      </c>
      <c r="C455" s="3168" t="s">
        <v>3499</v>
      </c>
      <c r="D455" s="3168">
        <v>117.77</v>
      </c>
      <c r="E455" s="3168">
        <v>41.12</v>
      </c>
      <c r="F455" s="3168" t="s">
        <v>3540</v>
      </c>
      <c r="V455" s="3168">
        <v>454</v>
      </c>
      <c r="W455" s="3168" t="s">
        <v>3538</v>
      </c>
      <c r="X455" s="3168">
        <v>-1454</v>
      </c>
      <c r="Y455" s="3168">
        <v>25.39</v>
      </c>
      <c r="Z455" s="3168">
        <v>8.8699999999999992</v>
      </c>
      <c r="AA455" s="3167" t="s">
        <v>3546</v>
      </c>
    </row>
    <row r="456" spans="1:27" ht="14.25">
      <c r="A456" s="3168">
        <v>455</v>
      </c>
      <c r="B456" s="3168" t="s">
        <v>3535</v>
      </c>
      <c r="C456" s="3168" t="s">
        <v>3502</v>
      </c>
      <c r="D456" s="3168">
        <v>117.77</v>
      </c>
      <c r="E456" s="3168">
        <v>41.12</v>
      </c>
      <c r="F456" s="3168" t="s">
        <v>3540</v>
      </c>
      <c r="V456" s="3168">
        <v>455</v>
      </c>
      <c r="W456" s="3168" t="s">
        <v>3538</v>
      </c>
      <c r="X456" s="3168">
        <v>-1455</v>
      </c>
      <c r="Y456" s="3168">
        <v>25.39</v>
      </c>
      <c r="Z456" s="3168">
        <v>8.8699999999999992</v>
      </c>
      <c r="AA456" s="3167" t="s">
        <v>3546</v>
      </c>
    </row>
    <row r="457" spans="1:27" ht="14.25">
      <c r="A457" s="3168">
        <v>456</v>
      </c>
      <c r="B457" s="3168" t="s">
        <v>3535</v>
      </c>
      <c r="C457" s="3168" t="s">
        <v>3436</v>
      </c>
      <c r="D457" s="3168">
        <v>117.43</v>
      </c>
      <c r="E457" s="3168">
        <v>41.01</v>
      </c>
      <c r="F457" s="3168" t="s">
        <v>3540</v>
      </c>
      <c r="V457" s="3168">
        <v>456</v>
      </c>
      <c r="W457" s="3168" t="s">
        <v>3538</v>
      </c>
      <c r="X457" s="3168">
        <v>-1456</v>
      </c>
      <c r="Y457" s="3168">
        <v>25.39</v>
      </c>
      <c r="Z457" s="3168">
        <v>8.8699999999999992</v>
      </c>
      <c r="AA457" s="3167" t="s">
        <v>3546</v>
      </c>
    </row>
    <row r="458" spans="1:27" ht="14.25">
      <c r="A458" s="3168">
        <v>457</v>
      </c>
      <c r="B458" s="3168" t="s">
        <v>3535</v>
      </c>
      <c r="C458" s="3168" t="s">
        <v>3504</v>
      </c>
      <c r="D458" s="3168">
        <v>117.43</v>
      </c>
      <c r="E458" s="3168">
        <v>41.01</v>
      </c>
      <c r="F458" s="3168" t="s">
        <v>3540</v>
      </c>
      <c r="V458" s="3168">
        <v>457</v>
      </c>
      <c r="W458" s="3168" t="s">
        <v>3538</v>
      </c>
      <c r="X458" s="3168">
        <v>-1457</v>
      </c>
      <c r="Y458" s="3168">
        <v>25.39</v>
      </c>
      <c r="Z458" s="3168">
        <v>8.8699999999999992</v>
      </c>
      <c r="AA458" s="3167" t="s">
        <v>3546</v>
      </c>
    </row>
    <row r="459" spans="1:27" ht="14.25">
      <c r="A459" s="3168">
        <v>458</v>
      </c>
      <c r="B459" s="3168" t="s">
        <v>3535</v>
      </c>
      <c r="C459" s="3168" t="s">
        <v>3440</v>
      </c>
      <c r="D459" s="3168">
        <v>117.77</v>
      </c>
      <c r="E459" s="3168">
        <v>41.12</v>
      </c>
      <c r="F459" s="3168" t="s">
        <v>3540</v>
      </c>
      <c r="V459" s="3168">
        <v>458</v>
      </c>
      <c r="W459" s="3168" t="s">
        <v>3538</v>
      </c>
      <c r="X459" s="3168">
        <v>-1458</v>
      </c>
      <c r="Y459" s="3168">
        <v>25.39</v>
      </c>
      <c r="Z459" s="3168">
        <v>8.8699999999999992</v>
      </c>
      <c r="AA459" s="3167" t="s">
        <v>3546</v>
      </c>
    </row>
    <row r="460" spans="1:27" ht="14.25">
      <c r="A460" s="3168">
        <v>459</v>
      </c>
      <c r="B460" s="3168" t="s">
        <v>3535</v>
      </c>
      <c r="C460" s="3168" t="s">
        <v>3473</v>
      </c>
      <c r="D460" s="3168">
        <v>117.43</v>
      </c>
      <c r="E460" s="3168">
        <v>41.01</v>
      </c>
      <c r="F460" s="3168" t="s">
        <v>3540</v>
      </c>
      <c r="V460" s="3168">
        <v>459</v>
      </c>
      <c r="W460" s="3168" t="s">
        <v>3538</v>
      </c>
      <c r="X460" s="3168">
        <v>-1459</v>
      </c>
      <c r="Y460" s="3168">
        <v>25.39</v>
      </c>
      <c r="Z460" s="3168">
        <v>8.8699999999999992</v>
      </c>
      <c r="AA460" s="3167" t="s">
        <v>3546</v>
      </c>
    </row>
    <row r="461" spans="1:27" ht="14.25">
      <c r="A461" s="3168">
        <v>460</v>
      </c>
      <c r="B461" s="3168" t="s">
        <v>3535</v>
      </c>
      <c r="C461" s="3168" t="s">
        <v>3506</v>
      </c>
      <c r="D461" s="3168">
        <v>117.77</v>
      </c>
      <c r="E461" s="3168">
        <v>41.12</v>
      </c>
      <c r="F461" s="3168" t="s">
        <v>3540</v>
      </c>
      <c r="V461" s="3168">
        <v>460</v>
      </c>
      <c r="W461" s="3168" t="s">
        <v>3538</v>
      </c>
      <c r="X461" s="3168">
        <v>-1460</v>
      </c>
      <c r="Y461" s="3168">
        <v>25.39</v>
      </c>
      <c r="Z461" s="3168">
        <v>8.8699999999999992</v>
      </c>
      <c r="AA461" s="3167" t="s">
        <v>3546</v>
      </c>
    </row>
    <row r="462" spans="1:27" ht="14.25">
      <c r="A462" s="3168">
        <v>461</v>
      </c>
      <c r="B462" s="3168" t="s">
        <v>3535</v>
      </c>
      <c r="C462" s="3168" t="s">
        <v>3508</v>
      </c>
      <c r="D462" s="3168">
        <v>117.77</v>
      </c>
      <c r="E462" s="3168">
        <v>41.12</v>
      </c>
      <c r="F462" s="3168" t="s">
        <v>3540</v>
      </c>
      <c r="V462" s="3168">
        <v>461</v>
      </c>
      <c r="W462" s="3168" t="s">
        <v>3538</v>
      </c>
      <c r="X462" s="3168">
        <v>-1461</v>
      </c>
      <c r="Y462" s="3168">
        <v>25.39</v>
      </c>
      <c r="Z462" s="3168">
        <v>8.8699999999999992</v>
      </c>
      <c r="AA462" s="3167" t="s">
        <v>3546</v>
      </c>
    </row>
    <row r="463" spans="1:27" ht="14.25">
      <c r="A463" s="3168">
        <v>462</v>
      </c>
      <c r="B463" s="3168" t="s">
        <v>3535</v>
      </c>
      <c r="C463" s="3168" t="s">
        <v>3509</v>
      </c>
      <c r="D463" s="3168">
        <v>117.77</v>
      </c>
      <c r="E463" s="3168">
        <v>41.12</v>
      </c>
      <c r="F463" s="3168" t="s">
        <v>3540</v>
      </c>
      <c r="V463" s="3168">
        <v>462</v>
      </c>
      <c r="W463" s="3168" t="s">
        <v>3538</v>
      </c>
      <c r="X463" s="3168">
        <v>-1462</v>
      </c>
      <c r="Y463" s="3168">
        <v>25.39</v>
      </c>
      <c r="Z463" s="3168">
        <v>8.8699999999999992</v>
      </c>
      <c r="AA463" s="3167" t="s">
        <v>3546</v>
      </c>
    </row>
    <row r="464" spans="1:27" ht="14.25">
      <c r="A464" s="3168">
        <v>463</v>
      </c>
      <c r="B464" s="3168" t="s">
        <v>3536</v>
      </c>
      <c r="C464" s="3168" t="s">
        <v>3452</v>
      </c>
      <c r="D464" s="3168">
        <v>95.6</v>
      </c>
      <c r="E464" s="3168">
        <v>33.380000000000003</v>
      </c>
      <c r="F464" s="3168" t="s">
        <v>3540</v>
      </c>
      <c r="V464" s="3168">
        <v>463</v>
      </c>
      <c r="W464" s="3168" t="s">
        <v>3538</v>
      </c>
      <c r="X464" s="3168">
        <v>-1463</v>
      </c>
      <c r="Y464" s="3168">
        <v>25.39</v>
      </c>
      <c r="Z464" s="3168">
        <v>8.8699999999999992</v>
      </c>
      <c r="AA464" s="3167" t="s">
        <v>3546</v>
      </c>
    </row>
    <row r="465" spans="1:27" ht="14.25">
      <c r="A465" s="3168">
        <v>464</v>
      </c>
      <c r="B465" s="3168" t="s">
        <v>3536</v>
      </c>
      <c r="C465" s="3168" t="s">
        <v>3484</v>
      </c>
      <c r="D465" s="3168">
        <v>95.6</v>
      </c>
      <c r="E465" s="3168">
        <v>33.380000000000003</v>
      </c>
      <c r="F465" s="3168" t="s">
        <v>3540</v>
      </c>
      <c r="V465" s="3168">
        <v>464</v>
      </c>
      <c r="W465" s="3168" t="s">
        <v>3538</v>
      </c>
      <c r="X465" s="3168">
        <v>-1464</v>
      </c>
      <c r="Y465" s="3168">
        <v>25.39</v>
      </c>
      <c r="Z465" s="3168">
        <v>8.8699999999999992</v>
      </c>
      <c r="AA465" s="3167" t="s">
        <v>3546</v>
      </c>
    </row>
    <row r="466" spans="1:27" ht="14.25">
      <c r="A466" s="3168">
        <v>465</v>
      </c>
      <c r="B466" s="3168" t="s">
        <v>3536</v>
      </c>
      <c r="C466" s="3168" t="s">
        <v>3429</v>
      </c>
      <c r="D466" s="3168">
        <v>96.07</v>
      </c>
      <c r="E466" s="3168">
        <v>33.549999999999997</v>
      </c>
      <c r="F466" s="3168" t="s">
        <v>3540</v>
      </c>
      <c r="V466" s="3168">
        <v>465</v>
      </c>
      <c r="W466" s="3168" t="s">
        <v>3538</v>
      </c>
      <c r="X466" s="3168">
        <v>-1465</v>
      </c>
      <c r="Y466" s="3168">
        <v>25.39</v>
      </c>
      <c r="Z466" s="3168">
        <v>8.8699999999999992</v>
      </c>
      <c r="AA466" s="3167" t="s">
        <v>3546</v>
      </c>
    </row>
    <row r="467" spans="1:27" ht="14.25">
      <c r="A467" s="3168">
        <v>466</v>
      </c>
      <c r="B467" s="3168" t="s">
        <v>3536</v>
      </c>
      <c r="C467" s="3168" t="s">
        <v>3488</v>
      </c>
      <c r="D467" s="3168">
        <v>96.07</v>
      </c>
      <c r="E467" s="3168">
        <v>33.549999999999997</v>
      </c>
      <c r="F467" s="3168" t="s">
        <v>3540</v>
      </c>
      <c r="V467" s="3168">
        <v>466</v>
      </c>
      <c r="W467" s="3168" t="s">
        <v>3538</v>
      </c>
      <c r="X467" s="3168">
        <v>-1466</v>
      </c>
      <c r="Y467" s="3168">
        <v>25.39</v>
      </c>
      <c r="Z467" s="3168">
        <v>8.8699999999999992</v>
      </c>
      <c r="AA467" s="3167" t="s">
        <v>3546</v>
      </c>
    </row>
    <row r="468" spans="1:27" ht="14.25">
      <c r="A468" s="3168">
        <v>467</v>
      </c>
      <c r="B468" s="3168" t="s">
        <v>3536</v>
      </c>
      <c r="C468" s="3168" t="s">
        <v>3520</v>
      </c>
      <c r="D468" s="3168">
        <v>96.07</v>
      </c>
      <c r="E468" s="3168">
        <v>33.549999999999997</v>
      </c>
      <c r="F468" s="3168" t="s">
        <v>3540</v>
      </c>
      <c r="V468" s="3168">
        <v>467</v>
      </c>
      <c r="W468" s="3168" t="s">
        <v>3538</v>
      </c>
      <c r="X468" s="3168">
        <v>-1467</v>
      </c>
      <c r="Y468" s="3168">
        <v>25.39</v>
      </c>
      <c r="Z468" s="3168">
        <v>8.8699999999999992</v>
      </c>
      <c r="AA468" s="3167" t="s">
        <v>3546</v>
      </c>
    </row>
    <row r="469" spans="1:27" ht="14.25">
      <c r="A469" s="3168">
        <v>468</v>
      </c>
      <c r="B469" s="3168" t="s">
        <v>3536</v>
      </c>
      <c r="C469" s="3168" t="s">
        <v>3494</v>
      </c>
      <c r="D469" s="3168">
        <v>96.07</v>
      </c>
      <c r="E469" s="3168">
        <v>33.549999999999997</v>
      </c>
      <c r="F469" s="3168" t="s">
        <v>3540</v>
      </c>
      <c r="V469" s="3168">
        <v>468</v>
      </c>
      <c r="W469" s="3168" t="s">
        <v>3538</v>
      </c>
      <c r="X469" s="3168">
        <v>-1468</v>
      </c>
      <c r="Y469" s="3168">
        <v>25.39</v>
      </c>
      <c r="Z469" s="3168">
        <v>8.8699999999999992</v>
      </c>
      <c r="AA469" s="3167" t="s">
        <v>3546</v>
      </c>
    </row>
    <row r="470" spans="1:27" ht="14.25">
      <c r="A470" s="3168">
        <v>469</v>
      </c>
      <c r="B470" s="3168" t="s">
        <v>3536</v>
      </c>
      <c r="C470" s="3168" t="s">
        <v>3495</v>
      </c>
      <c r="D470" s="3168">
        <v>96.07</v>
      </c>
      <c r="E470" s="3168">
        <v>33.549999999999997</v>
      </c>
      <c r="F470" s="3168" t="s">
        <v>3540</v>
      </c>
      <c r="V470" s="3168">
        <v>469</v>
      </c>
      <c r="W470" s="3168" t="s">
        <v>3538</v>
      </c>
      <c r="X470" s="3168">
        <v>-1469</v>
      </c>
      <c r="Y470" s="3168">
        <v>25.39</v>
      </c>
      <c r="Z470" s="3168">
        <v>8.8699999999999992</v>
      </c>
      <c r="AA470" s="3167" t="s">
        <v>3546</v>
      </c>
    </row>
    <row r="471" spans="1:27" ht="14.25">
      <c r="A471" s="3168">
        <v>470</v>
      </c>
      <c r="B471" s="3168" t="s">
        <v>3536</v>
      </c>
      <c r="C471" s="3168" t="s">
        <v>3446</v>
      </c>
      <c r="D471" s="3168">
        <v>71.37</v>
      </c>
      <c r="E471" s="3168">
        <v>24.92</v>
      </c>
      <c r="F471" s="3168" t="s">
        <v>3540</v>
      </c>
      <c r="V471" s="3168">
        <v>470</v>
      </c>
      <c r="W471" s="3168" t="s">
        <v>3538</v>
      </c>
      <c r="X471" s="3168">
        <v>-1470</v>
      </c>
      <c r="Y471" s="3168">
        <v>25.39</v>
      </c>
      <c r="Z471" s="3168">
        <v>8.8699999999999992</v>
      </c>
      <c r="AA471" s="3167" t="s">
        <v>3546</v>
      </c>
    </row>
    <row r="472" spans="1:27" ht="14.25">
      <c r="A472" s="3168">
        <v>471</v>
      </c>
      <c r="B472" s="3168" t="s">
        <v>3536</v>
      </c>
      <c r="C472" s="3168" t="s">
        <v>3435</v>
      </c>
      <c r="D472" s="3168">
        <v>95.86</v>
      </c>
      <c r="E472" s="3168">
        <v>33.47</v>
      </c>
      <c r="F472" s="3168" t="s">
        <v>3540</v>
      </c>
      <c r="V472" s="3168">
        <v>471</v>
      </c>
      <c r="W472" s="3168" t="s">
        <v>3538</v>
      </c>
      <c r="X472" s="3168">
        <v>-1471</v>
      </c>
      <c r="Y472" s="3168">
        <v>38.08</v>
      </c>
      <c r="Z472" s="3168">
        <v>13.3</v>
      </c>
      <c r="AA472" s="3167" t="s">
        <v>3546</v>
      </c>
    </row>
    <row r="473" spans="1:27" ht="14.25">
      <c r="A473" s="3168">
        <v>472</v>
      </c>
      <c r="B473" s="3168" t="s">
        <v>3536</v>
      </c>
      <c r="C473" s="3168" t="s">
        <v>3501</v>
      </c>
      <c r="D473" s="3168">
        <v>95.86</v>
      </c>
      <c r="E473" s="3168">
        <v>33.47</v>
      </c>
      <c r="F473" s="3168" t="s">
        <v>3540</v>
      </c>
      <c r="V473" s="3168">
        <v>472</v>
      </c>
      <c r="W473" s="3168" t="s">
        <v>3538</v>
      </c>
      <c r="X473" s="3168">
        <v>-1472</v>
      </c>
      <c r="Y473" s="3168">
        <v>25.39</v>
      </c>
      <c r="Z473" s="3168">
        <v>8.8699999999999992</v>
      </c>
      <c r="AA473" s="3167" t="s">
        <v>3546</v>
      </c>
    </row>
    <row r="474" spans="1:27" ht="14.25">
      <c r="A474" s="3168">
        <v>473</v>
      </c>
      <c r="B474" s="3168" t="s">
        <v>3536</v>
      </c>
      <c r="C474" s="3168" t="s">
        <v>3436</v>
      </c>
      <c r="D474" s="3168">
        <v>95.86</v>
      </c>
      <c r="E474" s="3168">
        <v>33.47</v>
      </c>
      <c r="F474" s="3168" t="s">
        <v>3540</v>
      </c>
      <c r="V474" s="3168">
        <v>473</v>
      </c>
      <c r="W474" s="3168" t="s">
        <v>3538</v>
      </c>
      <c r="X474" s="3168">
        <v>-1473</v>
      </c>
      <c r="Y474" s="3168">
        <v>25.39</v>
      </c>
      <c r="Z474" s="3168">
        <v>8.8699999999999992</v>
      </c>
      <c r="AA474" s="3167" t="s">
        <v>3546</v>
      </c>
    </row>
    <row r="475" spans="1:27" ht="14.25">
      <c r="A475" s="3168">
        <v>474</v>
      </c>
      <c r="B475" s="3168" t="s">
        <v>3536</v>
      </c>
      <c r="C475" s="3168" t="s">
        <v>3437</v>
      </c>
      <c r="D475" s="3168">
        <v>96.21</v>
      </c>
      <c r="E475" s="3168">
        <v>33.6</v>
      </c>
      <c r="F475" s="3168" t="s">
        <v>3540</v>
      </c>
      <c r="V475" s="3168">
        <v>474</v>
      </c>
      <c r="W475" s="3168" t="s">
        <v>3538</v>
      </c>
      <c r="X475" s="3168">
        <v>-1474</v>
      </c>
      <c r="Y475" s="3168">
        <v>25.39</v>
      </c>
      <c r="Z475" s="3168">
        <v>8.8699999999999992</v>
      </c>
      <c r="AA475" s="3167" t="s">
        <v>3546</v>
      </c>
    </row>
    <row r="476" spans="1:27" ht="14.25">
      <c r="A476" s="3168">
        <v>475</v>
      </c>
      <c r="B476" s="3168" t="s">
        <v>3536</v>
      </c>
      <c r="C476" s="3168" t="s">
        <v>3473</v>
      </c>
      <c r="D476" s="3168">
        <v>96.21</v>
      </c>
      <c r="E476" s="3168">
        <v>33.6</v>
      </c>
      <c r="F476" s="3168" t="s">
        <v>3540</v>
      </c>
      <c r="V476" s="3168">
        <v>475</v>
      </c>
      <c r="W476" s="3168" t="s">
        <v>3538</v>
      </c>
      <c r="X476" s="3168">
        <v>-1475</v>
      </c>
      <c r="Y476" s="3168">
        <v>25.39</v>
      </c>
      <c r="Z476" s="3168">
        <v>8.8699999999999992</v>
      </c>
      <c r="AA476" s="3167" t="s">
        <v>3546</v>
      </c>
    </row>
    <row r="477" spans="1:27" ht="14.25">
      <c r="A477" s="3168">
        <v>476</v>
      </c>
      <c r="B477" s="3168" t="s">
        <v>3536</v>
      </c>
      <c r="C477" s="3168" t="s">
        <v>3505</v>
      </c>
      <c r="D477" s="3168">
        <v>96.21</v>
      </c>
      <c r="E477" s="3168">
        <v>33.6</v>
      </c>
      <c r="F477" s="3168" t="s">
        <v>3540</v>
      </c>
      <c r="V477" s="3168">
        <v>476</v>
      </c>
      <c r="W477" s="3168" t="s">
        <v>3538</v>
      </c>
      <c r="X477" s="3168">
        <v>-1476</v>
      </c>
      <c r="Y477" s="3168">
        <v>25.39</v>
      </c>
      <c r="Z477" s="3168">
        <v>8.8699999999999992</v>
      </c>
      <c r="AA477" s="3167" t="s">
        <v>3546</v>
      </c>
    </row>
    <row r="478" spans="1:27" ht="14.25">
      <c r="A478" s="3168">
        <v>477</v>
      </c>
      <c r="B478" s="3168" t="s">
        <v>3536</v>
      </c>
      <c r="C478" s="3168" t="s">
        <v>3506</v>
      </c>
      <c r="D478" s="3168">
        <v>96.21</v>
      </c>
      <c r="E478" s="3168">
        <v>33.6</v>
      </c>
      <c r="F478" s="3168" t="s">
        <v>3540</v>
      </c>
      <c r="V478" s="3168">
        <v>477</v>
      </c>
      <c r="W478" s="3168" t="s">
        <v>3538</v>
      </c>
      <c r="X478" s="3168">
        <v>-1477</v>
      </c>
      <c r="Y478" s="3168">
        <v>25.39</v>
      </c>
      <c r="Z478" s="3168">
        <v>8.8699999999999992</v>
      </c>
      <c r="AA478" s="3167" t="s">
        <v>3546</v>
      </c>
    </row>
    <row r="479" spans="1:27" ht="14.25">
      <c r="D479" s="3168">
        <f>SUM(D2:D478)</f>
        <v>55618.469999999863</v>
      </c>
      <c r="E479" s="3168">
        <f>SUM(E2:E478)</f>
        <v>19421.170000000031</v>
      </c>
      <c r="V479" s="3168">
        <v>478</v>
      </c>
      <c r="W479" s="3168" t="s">
        <v>3538</v>
      </c>
      <c r="X479" s="3168">
        <v>-1478</v>
      </c>
      <c r="Y479" s="3168">
        <v>25.39</v>
      </c>
      <c r="Z479" s="3168">
        <v>8.8699999999999992</v>
      </c>
      <c r="AA479" s="3167" t="s">
        <v>3546</v>
      </c>
    </row>
    <row r="480" spans="1:27" ht="14.25">
      <c r="V480" s="3168">
        <v>479</v>
      </c>
      <c r="W480" s="3168" t="s">
        <v>3538</v>
      </c>
      <c r="X480" s="3168">
        <v>-1479</v>
      </c>
      <c r="Y480" s="3168">
        <v>25.39</v>
      </c>
      <c r="Z480" s="3168">
        <v>8.8699999999999992</v>
      </c>
      <c r="AA480" s="3167" t="s">
        <v>3546</v>
      </c>
    </row>
    <row r="481" spans="22:27" ht="14.25">
      <c r="V481" s="3168">
        <v>480</v>
      </c>
      <c r="W481" s="3168" t="s">
        <v>3538</v>
      </c>
      <c r="X481" s="3168">
        <v>-1480</v>
      </c>
      <c r="Y481" s="3168">
        <v>25.39</v>
      </c>
      <c r="Z481" s="3168">
        <v>8.8699999999999992</v>
      </c>
      <c r="AA481" s="3167" t="s">
        <v>3546</v>
      </c>
    </row>
    <row r="482" spans="22:27" ht="14.25">
      <c r="V482" s="3168">
        <v>481</v>
      </c>
      <c r="W482" s="3168" t="s">
        <v>3538</v>
      </c>
      <c r="X482" s="3168">
        <v>-1481</v>
      </c>
      <c r="Y482" s="3168">
        <v>25.39</v>
      </c>
      <c r="Z482" s="3168">
        <v>8.8699999999999992</v>
      </c>
      <c r="AA482" s="3167" t="s">
        <v>3546</v>
      </c>
    </row>
    <row r="483" spans="22:27" ht="14.25">
      <c r="V483" s="3168">
        <v>482</v>
      </c>
      <c r="W483" s="3168" t="s">
        <v>3538</v>
      </c>
      <c r="X483" s="3168">
        <v>-1482</v>
      </c>
      <c r="Y483" s="3168">
        <v>25.39</v>
      </c>
      <c r="Z483" s="3168">
        <v>8.8699999999999992</v>
      </c>
      <c r="AA483" s="3167" t="s">
        <v>3546</v>
      </c>
    </row>
    <row r="484" spans="22:27" ht="14.25">
      <c r="V484" s="3168">
        <v>483</v>
      </c>
      <c r="W484" s="3168" t="s">
        <v>3538</v>
      </c>
      <c r="X484" s="3168">
        <v>-1483</v>
      </c>
      <c r="Y484" s="3168">
        <v>25.39</v>
      </c>
      <c r="Z484" s="3168">
        <v>8.8699999999999992</v>
      </c>
      <c r="AA484" s="3167" t="s">
        <v>3546</v>
      </c>
    </row>
    <row r="485" spans="22:27" ht="14.25">
      <c r="V485" s="3168">
        <v>484</v>
      </c>
      <c r="W485" s="3168" t="s">
        <v>3538</v>
      </c>
      <c r="X485" s="3168">
        <v>-1484</v>
      </c>
      <c r="Y485" s="3168">
        <v>25.39</v>
      </c>
      <c r="Z485" s="3168">
        <v>8.8699999999999992</v>
      </c>
      <c r="AA485" s="3167" t="s">
        <v>3546</v>
      </c>
    </row>
    <row r="486" spans="22:27" ht="14.25">
      <c r="V486" s="3168">
        <v>485</v>
      </c>
      <c r="W486" s="3168" t="s">
        <v>3538</v>
      </c>
      <c r="X486" s="3168">
        <v>-1485</v>
      </c>
      <c r="Y486" s="3168">
        <v>25.39</v>
      </c>
      <c r="Z486" s="3168">
        <v>8.8699999999999992</v>
      </c>
      <c r="AA486" s="3167" t="s">
        <v>3546</v>
      </c>
    </row>
    <row r="487" spans="22:27" ht="14.25">
      <c r="V487" s="3168">
        <v>486</v>
      </c>
      <c r="W487" s="3168" t="s">
        <v>3538</v>
      </c>
      <c r="X487" s="3168">
        <v>-1486</v>
      </c>
      <c r="Y487" s="3168">
        <v>25.39</v>
      </c>
      <c r="Z487" s="3168">
        <v>8.8699999999999992</v>
      </c>
      <c r="AA487" s="3167" t="s">
        <v>3546</v>
      </c>
    </row>
    <row r="488" spans="22:27" ht="14.25">
      <c r="V488" s="3168">
        <v>487</v>
      </c>
      <c r="W488" s="3168" t="s">
        <v>3538</v>
      </c>
      <c r="X488" s="3168">
        <v>-1487</v>
      </c>
      <c r="Y488" s="3168">
        <v>25.39</v>
      </c>
      <c r="Z488" s="3168">
        <v>8.8699999999999992</v>
      </c>
      <c r="AA488" s="3167" t="s">
        <v>3546</v>
      </c>
    </row>
    <row r="489" spans="22:27" ht="14.25">
      <c r="V489" s="3168">
        <v>488</v>
      </c>
      <c r="W489" s="3168" t="s">
        <v>3538</v>
      </c>
      <c r="X489" s="3168">
        <v>-1488</v>
      </c>
      <c r="Y489" s="3168">
        <v>25.39</v>
      </c>
      <c r="Z489" s="3168">
        <v>8.8699999999999992</v>
      </c>
      <c r="AA489" s="3167" t="s">
        <v>3546</v>
      </c>
    </row>
    <row r="490" spans="22:27" ht="14.25">
      <c r="V490" s="3168">
        <v>489</v>
      </c>
      <c r="W490" s="3168" t="s">
        <v>3538</v>
      </c>
      <c r="X490" s="3168">
        <v>-1489</v>
      </c>
      <c r="Y490" s="3168">
        <v>25.39</v>
      </c>
      <c r="Z490" s="3168">
        <v>8.8699999999999992</v>
      </c>
      <c r="AA490" s="3167" t="s">
        <v>3546</v>
      </c>
    </row>
    <row r="491" spans="22:27" ht="14.25">
      <c r="V491" s="3168">
        <v>490</v>
      </c>
      <c r="W491" s="3168" t="s">
        <v>3538</v>
      </c>
      <c r="X491" s="3168">
        <v>-1490</v>
      </c>
      <c r="Y491" s="3168">
        <v>25.39</v>
      </c>
      <c r="Z491" s="3168">
        <v>8.8699999999999992</v>
      </c>
      <c r="AA491" s="3167" t="s">
        <v>3546</v>
      </c>
    </row>
    <row r="492" spans="22:27" ht="14.25">
      <c r="V492" s="3168">
        <v>491</v>
      </c>
      <c r="W492" s="3168" t="s">
        <v>3538</v>
      </c>
      <c r="X492" s="3168">
        <v>-1491</v>
      </c>
      <c r="Y492" s="3168">
        <v>25.39</v>
      </c>
      <c r="Z492" s="3168">
        <v>8.8699999999999992</v>
      </c>
      <c r="AA492" s="3167" t="s">
        <v>3546</v>
      </c>
    </row>
    <row r="493" spans="22:27" ht="14.25">
      <c r="V493" s="3168">
        <v>492</v>
      </c>
      <c r="W493" s="3168" t="s">
        <v>3538</v>
      </c>
      <c r="X493" s="3168">
        <v>-1492</v>
      </c>
      <c r="Y493" s="3168">
        <v>25.39</v>
      </c>
      <c r="Z493" s="3168">
        <v>8.8699999999999992</v>
      </c>
      <c r="AA493" s="3167" t="s">
        <v>3546</v>
      </c>
    </row>
    <row r="494" spans="22:27" ht="14.25">
      <c r="V494" s="3168">
        <v>493</v>
      </c>
      <c r="W494" s="3168" t="s">
        <v>3538</v>
      </c>
      <c r="X494" s="3168">
        <v>-1493</v>
      </c>
      <c r="Y494" s="3168">
        <v>25.39</v>
      </c>
      <c r="Z494" s="3168">
        <v>8.8699999999999992</v>
      </c>
      <c r="AA494" s="3167" t="s">
        <v>3546</v>
      </c>
    </row>
    <row r="495" spans="22:27" ht="14.25">
      <c r="V495" s="3168">
        <v>494</v>
      </c>
      <c r="W495" s="3168" t="s">
        <v>3538</v>
      </c>
      <c r="X495" s="3168">
        <v>-1494</v>
      </c>
      <c r="Y495" s="3168">
        <v>25.39</v>
      </c>
      <c r="Z495" s="3168">
        <v>8.8699999999999992</v>
      </c>
      <c r="AA495" s="3167" t="s">
        <v>3546</v>
      </c>
    </row>
    <row r="496" spans="22:27" ht="14.25">
      <c r="V496" s="3168">
        <v>495</v>
      </c>
      <c r="W496" s="3168" t="s">
        <v>3538</v>
      </c>
      <c r="X496" s="3168">
        <v>-1495</v>
      </c>
      <c r="Y496" s="3168">
        <v>25.39</v>
      </c>
      <c r="Z496" s="3168">
        <v>8.8699999999999992</v>
      </c>
      <c r="AA496" s="3167" t="s">
        <v>3546</v>
      </c>
    </row>
    <row r="497" spans="22:27" ht="14.25">
      <c r="V497" s="3168">
        <v>496</v>
      </c>
      <c r="W497" s="3168" t="s">
        <v>3538</v>
      </c>
      <c r="X497" s="3168">
        <v>-1496</v>
      </c>
      <c r="Y497" s="3168">
        <v>25.39</v>
      </c>
      <c r="Z497" s="3168">
        <v>8.8699999999999992</v>
      </c>
      <c r="AA497" s="3167" t="s">
        <v>3546</v>
      </c>
    </row>
    <row r="498" spans="22:27" ht="14.25">
      <c r="V498" s="3168">
        <v>497</v>
      </c>
      <c r="W498" s="3168" t="s">
        <v>3538</v>
      </c>
      <c r="X498" s="3168">
        <v>-1497</v>
      </c>
      <c r="Y498" s="3168">
        <v>25.39</v>
      </c>
      <c r="Z498" s="3168">
        <v>8.8699999999999992</v>
      </c>
      <c r="AA498" s="3167" t="s">
        <v>3546</v>
      </c>
    </row>
    <row r="499" spans="22:27" ht="14.25">
      <c r="V499" s="3168">
        <v>498</v>
      </c>
      <c r="W499" s="3168" t="s">
        <v>3538</v>
      </c>
      <c r="X499" s="3168">
        <v>-1498</v>
      </c>
      <c r="Y499" s="3168">
        <v>25.39</v>
      </c>
      <c r="Z499" s="3168">
        <v>8.8699999999999992</v>
      </c>
      <c r="AA499" s="3167" t="s">
        <v>3546</v>
      </c>
    </row>
    <row r="500" spans="22:27" ht="14.25">
      <c r="V500" s="3168">
        <v>499</v>
      </c>
      <c r="W500" s="3168" t="s">
        <v>3538</v>
      </c>
      <c r="X500" s="3168">
        <v>-1499</v>
      </c>
      <c r="Y500" s="3168">
        <v>25.39</v>
      </c>
      <c r="Z500" s="3168">
        <v>8.8699999999999992</v>
      </c>
      <c r="AA500" s="3167" t="s">
        <v>3546</v>
      </c>
    </row>
    <row r="501" spans="22:27" ht="14.25">
      <c r="V501" s="3168">
        <v>500</v>
      </c>
      <c r="W501" s="3168" t="s">
        <v>3538</v>
      </c>
      <c r="X501" s="3168">
        <v>-1500</v>
      </c>
      <c r="Y501" s="3168">
        <v>25.39</v>
      </c>
      <c r="Z501" s="3168">
        <v>8.8699999999999992</v>
      </c>
      <c r="AA501" s="3167" t="s">
        <v>3546</v>
      </c>
    </row>
    <row r="502" spans="22:27" ht="14.25">
      <c r="V502" s="3168">
        <v>501</v>
      </c>
      <c r="W502" s="3168" t="s">
        <v>3538</v>
      </c>
      <c r="X502" s="3168">
        <v>-1501</v>
      </c>
      <c r="Y502" s="3168">
        <v>25.39</v>
      </c>
      <c r="Z502" s="3168">
        <v>8.8699999999999992</v>
      </c>
      <c r="AA502" s="3167" t="s">
        <v>3546</v>
      </c>
    </row>
    <row r="503" spans="22:27" ht="14.25">
      <c r="V503" s="3168">
        <v>502</v>
      </c>
      <c r="W503" s="3168" t="s">
        <v>3538</v>
      </c>
      <c r="X503" s="3168">
        <v>-1502</v>
      </c>
      <c r="Y503" s="3168">
        <v>25.39</v>
      </c>
      <c r="Z503" s="3168">
        <v>8.8699999999999992</v>
      </c>
      <c r="AA503" s="3167" t="s">
        <v>3546</v>
      </c>
    </row>
    <row r="504" spans="22:27" ht="14.25">
      <c r="V504" s="3168">
        <v>503</v>
      </c>
      <c r="W504" s="3168" t="s">
        <v>3538</v>
      </c>
      <c r="X504" s="3168">
        <v>-1503</v>
      </c>
      <c r="Y504" s="3168">
        <v>25.39</v>
      </c>
      <c r="Z504" s="3168">
        <v>8.8699999999999992</v>
      </c>
      <c r="AA504" s="3167" t="s">
        <v>3546</v>
      </c>
    </row>
    <row r="505" spans="22:27" ht="14.25">
      <c r="V505" s="3168">
        <v>504</v>
      </c>
      <c r="W505" s="3168" t="s">
        <v>3538</v>
      </c>
      <c r="X505" s="3168">
        <v>-1504</v>
      </c>
      <c r="Y505" s="3168">
        <v>25.39</v>
      </c>
      <c r="Z505" s="3168">
        <v>8.8699999999999992</v>
      </c>
      <c r="AA505" s="3167" t="s">
        <v>3546</v>
      </c>
    </row>
    <row r="506" spans="22:27" ht="14.25">
      <c r="V506" s="3168">
        <v>505</v>
      </c>
      <c r="W506" s="3168" t="s">
        <v>3538</v>
      </c>
      <c r="X506" s="3168">
        <v>-1505</v>
      </c>
      <c r="Y506" s="3168">
        <v>25.39</v>
      </c>
      <c r="Z506" s="3168">
        <v>8.8699999999999992</v>
      </c>
      <c r="AA506" s="3167" t="s">
        <v>3546</v>
      </c>
    </row>
    <row r="507" spans="22:27" ht="14.25">
      <c r="V507" s="3168">
        <v>506</v>
      </c>
      <c r="W507" s="3168" t="s">
        <v>3538</v>
      </c>
      <c r="X507" s="3168">
        <v>-1506</v>
      </c>
      <c r="Y507" s="3168">
        <v>25.39</v>
      </c>
      <c r="Z507" s="3168">
        <v>8.8699999999999992</v>
      </c>
      <c r="AA507" s="3167" t="s">
        <v>3546</v>
      </c>
    </row>
    <row r="508" spans="22:27" ht="14.25">
      <c r="V508" s="3168">
        <v>507</v>
      </c>
      <c r="W508" s="3168" t="s">
        <v>3538</v>
      </c>
      <c r="X508" s="3168">
        <v>-1507</v>
      </c>
      <c r="Y508" s="3168">
        <v>25.39</v>
      </c>
      <c r="Z508" s="3168">
        <v>8.8699999999999992</v>
      </c>
      <c r="AA508" s="3167" t="s">
        <v>3546</v>
      </c>
    </row>
    <row r="509" spans="22:27" ht="14.25">
      <c r="V509" s="3168">
        <v>508</v>
      </c>
      <c r="W509" s="3168" t="s">
        <v>3538</v>
      </c>
      <c r="X509" s="3168">
        <v>-1508</v>
      </c>
      <c r="Y509" s="3168">
        <v>25.39</v>
      </c>
      <c r="Z509" s="3168">
        <v>8.8699999999999992</v>
      </c>
      <c r="AA509" s="3167" t="s">
        <v>3546</v>
      </c>
    </row>
    <row r="510" spans="22:27" ht="14.25">
      <c r="V510" s="3168">
        <v>509</v>
      </c>
      <c r="W510" s="3168" t="s">
        <v>3538</v>
      </c>
      <c r="X510" s="3168">
        <v>-1509</v>
      </c>
      <c r="Y510" s="3168">
        <v>25.39</v>
      </c>
      <c r="Z510" s="3168">
        <v>8.8699999999999992</v>
      </c>
      <c r="AA510" s="3167" t="s">
        <v>3546</v>
      </c>
    </row>
    <row r="511" spans="22:27" ht="14.25">
      <c r="V511" s="3168">
        <v>510</v>
      </c>
      <c r="W511" s="3168" t="s">
        <v>3538</v>
      </c>
      <c r="X511" s="3168">
        <v>-1510</v>
      </c>
      <c r="Y511" s="3168">
        <v>25.39</v>
      </c>
      <c r="Z511" s="3168">
        <v>8.8699999999999992</v>
      </c>
      <c r="AA511" s="3167" t="s">
        <v>3546</v>
      </c>
    </row>
    <row r="512" spans="22:27" ht="14.25">
      <c r="V512" s="3168">
        <v>511</v>
      </c>
      <c r="W512" s="3168" t="s">
        <v>3538</v>
      </c>
      <c r="X512" s="3168">
        <v>-1511</v>
      </c>
      <c r="Y512" s="3168">
        <v>25.39</v>
      </c>
      <c r="Z512" s="3168">
        <v>8.8699999999999992</v>
      </c>
      <c r="AA512" s="3167" t="s">
        <v>3546</v>
      </c>
    </row>
    <row r="513" spans="22:27" ht="14.25">
      <c r="V513" s="3168">
        <v>512</v>
      </c>
      <c r="W513" s="3168" t="s">
        <v>3538</v>
      </c>
      <c r="X513" s="3168">
        <v>-1512</v>
      </c>
      <c r="Y513" s="3168">
        <v>25.39</v>
      </c>
      <c r="Z513" s="3168">
        <v>8.8699999999999992</v>
      </c>
      <c r="AA513" s="3167" t="s">
        <v>3546</v>
      </c>
    </row>
    <row r="514" spans="22:27" ht="14.25">
      <c r="V514" s="3168">
        <v>513</v>
      </c>
      <c r="W514" s="3168" t="s">
        <v>3538</v>
      </c>
      <c r="X514" s="3168">
        <v>-1513</v>
      </c>
      <c r="Y514" s="3168">
        <v>25.39</v>
      </c>
      <c r="Z514" s="3168">
        <v>8.8699999999999992</v>
      </c>
      <c r="AA514" s="3167" t="s">
        <v>3546</v>
      </c>
    </row>
    <row r="515" spans="22:27" ht="14.25">
      <c r="V515" s="3168">
        <v>514</v>
      </c>
      <c r="W515" s="3168" t="s">
        <v>3538</v>
      </c>
      <c r="X515" s="3168">
        <v>-1514</v>
      </c>
      <c r="Y515" s="3168">
        <v>25.39</v>
      </c>
      <c r="Z515" s="3168">
        <v>8.8699999999999992</v>
      </c>
      <c r="AA515" s="3167" t="s">
        <v>3546</v>
      </c>
    </row>
    <row r="516" spans="22:27" ht="14.25">
      <c r="V516" s="3168">
        <v>515</v>
      </c>
      <c r="W516" s="3168" t="s">
        <v>3538</v>
      </c>
      <c r="X516" s="3168">
        <v>-1515</v>
      </c>
      <c r="Y516" s="3168">
        <v>25.39</v>
      </c>
      <c r="Z516" s="3168">
        <v>8.8699999999999992</v>
      </c>
      <c r="AA516" s="3167" t="s">
        <v>3546</v>
      </c>
    </row>
    <row r="517" spans="22:27" ht="14.25">
      <c r="V517" s="3168">
        <v>516</v>
      </c>
      <c r="W517" s="3168" t="s">
        <v>3538</v>
      </c>
      <c r="X517" s="3168">
        <v>-1516</v>
      </c>
      <c r="Y517" s="3168">
        <v>25.39</v>
      </c>
      <c r="Z517" s="3168">
        <v>8.8699999999999992</v>
      </c>
      <c r="AA517" s="3167" t="s">
        <v>3546</v>
      </c>
    </row>
    <row r="518" spans="22:27" ht="14.25">
      <c r="V518" s="3168">
        <v>517</v>
      </c>
      <c r="W518" s="3168" t="s">
        <v>3538</v>
      </c>
      <c r="X518" s="3168">
        <v>-1517</v>
      </c>
      <c r="Y518" s="3168">
        <v>25.39</v>
      </c>
      <c r="Z518" s="3168">
        <v>8.8699999999999992</v>
      </c>
      <c r="AA518" s="3167" t="s">
        <v>3546</v>
      </c>
    </row>
    <row r="519" spans="22:27" ht="14.25">
      <c r="V519" s="3168">
        <v>518</v>
      </c>
      <c r="W519" s="3168" t="s">
        <v>3538</v>
      </c>
      <c r="X519" s="3168">
        <v>-1518</v>
      </c>
      <c r="Y519" s="3168">
        <v>25.39</v>
      </c>
      <c r="Z519" s="3168">
        <v>8.8699999999999992</v>
      </c>
      <c r="AA519" s="3167" t="s">
        <v>3546</v>
      </c>
    </row>
    <row r="520" spans="22:27" ht="14.25">
      <c r="V520" s="3168">
        <v>519</v>
      </c>
      <c r="W520" s="3168" t="s">
        <v>3538</v>
      </c>
      <c r="X520" s="3168">
        <v>-1519</v>
      </c>
      <c r="Y520" s="3168">
        <v>25.39</v>
      </c>
      <c r="Z520" s="3168">
        <v>8.8699999999999992</v>
      </c>
      <c r="AA520" s="3167" t="s">
        <v>3546</v>
      </c>
    </row>
    <row r="521" spans="22:27" ht="14.25">
      <c r="V521" s="3168">
        <v>520</v>
      </c>
      <c r="W521" s="3168" t="s">
        <v>3538</v>
      </c>
      <c r="X521" s="3168">
        <v>-1520</v>
      </c>
      <c r="Y521" s="3168">
        <v>25.39</v>
      </c>
      <c r="Z521" s="3168">
        <v>8.8699999999999992</v>
      </c>
      <c r="AA521" s="3167" t="s">
        <v>3546</v>
      </c>
    </row>
    <row r="522" spans="22:27" ht="14.25">
      <c r="V522" s="3168">
        <v>521</v>
      </c>
      <c r="W522" s="3168" t="s">
        <v>3538</v>
      </c>
      <c r="X522" s="3168">
        <v>-1521</v>
      </c>
      <c r="Y522" s="3168">
        <v>25.39</v>
      </c>
      <c r="Z522" s="3168">
        <v>8.8699999999999992</v>
      </c>
      <c r="AA522" s="3167" t="s">
        <v>3546</v>
      </c>
    </row>
    <row r="523" spans="22:27" ht="14.25">
      <c r="V523" s="3168">
        <v>522</v>
      </c>
      <c r="W523" s="3168" t="s">
        <v>3538</v>
      </c>
      <c r="X523" s="3168">
        <v>-1522</v>
      </c>
      <c r="Y523" s="3168">
        <v>25.39</v>
      </c>
      <c r="Z523" s="3168">
        <v>8.8699999999999992</v>
      </c>
      <c r="AA523" s="3167" t="s">
        <v>3546</v>
      </c>
    </row>
    <row r="524" spans="22:27" ht="14.25">
      <c r="V524" s="3168">
        <v>523</v>
      </c>
      <c r="W524" s="3168" t="s">
        <v>3538</v>
      </c>
      <c r="X524" s="3168">
        <v>-1523</v>
      </c>
      <c r="Y524" s="3168">
        <v>25.39</v>
      </c>
      <c r="Z524" s="3168">
        <v>8.8699999999999992</v>
      </c>
      <c r="AA524" s="3167" t="s">
        <v>3546</v>
      </c>
    </row>
    <row r="525" spans="22:27" ht="14.25">
      <c r="V525" s="3168">
        <v>524</v>
      </c>
      <c r="W525" s="3168" t="s">
        <v>3538</v>
      </c>
      <c r="X525" s="3168">
        <v>-1524</v>
      </c>
      <c r="Y525" s="3168">
        <v>25.39</v>
      </c>
      <c r="Z525" s="3168">
        <v>8.8699999999999992</v>
      </c>
      <c r="AA525" s="3167" t="s">
        <v>3546</v>
      </c>
    </row>
    <row r="526" spans="22:27" ht="14.25">
      <c r="V526" s="3168">
        <v>525</v>
      </c>
      <c r="W526" s="3168" t="s">
        <v>3538</v>
      </c>
      <c r="X526" s="3168">
        <v>-1525</v>
      </c>
      <c r="Y526" s="3168">
        <v>25.39</v>
      </c>
      <c r="Z526" s="3168">
        <v>8.8699999999999992</v>
      </c>
      <c r="AA526" s="3167" t="s">
        <v>3546</v>
      </c>
    </row>
    <row r="527" spans="22:27" ht="14.25">
      <c r="V527" s="3168">
        <v>526</v>
      </c>
      <c r="W527" s="3168" t="s">
        <v>3538</v>
      </c>
      <c r="X527" s="3168">
        <v>-1526</v>
      </c>
      <c r="Y527" s="3168">
        <v>25.39</v>
      </c>
      <c r="Z527" s="3168">
        <v>8.8699999999999992</v>
      </c>
      <c r="AA527" s="3167" t="s">
        <v>3546</v>
      </c>
    </row>
    <row r="528" spans="22:27" ht="14.25">
      <c r="V528" s="3168">
        <v>527</v>
      </c>
      <c r="W528" s="3168" t="s">
        <v>3538</v>
      </c>
      <c r="X528" s="3168">
        <v>-1527</v>
      </c>
      <c r="Y528" s="3168">
        <v>25.39</v>
      </c>
      <c r="Z528" s="3168">
        <v>8.8699999999999992</v>
      </c>
      <c r="AA528" s="3167" t="s">
        <v>3546</v>
      </c>
    </row>
    <row r="529" spans="22:27" ht="14.25">
      <c r="V529" s="3168">
        <v>528</v>
      </c>
      <c r="W529" s="3168" t="s">
        <v>3538</v>
      </c>
      <c r="X529" s="3168">
        <v>-1528</v>
      </c>
      <c r="Y529" s="3168">
        <v>25.39</v>
      </c>
      <c r="Z529" s="3168">
        <v>8.8699999999999992</v>
      </c>
      <c r="AA529" s="3167" t="s">
        <v>3546</v>
      </c>
    </row>
    <row r="530" spans="22:27" ht="14.25">
      <c r="V530" s="3168">
        <v>529</v>
      </c>
      <c r="W530" s="3168" t="s">
        <v>3538</v>
      </c>
      <c r="X530" s="3168">
        <v>-1529</v>
      </c>
      <c r="Y530" s="3168">
        <v>25.39</v>
      </c>
      <c r="Z530" s="3168">
        <v>8.8699999999999992</v>
      </c>
      <c r="AA530" s="3167" t="s">
        <v>3546</v>
      </c>
    </row>
    <row r="531" spans="22:27" ht="14.25">
      <c r="V531" s="3168">
        <v>530</v>
      </c>
      <c r="W531" s="3168" t="s">
        <v>3538</v>
      </c>
      <c r="X531" s="3168">
        <v>-1530</v>
      </c>
      <c r="Y531" s="3168">
        <v>25.39</v>
      </c>
      <c r="Z531" s="3168">
        <v>8.8699999999999992</v>
      </c>
      <c r="AA531" s="3167" t="s">
        <v>3546</v>
      </c>
    </row>
    <row r="532" spans="22:27" ht="14.25">
      <c r="V532" s="3168">
        <v>531</v>
      </c>
      <c r="W532" s="3168" t="s">
        <v>3538</v>
      </c>
      <c r="X532" s="3168">
        <v>-1531</v>
      </c>
      <c r="Y532" s="3168">
        <v>25.39</v>
      </c>
      <c r="Z532" s="3168">
        <v>8.8699999999999992</v>
      </c>
      <c r="AA532" s="3167" t="s">
        <v>3546</v>
      </c>
    </row>
    <row r="533" spans="22:27" ht="14.25">
      <c r="V533" s="3168">
        <v>532</v>
      </c>
      <c r="W533" s="3168" t="s">
        <v>3538</v>
      </c>
      <c r="X533" s="3168">
        <v>-1532</v>
      </c>
      <c r="Y533" s="3168">
        <v>25.39</v>
      </c>
      <c r="Z533" s="3168">
        <v>8.8699999999999992</v>
      </c>
      <c r="AA533" s="3167" t="s">
        <v>3546</v>
      </c>
    </row>
    <row r="534" spans="22:27" ht="14.25">
      <c r="V534" s="3168">
        <v>533</v>
      </c>
      <c r="W534" s="3168" t="s">
        <v>3538</v>
      </c>
      <c r="X534" s="3168">
        <v>-1533</v>
      </c>
      <c r="Y534" s="3168">
        <v>25.39</v>
      </c>
      <c r="Z534" s="3168">
        <v>8.8699999999999992</v>
      </c>
      <c r="AA534" s="3167" t="s">
        <v>3546</v>
      </c>
    </row>
    <row r="535" spans="22:27" ht="14.25">
      <c r="V535" s="3168">
        <v>534</v>
      </c>
      <c r="W535" s="3168" t="s">
        <v>3538</v>
      </c>
      <c r="X535" s="3168">
        <v>-1534</v>
      </c>
      <c r="Y535" s="3168">
        <v>25.39</v>
      </c>
      <c r="Z535" s="3168">
        <v>8.8699999999999992</v>
      </c>
      <c r="AA535" s="3167" t="s">
        <v>3546</v>
      </c>
    </row>
    <row r="536" spans="22:27" ht="14.25">
      <c r="V536" s="3168">
        <v>535</v>
      </c>
      <c r="W536" s="3168" t="s">
        <v>3538</v>
      </c>
      <c r="X536" s="3168">
        <v>-1535</v>
      </c>
      <c r="Y536" s="3168">
        <v>25.39</v>
      </c>
      <c r="Z536" s="3168">
        <v>8.8699999999999992</v>
      </c>
      <c r="AA536" s="3167" t="s">
        <v>3546</v>
      </c>
    </row>
    <row r="537" spans="22:27" ht="14.25">
      <c r="V537" s="3168">
        <v>536</v>
      </c>
      <c r="W537" s="3168" t="s">
        <v>3538</v>
      </c>
      <c r="X537" s="3168">
        <v>-1536</v>
      </c>
      <c r="Y537" s="3168">
        <v>25.39</v>
      </c>
      <c r="Z537" s="3168">
        <v>8.8699999999999992</v>
      </c>
      <c r="AA537" s="3167" t="s">
        <v>3546</v>
      </c>
    </row>
    <row r="538" spans="22:27" ht="14.25">
      <c r="V538" s="3168">
        <v>537</v>
      </c>
      <c r="W538" s="3168" t="s">
        <v>3538</v>
      </c>
      <c r="X538" s="3168">
        <v>-1537</v>
      </c>
      <c r="Y538" s="3168">
        <v>25.39</v>
      </c>
      <c r="Z538" s="3168">
        <v>8.8699999999999992</v>
      </c>
      <c r="AA538" s="3167" t="s">
        <v>3546</v>
      </c>
    </row>
    <row r="539" spans="22:27" ht="14.25">
      <c r="V539" s="3168">
        <v>538</v>
      </c>
      <c r="W539" s="3168" t="s">
        <v>3538</v>
      </c>
      <c r="X539" s="3168">
        <v>-1538</v>
      </c>
      <c r="Y539" s="3168">
        <v>25.39</v>
      </c>
      <c r="Z539" s="3168">
        <v>8.8699999999999992</v>
      </c>
      <c r="AA539" s="3167" t="s">
        <v>3546</v>
      </c>
    </row>
    <row r="540" spans="22:27" ht="14.25">
      <c r="V540" s="3168">
        <v>539</v>
      </c>
      <c r="W540" s="3168" t="s">
        <v>3538</v>
      </c>
      <c r="X540" s="3168">
        <v>-1539</v>
      </c>
      <c r="Y540" s="3168">
        <v>25.39</v>
      </c>
      <c r="Z540" s="3168">
        <v>8.8699999999999992</v>
      </c>
      <c r="AA540" s="3167" t="s">
        <v>3546</v>
      </c>
    </row>
    <row r="541" spans="22:27">
      <c r="Y541" s="3168">
        <f>SUM(Y2:Y540)</f>
        <v>13761.349999999919</v>
      </c>
      <c r="Z541" s="3168">
        <f>SUM(Z2:Z540)</f>
        <v>4807.5099999999557</v>
      </c>
    </row>
  </sheetData>
  <phoneticPr fontId="134"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69852-7EDB-4331-A5F4-3AF477238752}">
  <dimension ref="A1:E1288"/>
  <sheetViews>
    <sheetView workbookViewId="0">
      <selection activeCell="I22" sqref="I22"/>
    </sheetView>
  </sheetViews>
  <sheetFormatPr defaultRowHeight="13.5"/>
  <cols>
    <col min="1" max="1" width="5" style="3168" bestFit="1" customWidth="1"/>
    <col min="2" max="2" width="10.625" style="3168" bestFit="1" customWidth="1"/>
    <col min="3" max="3" width="9.125" style="3168" bestFit="1" customWidth="1"/>
    <col min="4" max="4" width="8.5" style="3168" bestFit="1" customWidth="1"/>
    <col min="5" max="5" width="11.375" style="3168" bestFit="1" customWidth="1"/>
  </cols>
  <sheetData>
    <row r="1" spans="1:5" ht="14.25">
      <c r="A1" s="3168" t="s">
        <v>3420</v>
      </c>
      <c r="B1" s="3168" t="s">
        <v>3421</v>
      </c>
      <c r="C1" s="3168" t="s">
        <v>3422</v>
      </c>
      <c r="D1" s="3168" t="s">
        <v>3423</v>
      </c>
      <c r="E1" s="3168" t="s">
        <v>3424</v>
      </c>
    </row>
    <row r="2" spans="1:5" ht="14.25">
      <c r="A2" s="3168">
        <v>1</v>
      </c>
      <c r="B2" s="3168" t="s">
        <v>3426</v>
      </c>
      <c r="C2" s="3168" t="s">
        <v>3427</v>
      </c>
      <c r="D2" s="3168">
        <v>95.67</v>
      </c>
      <c r="E2" s="3168">
        <v>33.409999999999997</v>
      </c>
    </row>
    <row r="3" spans="1:5" ht="14.25">
      <c r="A3" s="3168">
        <v>2</v>
      </c>
      <c r="B3" s="3168" t="s">
        <v>3426</v>
      </c>
      <c r="C3" s="3168" t="s">
        <v>3428</v>
      </c>
      <c r="D3" s="3168">
        <v>95.32</v>
      </c>
      <c r="E3" s="3168">
        <v>33.28</v>
      </c>
    </row>
    <row r="4" spans="1:5" ht="14.25">
      <c r="A4" s="3168">
        <v>3</v>
      </c>
      <c r="B4" s="3168" t="s">
        <v>3426</v>
      </c>
      <c r="C4" s="3168" t="s">
        <v>3429</v>
      </c>
      <c r="D4" s="3168">
        <v>62.09</v>
      </c>
      <c r="E4" s="3168">
        <v>21.68</v>
      </c>
    </row>
    <row r="5" spans="1:5" ht="14.25">
      <c r="A5" s="3168">
        <v>4</v>
      </c>
      <c r="B5" s="3168" t="s">
        <v>3426</v>
      </c>
      <c r="C5" s="3168" t="s">
        <v>3430</v>
      </c>
      <c r="D5" s="3168">
        <v>84.74</v>
      </c>
      <c r="E5" s="3168">
        <v>29.59</v>
      </c>
    </row>
    <row r="6" spans="1:5" ht="14.25">
      <c r="A6" s="3168">
        <v>5</v>
      </c>
      <c r="B6" s="3168" t="s">
        <v>3426</v>
      </c>
      <c r="C6" s="3168" t="s">
        <v>3431</v>
      </c>
      <c r="D6" s="3168">
        <v>84.38</v>
      </c>
      <c r="E6" s="3168">
        <v>29.46</v>
      </c>
    </row>
    <row r="7" spans="1:5" ht="14.25">
      <c r="A7" s="3168">
        <v>6</v>
      </c>
      <c r="B7" s="3168" t="s">
        <v>3426</v>
      </c>
      <c r="C7" s="3168" t="s">
        <v>3432</v>
      </c>
      <c r="D7" s="3168">
        <v>84.74</v>
      </c>
      <c r="E7" s="3168">
        <v>29.59</v>
      </c>
    </row>
    <row r="8" spans="1:5" ht="14.25">
      <c r="A8" s="3168">
        <v>7</v>
      </c>
      <c r="B8" s="3168" t="s">
        <v>3426</v>
      </c>
      <c r="C8" s="3168" t="s">
        <v>3433</v>
      </c>
      <c r="D8" s="3168">
        <v>84.38</v>
      </c>
      <c r="E8" s="3168">
        <v>29.46</v>
      </c>
    </row>
    <row r="9" spans="1:5" ht="14.25">
      <c r="A9" s="3168">
        <v>8</v>
      </c>
      <c r="B9" s="3168" t="s">
        <v>3426</v>
      </c>
      <c r="C9" s="3168" t="s">
        <v>3434</v>
      </c>
      <c r="D9" s="3168">
        <v>84.74</v>
      </c>
      <c r="E9" s="3168">
        <v>29.59</v>
      </c>
    </row>
    <row r="10" spans="1:5" ht="14.25">
      <c r="A10" s="3168">
        <v>9</v>
      </c>
      <c r="B10" s="3168" t="s">
        <v>3426</v>
      </c>
      <c r="C10" s="3168" t="s">
        <v>3435</v>
      </c>
      <c r="D10" s="3168">
        <v>117.64</v>
      </c>
      <c r="E10" s="3168">
        <v>41.08</v>
      </c>
    </row>
    <row r="11" spans="1:5" ht="14.25">
      <c r="A11" s="3168">
        <v>10</v>
      </c>
      <c r="B11" s="3168" t="s">
        <v>3426</v>
      </c>
      <c r="C11" s="3168" t="s">
        <v>3436</v>
      </c>
      <c r="D11" s="3168">
        <v>117.64</v>
      </c>
      <c r="E11" s="3168">
        <v>41.08</v>
      </c>
    </row>
    <row r="12" spans="1:5" ht="14.25">
      <c r="A12" s="3168">
        <v>11</v>
      </c>
      <c r="B12" s="3168" t="s">
        <v>3426</v>
      </c>
      <c r="C12" s="3168" t="s">
        <v>3437</v>
      </c>
      <c r="D12" s="3168">
        <v>117.99</v>
      </c>
      <c r="E12" s="3168">
        <v>41.2</v>
      </c>
    </row>
    <row r="13" spans="1:5" ht="14.25">
      <c r="A13" s="3168">
        <v>12</v>
      </c>
      <c r="B13" s="3168" t="s">
        <v>3426</v>
      </c>
      <c r="C13" s="3168" t="s">
        <v>3438</v>
      </c>
      <c r="D13" s="3168">
        <v>117.99</v>
      </c>
      <c r="E13" s="3168">
        <v>41.2</v>
      </c>
    </row>
    <row r="14" spans="1:5" ht="14.25">
      <c r="A14" s="3168">
        <v>13</v>
      </c>
      <c r="B14" s="3168" t="s">
        <v>3426</v>
      </c>
      <c r="C14" s="3168" t="s">
        <v>3439</v>
      </c>
      <c r="D14" s="3168">
        <v>117.99</v>
      </c>
      <c r="E14" s="3168">
        <v>41.2</v>
      </c>
    </row>
    <row r="15" spans="1:5" ht="14.25">
      <c r="A15" s="3168">
        <v>14</v>
      </c>
      <c r="B15" s="3168" t="s">
        <v>3426</v>
      </c>
      <c r="C15" s="3168" t="s">
        <v>3440</v>
      </c>
      <c r="D15" s="3168">
        <v>117.99</v>
      </c>
      <c r="E15" s="3168">
        <v>41.2</v>
      </c>
    </row>
    <row r="16" spans="1:5" ht="14.25">
      <c r="A16" s="3168">
        <v>15</v>
      </c>
      <c r="B16" s="3168" t="s">
        <v>3426</v>
      </c>
      <c r="C16" s="3168">
        <v>-201</v>
      </c>
      <c r="D16" s="3168">
        <v>5.35</v>
      </c>
      <c r="E16" s="3168">
        <v>1.87</v>
      </c>
    </row>
    <row r="17" spans="1:5" ht="14.25">
      <c r="A17" s="3168">
        <v>16</v>
      </c>
      <c r="B17" s="3168" t="s">
        <v>3426</v>
      </c>
      <c r="C17" s="3168">
        <v>-202</v>
      </c>
      <c r="D17" s="3168">
        <v>5.76</v>
      </c>
      <c r="E17" s="3168">
        <v>2.0099999999999998</v>
      </c>
    </row>
    <row r="18" spans="1:5" ht="14.25">
      <c r="A18" s="3168">
        <v>17</v>
      </c>
      <c r="B18" s="3168" t="s">
        <v>3426</v>
      </c>
      <c r="C18" s="3168">
        <v>-203</v>
      </c>
      <c r="D18" s="3168">
        <v>11.04</v>
      </c>
      <c r="E18" s="3168">
        <v>3.86</v>
      </c>
    </row>
    <row r="19" spans="1:5" ht="14.25">
      <c r="A19" s="3168">
        <v>18</v>
      </c>
      <c r="B19" s="3168" t="s">
        <v>3426</v>
      </c>
      <c r="C19" s="3168">
        <v>-204</v>
      </c>
      <c r="D19" s="3168">
        <v>9.09</v>
      </c>
      <c r="E19" s="3168">
        <v>3.17</v>
      </c>
    </row>
    <row r="20" spans="1:5" ht="14.25">
      <c r="A20" s="3168">
        <v>19</v>
      </c>
      <c r="B20" s="3168" t="s">
        <v>3426</v>
      </c>
      <c r="C20" s="3168">
        <v>-205</v>
      </c>
      <c r="D20" s="3168">
        <v>10.51</v>
      </c>
      <c r="E20" s="3168">
        <v>3.67</v>
      </c>
    </row>
    <row r="21" spans="1:5" ht="14.25">
      <c r="A21" s="3168">
        <v>20</v>
      </c>
      <c r="B21" s="3168" t="s">
        <v>3426</v>
      </c>
      <c r="C21" s="3168">
        <v>-206</v>
      </c>
      <c r="D21" s="3168">
        <v>10.79</v>
      </c>
      <c r="E21" s="3168">
        <v>3.77</v>
      </c>
    </row>
    <row r="22" spans="1:5" ht="14.25">
      <c r="A22" s="3168">
        <v>21</v>
      </c>
      <c r="B22" s="3168" t="s">
        <v>3426</v>
      </c>
      <c r="C22" s="3168">
        <v>-207</v>
      </c>
      <c r="D22" s="3168">
        <v>13.88</v>
      </c>
      <c r="E22" s="3168">
        <v>4.8499999999999996</v>
      </c>
    </row>
    <row r="23" spans="1:5" ht="14.25">
      <c r="A23" s="3168">
        <v>22</v>
      </c>
      <c r="B23" s="3168" t="s">
        <v>3426</v>
      </c>
      <c r="C23" s="3168">
        <v>-208</v>
      </c>
      <c r="D23" s="3168">
        <v>9.98</v>
      </c>
      <c r="E23" s="3168">
        <v>3.48</v>
      </c>
    </row>
    <row r="24" spans="1:5" ht="14.25">
      <c r="A24" s="3168">
        <v>23</v>
      </c>
      <c r="B24" s="3168" t="s">
        <v>3426</v>
      </c>
      <c r="C24" s="3168">
        <v>-209</v>
      </c>
      <c r="D24" s="3168">
        <v>8.7799999999999994</v>
      </c>
      <c r="E24" s="3168">
        <v>3.07</v>
      </c>
    </row>
    <row r="25" spans="1:5" ht="14.25">
      <c r="A25" s="3168">
        <v>24</v>
      </c>
      <c r="B25" s="3168" t="s">
        <v>3441</v>
      </c>
      <c r="C25" s="3168" t="s">
        <v>3442</v>
      </c>
      <c r="D25" s="3168">
        <v>95.69</v>
      </c>
      <c r="E25" s="3168">
        <v>33.409999999999997</v>
      </c>
    </row>
    <row r="26" spans="1:5" ht="14.25">
      <c r="A26" s="3168">
        <v>25</v>
      </c>
      <c r="B26" s="3168" t="s">
        <v>3441</v>
      </c>
      <c r="C26" s="3168" t="s">
        <v>3443</v>
      </c>
      <c r="D26" s="3168">
        <v>95.69</v>
      </c>
      <c r="E26" s="3168">
        <v>33.409999999999997</v>
      </c>
    </row>
    <row r="27" spans="1:5" ht="14.25">
      <c r="A27" s="3168">
        <v>26</v>
      </c>
      <c r="B27" s="3168" t="s">
        <v>3441</v>
      </c>
      <c r="C27" s="3168" t="s">
        <v>3444</v>
      </c>
      <c r="D27" s="3168">
        <v>95.69</v>
      </c>
      <c r="E27" s="3168">
        <v>33.409999999999997</v>
      </c>
    </row>
    <row r="28" spans="1:5" ht="14.25">
      <c r="A28" s="3168">
        <v>27</v>
      </c>
      <c r="B28" s="3168" t="s">
        <v>3441</v>
      </c>
      <c r="C28" s="3168" t="s">
        <v>3445</v>
      </c>
      <c r="D28" s="3168">
        <v>95.69</v>
      </c>
      <c r="E28" s="3168">
        <v>33.409999999999997</v>
      </c>
    </row>
    <row r="29" spans="1:5" ht="14.25">
      <c r="A29" s="3168">
        <v>28</v>
      </c>
      <c r="B29" s="3168" t="s">
        <v>3441</v>
      </c>
      <c r="C29" s="3168" t="s">
        <v>3428</v>
      </c>
      <c r="D29" s="3168">
        <v>68.25</v>
      </c>
      <c r="E29" s="3168">
        <v>23.83</v>
      </c>
    </row>
    <row r="30" spans="1:5" ht="14.25">
      <c r="A30" s="3168">
        <v>29</v>
      </c>
      <c r="B30" s="3168" t="s">
        <v>3441</v>
      </c>
      <c r="C30" s="3168" t="s">
        <v>3429</v>
      </c>
      <c r="D30" s="3168">
        <v>95.56</v>
      </c>
      <c r="E30" s="3168">
        <v>33.369999999999997</v>
      </c>
    </row>
    <row r="31" spans="1:5" ht="14.25">
      <c r="A31" s="3168">
        <v>30</v>
      </c>
      <c r="B31" s="3168" t="s">
        <v>3441</v>
      </c>
      <c r="C31" s="3168" t="s">
        <v>3446</v>
      </c>
      <c r="D31" s="3168">
        <v>68.05</v>
      </c>
      <c r="E31" s="3168">
        <v>23.76</v>
      </c>
    </row>
    <row r="32" spans="1:5" ht="14.25">
      <c r="A32" s="3168">
        <v>31</v>
      </c>
      <c r="B32" s="3168" t="s">
        <v>3441</v>
      </c>
      <c r="C32" s="3168" t="s">
        <v>3447</v>
      </c>
      <c r="D32" s="3168">
        <v>95.08</v>
      </c>
      <c r="E32" s="3168">
        <v>33.200000000000003</v>
      </c>
    </row>
    <row r="33" spans="1:5" ht="14.25">
      <c r="A33" s="3168">
        <v>32</v>
      </c>
      <c r="B33" s="3168" t="s">
        <v>3441</v>
      </c>
      <c r="C33" s="3168" t="s">
        <v>3448</v>
      </c>
      <c r="D33" s="3168">
        <v>95.44</v>
      </c>
      <c r="E33" s="3168">
        <v>33.33</v>
      </c>
    </row>
    <row r="34" spans="1:5" ht="14.25">
      <c r="A34" s="3168">
        <v>33</v>
      </c>
      <c r="B34" s="3168" t="s">
        <v>3441</v>
      </c>
      <c r="C34" s="3168" t="s">
        <v>3449</v>
      </c>
      <c r="D34" s="3168">
        <v>95.08</v>
      </c>
      <c r="E34" s="3168">
        <v>33.200000000000003</v>
      </c>
    </row>
    <row r="35" spans="1:5" ht="14.25">
      <c r="A35" s="3168">
        <v>34</v>
      </c>
      <c r="B35" s="3168" t="s">
        <v>3441</v>
      </c>
      <c r="C35" s="3168">
        <v>-101</v>
      </c>
      <c r="D35" s="3168">
        <v>9.7799999999999994</v>
      </c>
      <c r="E35" s="3168">
        <v>3.42</v>
      </c>
    </row>
    <row r="36" spans="1:5" ht="14.25">
      <c r="A36" s="3168">
        <v>35</v>
      </c>
      <c r="B36" s="3168" t="s">
        <v>3441</v>
      </c>
      <c r="C36" s="3168">
        <v>-102</v>
      </c>
      <c r="D36" s="3168">
        <v>13.18</v>
      </c>
      <c r="E36" s="3168">
        <v>4.5999999999999996</v>
      </c>
    </row>
    <row r="37" spans="1:5" ht="14.25">
      <c r="A37" s="3168">
        <v>36</v>
      </c>
      <c r="B37" s="3168" t="s">
        <v>3441</v>
      </c>
      <c r="C37" s="3168">
        <v>-103</v>
      </c>
      <c r="D37" s="3168">
        <v>15.77</v>
      </c>
      <c r="E37" s="3168">
        <v>5.51</v>
      </c>
    </row>
    <row r="38" spans="1:5" ht="14.25">
      <c r="A38" s="3168">
        <v>37</v>
      </c>
      <c r="B38" s="3168" t="s">
        <v>3441</v>
      </c>
      <c r="C38" s="3168">
        <v>-104</v>
      </c>
      <c r="D38" s="3168">
        <v>15.77</v>
      </c>
      <c r="E38" s="3168">
        <v>5.51</v>
      </c>
    </row>
    <row r="39" spans="1:5" ht="14.25">
      <c r="A39" s="3168">
        <v>38</v>
      </c>
      <c r="B39" s="3168" t="s">
        <v>3441</v>
      </c>
      <c r="C39" s="3168">
        <v>-105</v>
      </c>
      <c r="D39" s="3168">
        <v>9.92</v>
      </c>
      <c r="E39" s="3168">
        <v>3.46</v>
      </c>
    </row>
    <row r="40" spans="1:5" ht="14.25">
      <c r="A40" s="3168">
        <v>39</v>
      </c>
      <c r="B40" s="3168" t="s">
        <v>3441</v>
      </c>
      <c r="C40" s="3168">
        <v>-106</v>
      </c>
      <c r="D40" s="3168">
        <v>6.32</v>
      </c>
      <c r="E40" s="3168">
        <v>2.21</v>
      </c>
    </row>
    <row r="41" spans="1:5" ht="14.25">
      <c r="A41" s="3168">
        <v>40</v>
      </c>
      <c r="B41" s="3168" t="s">
        <v>3441</v>
      </c>
      <c r="C41" s="3168">
        <v>-107</v>
      </c>
      <c r="D41" s="3168">
        <v>9.3800000000000008</v>
      </c>
      <c r="E41" s="3168">
        <v>3.28</v>
      </c>
    </row>
    <row r="42" spans="1:5" ht="14.25">
      <c r="A42" s="3168">
        <v>41</v>
      </c>
      <c r="B42" s="3168" t="s">
        <v>3441</v>
      </c>
      <c r="C42" s="3168">
        <v>-108</v>
      </c>
      <c r="D42" s="3168">
        <v>13.18</v>
      </c>
      <c r="E42" s="3168">
        <v>4.5999999999999996</v>
      </c>
    </row>
    <row r="43" spans="1:5" ht="14.25">
      <c r="A43" s="3168">
        <v>42</v>
      </c>
      <c r="B43" s="3168" t="s">
        <v>3441</v>
      </c>
      <c r="C43" s="3168">
        <v>-109</v>
      </c>
      <c r="D43" s="3168">
        <v>15.06</v>
      </c>
      <c r="E43" s="3168">
        <v>5.26</v>
      </c>
    </row>
    <row r="44" spans="1:5" ht="14.25">
      <c r="A44" s="3168">
        <v>43</v>
      </c>
      <c r="B44" s="3168" t="s">
        <v>3441</v>
      </c>
      <c r="C44" s="3168">
        <v>-110</v>
      </c>
      <c r="D44" s="3168">
        <v>15.06</v>
      </c>
      <c r="E44" s="3168">
        <v>5.26</v>
      </c>
    </row>
    <row r="45" spans="1:5" ht="14.25">
      <c r="A45" s="3168">
        <v>44</v>
      </c>
      <c r="B45" s="3168" t="s">
        <v>3441</v>
      </c>
      <c r="C45" s="3168">
        <v>-111</v>
      </c>
      <c r="D45" s="3168">
        <v>13.18</v>
      </c>
      <c r="E45" s="3168">
        <v>4.5999999999999996</v>
      </c>
    </row>
    <row r="46" spans="1:5" ht="14.25">
      <c r="A46" s="3168">
        <v>45</v>
      </c>
      <c r="B46" s="3168" t="s">
        <v>3441</v>
      </c>
      <c r="C46" s="3168">
        <v>-112</v>
      </c>
      <c r="D46" s="3168">
        <v>14.31</v>
      </c>
      <c r="E46" s="3168">
        <v>5</v>
      </c>
    </row>
    <row r="47" spans="1:5" ht="14.25">
      <c r="A47" s="3168">
        <v>46</v>
      </c>
      <c r="B47" s="3168" t="s">
        <v>3450</v>
      </c>
      <c r="C47" s="3168" t="s">
        <v>3451</v>
      </c>
      <c r="D47" s="3168">
        <v>115.04</v>
      </c>
      <c r="E47" s="3168">
        <v>40.17</v>
      </c>
    </row>
    <row r="48" spans="1:5" ht="14.25">
      <c r="A48" s="3168">
        <v>47</v>
      </c>
      <c r="B48" s="3168" t="s">
        <v>3450</v>
      </c>
      <c r="C48" s="3168" t="s">
        <v>3452</v>
      </c>
      <c r="D48" s="3168">
        <v>111.68</v>
      </c>
      <c r="E48" s="3168">
        <v>39</v>
      </c>
    </row>
    <row r="49" spans="1:5" ht="14.25">
      <c r="A49" s="3168">
        <v>48</v>
      </c>
      <c r="B49" s="3168" t="s">
        <v>3450</v>
      </c>
      <c r="C49" s="3168" t="s">
        <v>3453</v>
      </c>
      <c r="D49" s="3168">
        <v>115.04</v>
      </c>
      <c r="E49" s="3168">
        <v>40.17</v>
      </c>
    </row>
    <row r="50" spans="1:5" ht="14.25">
      <c r="A50" s="3168">
        <v>49</v>
      </c>
      <c r="B50" s="3168" t="s">
        <v>3450</v>
      </c>
      <c r="C50" s="3168" t="s">
        <v>3427</v>
      </c>
      <c r="D50" s="3168">
        <v>115.04</v>
      </c>
      <c r="E50" s="3168">
        <v>40.17</v>
      </c>
    </row>
    <row r="51" spans="1:5" ht="14.25">
      <c r="A51" s="3168">
        <v>50</v>
      </c>
      <c r="B51" s="3168" t="s">
        <v>3450</v>
      </c>
      <c r="C51" s="3168" t="s">
        <v>3428</v>
      </c>
      <c r="D51" s="3168">
        <v>111.68</v>
      </c>
      <c r="E51" s="3168">
        <v>39</v>
      </c>
    </row>
    <row r="52" spans="1:5" ht="14.25">
      <c r="A52" s="3168">
        <v>51</v>
      </c>
      <c r="B52" s="3168" t="s">
        <v>3450</v>
      </c>
      <c r="C52" s="3168" t="s">
        <v>3454</v>
      </c>
      <c r="D52" s="3168">
        <v>115.04</v>
      </c>
      <c r="E52" s="3168">
        <v>40.17</v>
      </c>
    </row>
    <row r="53" spans="1:5" ht="14.25">
      <c r="A53" s="3168">
        <v>52</v>
      </c>
      <c r="B53" s="3168" t="s">
        <v>3450</v>
      </c>
      <c r="C53" s="3168" t="s">
        <v>3455</v>
      </c>
      <c r="D53" s="3168">
        <v>111.68</v>
      </c>
      <c r="E53" s="3168">
        <v>39</v>
      </c>
    </row>
    <row r="54" spans="1:5" ht="14.25">
      <c r="A54" s="3168">
        <v>53</v>
      </c>
      <c r="B54" s="3168" t="s">
        <v>3450</v>
      </c>
      <c r="C54" s="3168" t="s">
        <v>3456</v>
      </c>
      <c r="D54" s="3168">
        <v>115.04</v>
      </c>
      <c r="E54" s="3168">
        <v>40.17</v>
      </c>
    </row>
    <row r="55" spans="1:5" ht="14.25">
      <c r="A55" s="3168">
        <v>54</v>
      </c>
      <c r="B55" s="3168" t="s">
        <v>3450</v>
      </c>
      <c r="C55" s="3168" t="s">
        <v>3457</v>
      </c>
      <c r="D55" s="3168">
        <v>111.68</v>
      </c>
      <c r="E55" s="3168">
        <v>39</v>
      </c>
    </row>
    <row r="56" spans="1:5" ht="14.25">
      <c r="A56" s="3168">
        <v>55</v>
      </c>
      <c r="B56" s="3168" t="s">
        <v>3450</v>
      </c>
      <c r="C56" s="3168" t="s">
        <v>3458</v>
      </c>
      <c r="D56" s="3168">
        <v>115.04</v>
      </c>
      <c r="E56" s="3168">
        <v>40.17</v>
      </c>
    </row>
    <row r="57" spans="1:5" ht="14.25">
      <c r="A57" s="3168">
        <v>56</v>
      </c>
      <c r="B57" s="3168" t="s">
        <v>3450</v>
      </c>
      <c r="C57" s="3168" t="s">
        <v>3459</v>
      </c>
      <c r="D57" s="3168">
        <v>111.68</v>
      </c>
      <c r="E57" s="3168">
        <v>39</v>
      </c>
    </row>
    <row r="58" spans="1:5" ht="14.25">
      <c r="A58" s="3168">
        <v>57</v>
      </c>
      <c r="B58" s="3168" t="s">
        <v>3450</v>
      </c>
      <c r="C58" s="3168" t="s">
        <v>3460</v>
      </c>
      <c r="D58" s="3168">
        <v>115.04</v>
      </c>
      <c r="E58" s="3168">
        <v>40.17</v>
      </c>
    </row>
    <row r="59" spans="1:5" ht="14.25">
      <c r="A59" s="3168">
        <v>58</v>
      </c>
      <c r="B59" s="3168" t="s">
        <v>3450</v>
      </c>
      <c r="C59" s="3168" t="s">
        <v>3461</v>
      </c>
      <c r="D59" s="3168">
        <v>111.68</v>
      </c>
      <c r="E59" s="3168">
        <v>39</v>
      </c>
    </row>
    <row r="60" spans="1:5" ht="14.25">
      <c r="A60" s="3168">
        <v>59</v>
      </c>
      <c r="B60" s="3168" t="s">
        <v>3450</v>
      </c>
      <c r="C60" s="3168" t="s">
        <v>3429</v>
      </c>
      <c r="D60" s="3168">
        <v>112.01</v>
      </c>
      <c r="E60" s="3168">
        <v>39.11</v>
      </c>
    </row>
    <row r="61" spans="1:5" ht="14.25">
      <c r="A61" s="3168">
        <v>60</v>
      </c>
      <c r="B61" s="3168" t="s">
        <v>3450</v>
      </c>
      <c r="C61" s="3168" t="s">
        <v>3462</v>
      </c>
      <c r="D61" s="3168">
        <v>111.66</v>
      </c>
      <c r="E61" s="3168">
        <v>38.99</v>
      </c>
    </row>
    <row r="62" spans="1:5" ht="14.25">
      <c r="A62" s="3168">
        <v>61</v>
      </c>
      <c r="B62" s="3168" t="s">
        <v>3450</v>
      </c>
      <c r="C62" s="3168" t="s">
        <v>3463</v>
      </c>
      <c r="D62" s="3168">
        <v>112.01</v>
      </c>
      <c r="E62" s="3168">
        <v>39.11</v>
      </c>
    </row>
    <row r="63" spans="1:5" ht="14.25">
      <c r="A63" s="3168">
        <v>62</v>
      </c>
      <c r="B63" s="3168" t="s">
        <v>3450</v>
      </c>
      <c r="C63" s="3168" t="s">
        <v>3464</v>
      </c>
      <c r="D63" s="3168">
        <v>111.66</v>
      </c>
      <c r="E63" s="3168">
        <v>38.99</v>
      </c>
    </row>
    <row r="64" spans="1:5" ht="14.25">
      <c r="A64" s="3168">
        <v>63</v>
      </c>
      <c r="B64" s="3168" t="s">
        <v>3450</v>
      </c>
      <c r="C64" s="3168" t="s">
        <v>3432</v>
      </c>
      <c r="D64" s="3168">
        <v>111.66</v>
      </c>
      <c r="E64" s="3168">
        <v>38.99</v>
      </c>
    </row>
    <row r="65" spans="1:5" ht="14.25">
      <c r="A65" s="3168">
        <v>64</v>
      </c>
      <c r="B65" s="3168" t="s">
        <v>3450</v>
      </c>
      <c r="C65" s="3168" t="s">
        <v>3433</v>
      </c>
      <c r="D65" s="3168">
        <v>112.01</v>
      </c>
      <c r="E65" s="3168">
        <v>39.11</v>
      </c>
    </row>
    <row r="66" spans="1:5" ht="14.25">
      <c r="A66" s="3168">
        <v>65</v>
      </c>
      <c r="B66" s="3168" t="s">
        <v>3450</v>
      </c>
      <c r="C66" s="3168" t="s">
        <v>3434</v>
      </c>
      <c r="D66" s="3168">
        <v>112.06</v>
      </c>
      <c r="E66" s="3168">
        <v>39.130000000000003</v>
      </c>
    </row>
    <row r="67" spans="1:5" ht="14.25">
      <c r="A67" s="3168">
        <v>66</v>
      </c>
      <c r="B67" s="3168" t="s">
        <v>3450</v>
      </c>
      <c r="C67" s="3168" t="s">
        <v>3465</v>
      </c>
      <c r="D67" s="3168">
        <v>112.01</v>
      </c>
      <c r="E67" s="3168">
        <v>39.11</v>
      </c>
    </row>
    <row r="68" spans="1:5" ht="14.25">
      <c r="A68" s="3168">
        <v>67</v>
      </c>
      <c r="B68" s="3168" t="s">
        <v>3450</v>
      </c>
      <c r="C68" s="3168" t="s">
        <v>3466</v>
      </c>
      <c r="D68" s="3168">
        <v>112.06</v>
      </c>
      <c r="E68" s="3168">
        <v>39.130000000000003</v>
      </c>
    </row>
    <row r="69" spans="1:5" ht="14.25">
      <c r="A69" s="3168">
        <v>68</v>
      </c>
      <c r="B69" s="3168" t="s">
        <v>3450</v>
      </c>
      <c r="C69" s="3168" t="s">
        <v>3467</v>
      </c>
      <c r="D69" s="3168">
        <v>112.01</v>
      </c>
      <c r="E69" s="3168">
        <v>39.11</v>
      </c>
    </row>
    <row r="70" spans="1:5" ht="14.25">
      <c r="A70" s="3168">
        <v>69</v>
      </c>
      <c r="B70" s="3168" t="s">
        <v>3450</v>
      </c>
      <c r="C70" s="3168" t="s">
        <v>3468</v>
      </c>
      <c r="D70" s="3168">
        <v>112.06</v>
      </c>
      <c r="E70" s="3168">
        <v>39.130000000000003</v>
      </c>
    </row>
    <row r="71" spans="1:5" ht="14.25">
      <c r="A71" s="3168">
        <v>70</v>
      </c>
      <c r="B71" s="3168" t="s">
        <v>3450</v>
      </c>
      <c r="C71" s="3168" t="s">
        <v>3469</v>
      </c>
      <c r="D71" s="3168">
        <v>112.01</v>
      </c>
      <c r="E71" s="3168">
        <v>39.11</v>
      </c>
    </row>
    <row r="72" spans="1:5" ht="14.25">
      <c r="A72" s="3168">
        <v>71</v>
      </c>
      <c r="B72" s="3168" t="s">
        <v>3450</v>
      </c>
      <c r="C72" s="3168" t="s">
        <v>3470</v>
      </c>
      <c r="D72" s="3168">
        <v>112.06</v>
      </c>
      <c r="E72" s="3168">
        <v>39.130000000000003</v>
      </c>
    </row>
    <row r="73" spans="1:5" ht="14.25">
      <c r="A73" s="3168">
        <v>72</v>
      </c>
      <c r="B73" s="3168" t="s">
        <v>3450</v>
      </c>
      <c r="C73" s="3168" t="s">
        <v>3471</v>
      </c>
      <c r="D73" s="3168">
        <v>112.01</v>
      </c>
      <c r="E73" s="3168">
        <v>39.11</v>
      </c>
    </row>
    <row r="74" spans="1:5" ht="14.25">
      <c r="A74" s="3168">
        <v>73</v>
      </c>
      <c r="B74" s="3168" t="s">
        <v>3450</v>
      </c>
      <c r="C74" s="3168" t="s">
        <v>3472</v>
      </c>
      <c r="D74" s="3168">
        <v>112.06</v>
      </c>
      <c r="E74" s="3168">
        <v>39.130000000000003</v>
      </c>
    </row>
    <row r="75" spans="1:5" ht="14.25">
      <c r="A75" s="3168">
        <v>74</v>
      </c>
      <c r="B75" s="3168" t="s">
        <v>3450</v>
      </c>
      <c r="C75" s="3168" t="s">
        <v>3473</v>
      </c>
      <c r="D75" s="3168">
        <v>84.19</v>
      </c>
      <c r="E75" s="3168">
        <v>29.4</v>
      </c>
    </row>
    <row r="76" spans="1:5" ht="14.25">
      <c r="A76" s="3168">
        <v>75</v>
      </c>
      <c r="B76" s="3168" t="s">
        <v>3450</v>
      </c>
      <c r="C76" s="3168">
        <v>-101</v>
      </c>
      <c r="D76" s="3168">
        <v>8.36</v>
      </c>
      <c r="E76" s="3168">
        <v>2.92</v>
      </c>
    </row>
    <row r="77" spans="1:5" ht="14.25">
      <c r="A77" s="3168">
        <v>76</v>
      </c>
      <c r="B77" s="3168" t="s">
        <v>3450</v>
      </c>
      <c r="C77" s="3168">
        <v>-102</v>
      </c>
      <c r="D77" s="3168">
        <v>8.36</v>
      </c>
      <c r="E77" s="3168">
        <v>2.92</v>
      </c>
    </row>
    <row r="78" spans="1:5" ht="14.25">
      <c r="A78" s="3168">
        <v>77</v>
      </c>
      <c r="B78" s="3168" t="s">
        <v>3450</v>
      </c>
      <c r="C78" s="3168">
        <v>-103</v>
      </c>
      <c r="D78" s="3168">
        <v>8.5299999999999994</v>
      </c>
      <c r="E78" s="3168">
        <v>2.98</v>
      </c>
    </row>
    <row r="79" spans="1:5" ht="14.25">
      <c r="A79" s="3168">
        <v>78</v>
      </c>
      <c r="B79" s="3168" t="s">
        <v>3450</v>
      </c>
      <c r="C79" s="3168">
        <v>-104</v>
      </c>
      <c r="D79" s="3168">
        <v>8.89</v>
      </c>
      <c r="E79" s="3168">
        <v>3.1</v>
      </c>
    </row>
    <row r="80" spans="1:5" ht="14.25">
      <c r="A80" s="3168">
        <v>79</v>
      </c>
      <c r="B80" s="3168" t="s">
        <v>3450</v>
      </c>
      <c r="C80" s="3168">
        <v>-105</v>
      </c>
      <c r="D80" s="3168">
        <v>4.66</v>
      </c>
      <c r="E80" s="3168">
        <v>1.63</v>
      </c>
    </row>
    <row r="81" spans="1:5" ht="14.25">
      <c r="A81" s="3168">
        <v>80</v>
      </c>
      <c r="B81" s="3168" t="s">
        <v>3450</v>
      </c>
      <c r="C81" s="3168">
        <v>-106</v>
      </c>
      <c r="D81" s="3168">
        <v>11.98</v>
      </c>
      <c r="E81" s="3168">
        <v>4.18</v>
      </c>
    </row>
    <row r="82" spans="1:5" ht="14.25">
      <c r="A82" s="3168">
        <v>81</v>
      </c>
      <c r="B82" s="3168" t="s">
        <v>3450</v>
      </c>
      <c r="C82" s="3168">
        <v>-107</v>
      </c>
      <c r="D82" s="3168">
        <v>11.98</v>
      </c>
      <c r="E82" s="3168">
        <v>4.18</v>
      </c>
    </row>
    <row r="83" spans="1:5" ht="14.25">
      <c r="A83" s="3168">
        <v>82</v>
      </c>
      <c r="B83" s="3168" t="s">
        <v>3450</v>
      </c>
      <c r="C83" s="3168">
        <v>-108</v>
      </c>
      <c r="D83" s="3168">
        <v>8.89</v>
      </c>
      <c r="E83" s="3168">
        <v>3.1</v>
      </c>
    </row>
    <row r="84" spans="1:5" ht="14.25">
      <c r="A84" s="3168">
        <v>83</v>
      </c>
      <c r="B84" s="3168" t="s">
        <v>3450</v>
      </c>
      <c r="C84" s="3168">
        <v>-109</v>
      </c>
      <c r="D84" s="3168">
        <v>8.5299999999999994</v>
      </c>
      <c r="E84" s="3168">
        <v>2.98</v>
      </c>
    </row>
    <row r="85" spans="1:5" ht="14.25">
      <c r="A85" s="3168">
        <v>84</v>
      </c>
      <c r="B85" s="3168" t="s">
        <v>3450</v>
      </c>
      <c r="C85" s="3168">
        <v>-110</v>
      </c>
      <c r="D85" s="3168">
        <v>8.36</v>
      </c>
      <c r="E85" s="3168">
        <v>2.92</v>
      </c>
    </row>
    <row r="86" spans="1:5" ht="14.25">
      <c r="A86" s="3168">
        <v>85</v>
      </c>
      <c r="B86" s="3168" t="s">
        <v>3450</v>
      </c>
      <c r="C86" s="3168">
        <v>-111</v>
      </c>
      <c r="D86" s="3168">
        <v>8.36</v>
      </c>
      <c r="E86" s="3168">
        <v>2.92</v>
      </c>
    </row>
    <row r="87" spans="1:5" ht="14.25">
      <c r="A87" s="3168">
        <v>86</v>
      </c>
      <c r="B87" s="3168" t="s">
        <v>3450</v>
      </c>
      <c r="C87" s="3168">
        <v>-112</v>
      </c>
      <c r="D87" s="3168">
        <v>7.57</v>
      </c>
      <c r="E87" s="3168">
        <v>2.64</v>
      </c>
    </row>
    <row r="88" spans="1:5" ht="14.25">
      <c r="A88" s="3168">
        <v>87</v>
      </c>
      <c r="B88" s="3168" t="s">
        <v>3450</v>
      </c>
      <c r="C88" s="3168">
        <v>-113</v>
      </c>
      <c r="D88" s="3168">
        <v>7.07</v>
      </c>
      <c r="E88" s="3168">
        <v>2.4700000000000002</v>
      </c>
    </row>
    <row r="89" spans="1:5" ht="14.25">
      <c r="A89" s="3168">
        <v>88</v>
      </c>
      <c r="B89" s="3168" t="s">
        <v>3450</v>
      </c>
      <c r="C89" s="3168">
        <v>-114</v>
      </c>
      <c r="D89" s="3168">
        <v>7.07</v>
      </c>
      <c r="E89" s="3168">
        <v>2.4700000000000002</v>
      </c>
    </row>
    <row r="90" spans="1:5" ht="14.25">
      <c r="A90" s="3168">
        <v>89</v>
      </c>
      <c r="B90" s="3168" t="s">
        <v>3450</v>
      </c>
      <c r="C90" s="3168">
        <v>-115</v>
      </c>
      <c r="D90" s="3168">
        <v>7.96</v>
      </c>
      <c r="E90" s="3168">
        <v>2.78</v>
      </c>
    </row>
    <row r="91" spans="1:5" ht="14.25">
      <c r="A91" s="3168">
        <v>90</v>
      </c>
      <c r="B91" s="3168" t="s">
        <v>3450</v>
      </c>
      <c r="C91" s="3168">
        <v>-116</v>
      </c>
      <c r="D91" s="3168">
        <v>10.16</v>
      </c>
      <c r="E91" s="3168">
        <v>3.55</v>
      </c>
    </row>
    <row r="92" spans="1:5" ht="14.25">
      <c r="A92" s="3168">
        <v>91</v>
      </c>
      <c r="B92" s="3168" t="s">
        <v>3450</v>
      </c>
      <c r="C92" s="3168">
        <v>-117</v>
      </c>
      <c r="D92" s="3168">
        <v>11.48</v>
      </c>
      <c r="E92" s="3168">
        <v>4.01</v>
      </c>
    </row>
    <row r="93" spans="1:5" ht="14.25">
      <c r="A93" s="3168">
        <v>92</v>
      </c>
      <c r="B93" s="3168" t="s">
        <v>3450</v>
      </c>
      <c r="C93" s="3168">
        <v>-118</v>
      </c>
      <c r="D93" s="3168">
        <v>7.5</v>
      </c>
      <c r="E93" s="3168">
        <v>2.62</v>
      </c>
    </row>
    <row r="94" spans="1:5" ht="14.25">
      <c r="A94" s="3168">
        <v>93</v>
      </c>
      <c r="B94" s="3168" t="s">
        <v>3450</v>
      </c>
      <c r="C94" s="3168">
        <v>-119</v>
      </c>
      <c r="D94" s="3168">
        <v>4.75</v>
      </c>
      <c r="E94" s="3168">
        <v>1.66</v>
      </c>
    </row>
    <row r="95" spans="1:5" ht="14.25">
      <c r="A95" s="3168">
        <v>94</v>
      </c>
      <c r="B95" s="3168" t="s">
        <v>3450</v>
      </c>
      <c r="C95" s="3168">
        <v>-120</v>
      </c>
      <c r="D95" s="3168">
        <v>8.83</v>
      </c>
      <c r="E95" s="3168">
        <v>3.08</v>
      </c>
    </row>
    <row r="96" spans="1:5" ht="14.25">
      <c r="A96" s="3168">
        <v>95</v>
      </c>
      <c r="B96" s="3168" t="s">
        <v>3450</v>
      </c>
      <c r="C96" s="3168">
        <v>-121</v>
      </c>
      <c r="D96" s="3168">
        <v>8.83</v>
      </c>
      <c r="E96" s="3168">
        <v>3.08</v>
      </c>
    </row>
    <row r="97" spans="1:5" ht="14.25">
      <c r="A97" s="3168">
        <v>96</v>
      </c>
      <c r="B97" s="3168" t="s">
        <v>3450</v>
      </c>
      <c r="C97" s="3168">
        <v>-122</v>
      </c>
      <c r="D97" s="3168">
        <v>10.56</v>
      </c>
      <c r="E97" s="3168">
        <v>3.69</v>
      </c>
    </row>
    <row r="98" spans="1:5" ht="14.25">
      <c r="A98" s="3168">
        <v>97</v>
      </c>
      <c r="B98" s="3168" t="s">
        <v>3474</v>
      </c>
      <c r="C98" s="3168" t="s">
        <v>3451</v>
      </c>
      <c r="D98" s="3168">
        <v>108.87</v>
      </c>
      <c r="E98" s="3168">
        <v>38.020000000000003</v>
      </c>
    </row>
    <row r="99" spans="1:5" ht="14.25">
      <c r="A99" s="3168">
        <v>98</v>
      </c>
      <c r="B99" s="3168" t="s">
        <v>3474</v>
      </c>
      <c r="C99" s="3168" t="s">
        <v>3452</v>
      </c>
      <c r="D99" s="3168">
        <v>130.21</v>
      </c>
      <c r="E99" s="3168">
        <v>45.47</v>
      </c>
    </row>
    <row r="100" spans="1:5" ht="14.25">
      <c r="A100" s="3168">
        <v>99</v>
      </c>
      <c r="B100" s="3168" t="s">
        <v>3474</v>
      </c>
      <c r="C100" s="3168" t="s">
        <v>3475</v>
      </c>
      <c r="D100" s="3168">
        <v>130.6</v>
      </c>
      <c r="E100" s="3168">
        <v>45.6</v>
      </c>
    </row>
    <row r="101" spans="1:5" ht="14.25">
      <c r="A101" s="3168">
        <v>100</v>
      </c>
      <c r="B101" s="3168" t="s">
        <v>3474</v>
      </c>
      <c r="C101" s="3168" t="s">
        <v>3476</v>
      </c>
      <c r="D101" s="3168">
        <v>130.21</v>
      </c>
      <c r="E101" s="3168">
        <v>45.47</v>
      </c>
    </row>
    <row r="102" spans="1:5" ht="14.25">
      <c r="A102" s="3168">
        <v>101</v>
      </c>
      <c r="B102" s="3168" t="s">
        <v>3474</v>
      </c>
      <c r="C102" s="3168" t="s">
        <v>3477</v>
      </c>
      <c r="D102" s="3168">
        <v>130.6</v>
      </c>
      <c r="E102" s="3168">
        <v>45.6</v>
      </c>
    </row>
    <row r="103" spans="1:5" ht="14.25">
      <c r="A103" s="3168">
        <v>102</v>
      </c>
      <c r="B103" s="3168" t="s">
        <v>3474</v>
      </c>
      <c r="C103" s="3168" t="s">
        <v>3478</v>
      </c>
      <c r="D103" s="3168">
        <v>130.21</v>
      </c>
      <c r="E103" s="3168">
        <v>45.47</v>
      </c>
    </row>
    <row r="104" spans="1:5" ht="14.25">
      <c r="A104" s="3168">
        <v>103</v>
      </c>
      <c r="B104" s="3168" t="s">
        <v>3474</v>
      </c>
      <c r="C104" s="3168" t="s">
        <v>3479</v>
      </c>
      <c r="D104" s="3168">
        <v>130.6</v>
      </c>
      <c r="E104" s="3168">
        <v>45.6</v>
      </c>
    </row>
    <row r="105" spans="1:5" ht="14.25">
      <c r="A105" s="3168">
        <v>104</v>
      </c>
      <c r="B105" s="3168" t="s">
        <v>3474</v>
      </c>
      <c r="C105" s="3168" t="s">
        <v>3480</v>
      </c>
      <c r="D105" s="3168">
        <v>130.21</v>
      </c>
      <c r="E105" s="3168">
        <v>45.47</v>
      </c>
    </row>
    <row r="106" spans="1:5" ht="14.25">
      <c r="A106" s="3168">
        <v>105</v>
      </c>
      <c r="B106" s="3168" t="s">
        <v>3474</v>
      </c>
      <c r="C106" s="3168" t="s">
        <v>3442</v>
      </c>
      <c r="D106" s="3168">
        <v>130.6</v>
      </c>
      <c r="E106" s="3168">
        <v>45.6</v>
      </c>
    </row>
    <row r="107" spans="1:5" ht="14.25">
      <c r="A107" s="3168">
        <v>106</v>
      </c>
      <c r="B107" s="3168" t="s">
        <v>3474</v>
      </c>
      <c r="C107" s="3168" t="s">
        <v>3481</v>
      </c>
      <c r="D107" s="3168">
        <v>130.21</v>
      </c>
      <c r="E107" s="3168">
        <v>45.47</v>
      </c>
    </row>
    <row r="108" spans="1:5" ht="14.25">
      <c r="A108" s="3168">
        <v>107</v>
      </c>
      <c r="B108" s="3168" t="s">
        <v>3474</v>
      </c>
      <c r="C108" s="3168" t="s">
        <v>3482</v>
      </c>
      <c r="D108" s="3168">
        <v>130.6</v>
      </c>
      <c r="E108" s="3168">
        <v>45.6</v>
      </c>
    </row>
    <row r="109" spans="1:5" ht="14.25">
      <c r="A109" s="3168">
        <v>108</v>
      </c>
      <c r="B109" s="3168" t="s">
        <v>3474</v>
      </c>
      <c r="C109" s="3168" t="s">
        <v>3483</v>
      </c>
      <c r="D109" s="3168">
        <v>130.21</v>
      </c>
      <c r="E109" s="3168">
        <v>45.47</v>
      </c>
    </row>
    <row r="110" spans="1:5" ht="14.25">
      <c r="A110" s="3168">
        <v>109</v>
      </c>
      <c r="B110" s="3168" t="s">
        <v>3474</v>
      </c>
      <c r="C110" s="3168" t="s">
        <v>3443</v>
      </c>
      <c r="D110" s="3168">
        <v>130.6</v>
      </c>
      <c r="E110" s="3168">
        <v>45.6</v>
      </c>
    </row>
    <row r="111" spans="1:5" ht="14.25">
      <c r="A111" s="3168">
        <v>110</v>
      </c>
      <c r="B111" s="3168" t="s">
        <v>3474</v>
      </c>
      <c r="C111" s="3168" t="s">
        <v>3484</v>
      </c>
      <c r="D111" s="3168">
        <v>130.21</v>
      </c>
      <c r="E111" s="3168">
        <v>45.47</v>
      </c>
    </row>
    <row r="112" spans="1:5" ht="14.25">
      <c r="A112" s="3168">
        <v>111</v>
      </c>
      <c r="B112" s="3168" t="s">
        <v>3474</v>
      </c>
      <c r="C112" s="3168" t="s">
        <v>3453</v>
      </c>
      <c r="D112" s="3168">
        <v>130.6</v>
      </c>
      <c r="E112" s="3168">
        <v>45.6</v>
      </c>
    </row>
    <row r="113" spans="1:5" ht="14.25">
      <c r="A113" s="3168">
        <v>112</v>
      </c>
      <c r="B113" s="3168" t="s">
        <v>3474</v>
      </c>
      <c r="C113" s="3168" t="s">
        <v>3485</v>
      </c>
      <c r="D113" s="3168">
        <v>130.21</v>
      </c>
      <c r="E113" s="3168">
        <v>45.47</v>
      </c>
    </row>
    <row r="114" spans="1:5" ht="14.25">
      <c r="A114" s="3168">
        <v>113</v>
      </c>
      <c r="B114" s="3168" t="s">
        <v>3474</v>
      </c>
      <c r="C114" s="3168" t="s">
        <v>3486</v>
      </c>
      <c r="D114" s="3168">
        <v>130.6</v>
      </c>
      <c r="E114" s="3168">
        <v>45.6</v>
      </c>
    </row>
    <row r="115" spans="1:5" ht="14.25">
      <c r="A115" s="3168">
        <v>114</v>
      </c>
      <c r="B115" s="3168" t="s">
        <v>3474</v>
      </c>
      <c r="C115" s="3168" t="s">
        <v>3444</v>
      </c>
      <c r="D115" s="3168">
        <v>130.21</v>
      </c>
      <c r="E115" s="3168">
        <v>45.47</v>
      </c>
    </row>
    <row r="116" spans="1:5" ht="14.25">
      <c r="A116" s="3168">
        <v>115</v>
      </c>
      <c r="B116" s="3168" t="s">
        <v>3474</v>
      </c>
      <c r="C116" s="3168" t="s">
        <v>3487</v>
      </c>
      <c r="D116" s="3168">
        <v>130.6</v>
      </c>
      <c r="E116" s="3168">
        <v>45.6</v>
      </c>
    </row>
    <row r="117" spans="1:5" ht="14.25">
      <c r="A117" s="3168">
        <v>116</v>
      </c>
      <c r="B117" s="3168" t="s">
        <v>3474</v>
      </c>
      <c r="C117" s="3168" t="s">
        <v>3445</v>
      </c>
      <c r="D117" s="3168">
        <v>130.21</v>
      </c>
      <c r="E117" s="3168">
        <v>45.47</v>
      </c>
    </row>
    <row r="118" spans="1:5" ht="14.25">
      <c r="A118" s="3168">
        <v>117</v>
      </c>
      <c r="B118" s="3168" t="s">
        <v>3474</v>
      </c>
      <c r="C118" s="3168" t="s">
        <v>3427</v>
      </c>
      <c r="D118" s="3168">
        <v>130.6</v>
      </c>
      <c r="E118" s="3168">
        <v>45.6</v>
      </c>
    </row>
    <row r="119" spans="1:5" ht="14.25">
      <c r="A119" s="3168">
        <v>118</v>
      </c>
      <c r="B119" s="3168" t="s">
        <v>3474</v>
      </c>
      <c r="C119" s="3168" t="s">
        <v>3428</v>
      </c>
      <c r="D119" s="3168">
        <v>130.21</v>
      </c>
      <c r="E119" s="3168">
        <v>45.47</v>
      </c>
    </row>
    <row r="120" spans="1:5" ht="14.25">
      <c r="A120" s="3168">
        <v>119</v>
      </c>
      <c r="B120" s="3168" t="s">
        <v>3474</v>
      </c>
      <c r="C120" s="3168" t="s">
        <v>3429</v>
      </c>
      <c r="D120" s="3168">
        <v>111.49</v>
      </c>
      <c r="E120" s="3168">
        <v>38.93</v>
      </c>
    </row>
    <row r="121" spans="1:5" ht="14.25">
      <c r="A121" s="3168">
        <v>120</v>
      </c>
      <c r="B121" s="3168" t="s">
        <v>3474</v>
      </c>
      <c r="C121" s="3168" t="s">
        <v>3463</v>
      </c>
      <c r="D121" s="3168">
        <v>111.49</v>
      </c>
      <c r="E121" s="3168">
        <v>38.93</v>
      </c>
    </row>
    <row r="122" spans="1:5" ht="14.25">
      <c r="A122" s="3168">
        <v>121</v>
      </c>
      <c r="B122" s="3168" t="s">
        <v>3474</v>
      </c>
      <c r="C122" s="3168" t="s">
        <v>3488</v>
      </c>
      <c r="D122" s="3168">
        <v>111.49</v>
      </c>
      <c r="E122" s="3168">
        <v>38.93</v>
      </c>
    </row>
    <row r="123" spans="1:5" ht="14.25">
      <c r="A123" s="3168">
        <v>122</v>
      </c>
      <c r="B123" s="3168" t="s">
        <v>3474</v>
      </c>
      <c r="C123" s="3168" t="s">
        <v>3489</v>
      </c>
      <c r="D123" s="3168">
        <v>111.84</v>
      </c>
      <c r="E123" s="3168">
        <v>39.049999999999997</v>
      </c>
    </row>
    <row r="124" spans="1:5" ht="14.25">
      <c r="A124" s="3168">
        <v>123</v>
      </c>
      <c r="B124" s="3168" t="s">
        <v>3474</v>
      </c>
      <c r="C124" s="3168" t="s">
        <v>3490</v>
      </c>
      <c r="D124" s="3168">
        <v>111.49</v>
      </c>
      <c r="E124" s="3168">
        <v>38.93</v>
      </c>
    </row>
    <row r="125" spans="1:5" ht="14.25">
      <c r="A125" s="3168">
        <v>124</v>
      </c>
      <c r="B125" s="3168" t="s">
        <v>3474</v>
      </c>
      <c r="C125" s="3168" t="s">
        <v>3491</v>
      </c>
      <c r="D125" s="3168">
        <v>111.84</v>
      </c>
      <c r="E125" s="3168">
        <v>39.049999999999997</v>
      </c>
    </row>
    <row r="126" spans="1:5" ht="14.25">
      <c r="A126" s="3168">
        <v>125</v>
      </c>
      <c r="B126" s="3168" t="s">
        <v>3474</v>
      </c>
      <c r="C126" s="3168" t="s">
        <v>3492</v>
      </c>
      <c r="D126" s="3168">
        <v>111.49</v>
      </c>
      <c r="E126" s="3168">
        <v>38.93</v>
      </c>
    </row>
    <row r="127" spans="1:5" ht="14.25">
      <c r="A127" s="3168">
        <v>126</v>
      </c>
      <c r="B127" s="3168" t="s">
        <v>3474</v>
      </c>
      <c r="C127" s="3168" t="s">
        <v>3493</v>
      </c>
      <c r="D127" s="3168">
        <v>111.84</v>
      </c>
      <c r="E127" s="3168">
        <v>39.049999999999997</v>
      </c>
    </row>
    <row r="128" spans="1:5" ht="14.25">
      <c r="A128" s="3168">
        <v>127</v>
      </c>
      <c r="B128" s="3168" t="s">
        <v>3474</v>
      </c>
      <c r="C128" s="3168" t="s">
        <v>3494</v>
      </c>
      <c r="D128" s="3168">
        <v>111.49</v>
      </c>
      <c r="E128" s="3168">
        <v>38.93</v>
      </c>
    </row>
    <row r="129" spans="1:5" ht="14.25">
      <c r="A129" s="3168">
        <v>128</v>
      </c>
      <c r="B129" s="3168" t="s">
        <v>3474</v>
      </c>
      <c r="C129" s="3168" t="s">
        <v>3495</v>
      </c>
      <c r="D129" s="3168">
        <v>111.84</v>
      </c>
      <c r="E129" s="3168">
        <v>39.049999999999997</v>
      </c>
    </row>
    <row r="130" spans="1:5" ht="14.25">
      <c r="A130" s="3168">
        <v>129</v>
      </c>
      <c r="B130" s="3168" t="s">
        <v>3474</v>
      </c>
      <c r="C130" s="3168" t="s">
        <v>3496</v>
      </c>
      <c r="D130" s="3168">
        <v>111.49</v>
      </c>
      <c r="E130" s="3168">
        <v>38.93</v>
      </c>
    </row>
    <row r="131" spans="1:5" ht="14.25">
      <c r="A131" s="3168">
        <v>130</v>
      </c>
      <c r="B131" s="3168" t="s">
        <v>3474</v>
      </c>
      <c r="C131" s="3168" t="s">
        <v>3446</v>
      </c>
      <c r="D131" s="3168">
        <v>111.84</v>
      </c>
      <c r="E131" s="3168">
        <v>39.049999999999997</v>
      </c>
    </row>
    <row r="132" spans="1:5" ht="14.25">
      <c r="A132" s="3168">
        <v>131</v>
      </c>
      <c r="B132" s="3168" t="s">
        <v>3474</v>
      </c>
      <c r="C132" s="3168" t="s">
        <v>3497</v>
      </c>
      <c r="D132" s="3168">
        <v>111.49</v>
      </c>
      <c r="E132" s="3168">
        <v>38.93</v>
      </c>
    </row>
    <row r="133" spans="1:5" ht="14.25">
      <c r="A133" s="3168">
        <v>132</v>
      </c>
      <c r="B133" s="3168" t="s">
        <v>3474</v>
      </c>
      <c r="C133" s="3168" t="s">
        <v>3430</v>
      </c>
      <c r="D133" s="3168">
        <v>111.84</v>
      </c>
      <c r="E133" s="3168">
        <v>39.049999999999997</v>
      </c>
    </row>
    <row r="134" spans="1:5" ht="14.25">
      <c r="A134" s="3168">
        <v>133</v>
      </c>
      <c r="B134" s="3168" t="s">
        <v>3474</v>
      </c>
      <c r="C134" s="3168" t="s">
        <v>3431</v>
      </c>
      <c r="D134" s="3168">
        <v>111.49</v>
      </c>
      <c r="E134" s="3168">
        <v>38.93</v>
      </c>
    </row>
    <row r="135" spans="1:5" ht="14.25">
      <c r="A135" s="3168">
        <v>134</v>
      </c>
      <c r="B135" s="3168" t="s">
        <v>3474</v>
      </c>
      <c r="C135" s="3168" t="s">
        <v>3432</v>
      </c>
      <c r="D135" s="3168">
        <v>111.84</v>
      </c>
      <c r="E135" s="3168">
        <v>39.049999999999997</v>
      </c>
    </row>
    <row r="136" spans="1:5" ht="14.25">
      <c r="A136" s="3168">
        <v>135</v>
      </c>
      <c r="B136" s="3168" t="s">
        <v>3474</v>
      </c>
      <c r="C136" s="3168" t="s">
        <v>3433</v>
      </c>
      <c r="D136" s="3168">
        <v>111.49</v>
      </c>
      <c r="E136" s="3168">
        <v>38.93</v>
      </c>
    </row>
    <row r="137" spans="1:5" ht="14.25">
      <c r="A137" s="3168">
        <v>136</v>
      </c>
      <c r="B137" s="3168" t="s">
        <v>3474</v>
      </c>
      <c r="C137" s="3168" t="s">
        <v>3434</v>
      </c>
      <c r="D137" s="3168">
        <v>111.84</v>
      </c>
      <c r="E137" s="3168">
        <v>39.049999999999997</v>
      </c>
    </row>
    <row r="138" spans="1:5" ht="14.25">
      <c r="A138" s="3168">
        <v>137</v>
      </c>
      <c r="B138" s="3168" t="s">
        <v>3474</v>
      </c>
      <c r="C138" s="3168" t="s">
        <v>3465</v>
      </c>
      <c r="D138" s="3168">
        <v>111.89</v>
      </c>
      <c r="E138" s="3168">
        <v>39.07</v>
      </c>
    </row>
    <row r="139" spans="1:5" ht="14.25">
      <c r="A139" s="3168">
        <v>138</v>
      </c>
      <c r="B139" s="3168" t="s">
        <v>3474</v>
      </c>
      <c r="C139" s="3168" t="s">
        <v>3466</v>
      </c>
      <c r="D139" s="3168">
        <v>111.84</v>
      </c>
      <c r="E139" s="3168">
        <v>39.049999999999997</v>
      </c>
    </row>
    <row r="140" spans="1:5" ht="14.25">
      <c r="A140" s="3168">
        <v>139</v>
      </c>
      <c r="B140" s="3168" t="s">
        <v>3474</v>
      </c>
      <c r="C140" s="3168" t="s">
        <v>3467</v>
      </c>
      <c r="D140" s="3168">
        <v>111.89</v>
      </c>
      <c r="E140" s="3168">
        <v>39.07</v>
      </c>
    </row>
    <row r="141" spans="1:5" ht="14.25">
      <c r="A141" s="3168">
        <v>140</v>
      </c>
      <c r="B141" s="3168" t="s">
        <v>3474</v>
      </c>
      <c r="C141" s="3168" t="s">
        <v>3468</v>
      </c>
      <c r="D141" s="3168">
        <v>111.84</v>
      </c>
      <c r="E141" s="3168">
        <v>39.049999999999997</v>
      </c>
    </row>
    <row r="142" spans="1:5" ht="14.25">
      <c r="A142" s="3168">
        <v>141</v>
      </c>
      <c r="B142" s="3168" t="s">
        <v>3474</v>
      </c>
      <c r="C142" s="3168" t="s">
        <v>3469</v>
      </c>
      <c r="D142" s="3168">
        <v>111.89</v>
      </c>
      <c r="E142" s="3168">
        <v>39.07</v>
      </c>
    </row>
    <row r="143" spans="1:5" ht="14.25">
      <c r="A143" s="3168">
        <v>142</v>
      </c>
      <c r="B143" s="3168" t="s">
        <v>3474</v>
      </c>
      <c r="C143" s="3168" t="s">
        <v>3470</v>
      </c>
      <c r="D143" s="3168">
        <v>111.84</v>
      </c>
      <c r="E143" s="3168">
        <v>39.049999999999997</v>
      </c>
    </row>
    <row r="144" spans="1:5" ht="14.25">
      <c r="A144" s="3168">
        <v>143</v>
      </c>
      <c r="B144" s="3168" t="s">
        <v>3474</v>
      </c>
      <c r="C144" s="3168" t="s">
        <v>3471</v>
      </c>
      <c r="D144" s="3168">
        <v>111.89</v>
      </c>
      <c r="E144" s="3168">
        <v>39.07</v>
      </c>
    </row>
    <row r="145" spans="1:5" ht="14.25">
      <c r="A145" s="3168">
        <v>144</v>
      </c>
      <c r="B145" s="3168" t="s">
        <v>3474</v>
      </c>
      <c r="C145" s="3168" t="s">
        <v>3472</v>
      </c>
      <c r="D145" s="3168">
        <v>111.84</v>
      </c>
      <c r="E145" s="3168">
        <v>39.049999999999997</v>
      </c>
    </row>
    <row r="146" spans="1:5" ht="14.25">
      <c r="A146" s="3168">
        <v>145</v>
      </c>
      <c r="B146" s="3168" t="s">
        <v>3474</v>
      </c>
      <c r="C146" s="3168" t="s">
        <v>3498</v>
      </c>
      <c r="D146" s="3168">
        <v>114.85</v>
      </c>
      <c r="E146" s="3168">
        <v>40.1</v>
      </c>
    </row>
    <row r="147" spans="1:5" ht="14.25">
      <c r="A147" s="3168">
        <v>146</v>
      </c>
      <c r="B147" s="3168" t="s">
        <v>3474</v>
      </c>
      <c r="C147" s="3168" t="s">
        <v>3435</v>
      </c>
      <c r="D147" s="3168">
        <v>111.5</v>
      </c>
      <c r="E147" s="3168">
        <v>38.93</v>
      </c>
    </row>
    <row r="148" spans="1:5" ht="14.25">
      <c r="A148" s="3168">
        <v>147</v>
      </c>
      <c r="B148" s="3168" t="s">
        <v>3474</v>
      </c>
      <c r="C148" s="3168" t="s">
        <v>3499</v>
      </c>
      <c r="D148" s="3168">
        <v>114.85</v>
      </c>
      <c r="E148" s="3168">
        <v>40.1</v>
      </c>
    </row>
    <row r="149" spans="1:5" ht="14.25">
      <c r="A149" s="3168">
        <v>148</v>
      </c>
      <c r="B149" s="3168" t="s">
        <v>3474</v>
      </c>
      <c r="C149" s="3168" t="s">
        <v>3500</v>
      </c>
      <c r="D149" s="3168">
        <v>111.5</v>
      </c>
      <c r="E149" s="3168">
        <v>38.93</v>
      </c>
    </row>
    <row r="150" spans="1:5" ht="14.25">
      <c r="A150" s="3168">
        <v>149</v>
      </c>
      <c r="B150" s="3168" t="s">
        <v>3474</v>
      </c>
      <c r="C150" s="3168" t="s">
        <v>3448</v>
      </c>
      <c r="D150" s="3168">
        <v>114.85</v>
      </c>
      <c r="E150" s="3168">
        <v>40.1</v>
      </c>
    </row>
    <row r="151" spans="1:5" ht="14.25">
      <c r="A151" s="3168">
        <v>150</v>
      </c>
      <c r="B151" s="3168" t="s">
        <v>3474</v>
      </c>
      <c r="C151" s="3168" t="s">
        <v>3501</v>
      </c>
      <c r="D151" s="3168">
        <v>111.5</v>
      </c>
      <c r="E151" s="3168">
        <v>38.93</v>
      </c>
    </row>
    <row r="152" spans="1:5" ht="14.25">
      <c r="A152" s="3168">
        <v>151</v>
      </c>
      <c r="B152" s="3168" t="s">
        <v>3474</v>
      </c>
      <c r="C152" s="3168" t="s">
        <v>3502</v>
      </c>
      <c r="D152" s="3168">
        <v>114.85</v>
      </c>
      <c r="E152" s="3168">
        <v>40.1</v>
      </c>
    </row>
    <row r="153" spans="1:5" ht="14.25">
      <c r="A153" s="3168">
        <v>152</v>
      </c>
      <c r="B153" s="3168" t="s">
        <v>3474</v>
      </c>
      <c r="C153" s="3168" t="s">
        <v>3436</v>
      </c>
      <c r="D153" s="3168">
        <v>111.5</v>
      </c>
      <c r="E153" s="3168">
        <v>38.93</v>
      </c>
    </row>
    <row r="154" spans="1:5" ht="14.25">
      <c r="A154" s="3168">
        <v>153</v>
      </c>
      <c r="B154" s="3168" t="s">
        <v>3474</v>
      </c>
      <c r="C154" s="3168" t="s">
        <v>3437</v>
      </c>
      <c r="D154" s="3168">
        <v>114.85</v>
      </c>
      <c r="E154" s="3168">
        <v>40.1</v>
      </c>
    </row>
    <row r="155" spans="1:5" ht="14.25">
      <c r="A155" s="3168">
        <v>154</v>
      </c>
      <c r="B155" s="3168" t="s">
        <v>3474</v>
      </c>
      <c r="C155" s="3168" t="s">
        <v>3503</v>
      </c>
      <c r="D155" s="3168">
        <v>111.5</v>
      </c>
      <c r="E155" s="3168">
        <v>38.93</v>
      </c>
    </row>
    <row r="156" spans="1:5" ht="14.25">
      <c r="A156" s="3168">
        <v>155</v>
      </c>
      <c r="B156" s="3168" t="s">
        <v>3474</v>
      </c>
      <c r="C156" s="3168" t="s">
        <v>3438</v>
      </c>
      <c r="D156" s="3168">
        <v>114.85</v>
      </c>
      <c r="E156" s="3168">
        <v>40.1</v>
      </c>
    </row>
    <row r="157" spans="1:5" ht="14.25">
      <c r="A157" s="3168">
        <v>156</v>
      </c>
      <c r="B157" s="3168" t="s">
        <v>3474</v>
      </c>
      <c r="C157" s="3168" t="s">
        <v>3449</v>
      </c>
      <c r="D157" s="3168">
        <v>111.5</v>
      </c>
      <c r="E157" s="3168">
        <v>38.93</v>
      </c>
    </row>
    <row r="158" spans="1:5" ht="14.25">
      <c r="A158" s="3168">
        <v>157</v>
      </c>
      <c r="B158" s="3168" t="s">
        <v>3474</v>
      </c>
      <c r="C158" s="3168" t="s">
        <v>3439</v>
      </c>
      <c r="D158" s="3168">
        <v>114.85</v>
      </c>
      <c r="E158" s="3168">
        <v>40.1</v>
      </c>
    </row>
    <row r="159" spans="1:5" ht="14.25">
      <c r="A159" s="3168">
        <v>158</v>
      </c>
      <c r="B159" s="3168" t="s">
        <v>3474</v>
      </c>
      <c r="C159" s="3168" t="s">
        <v>3504</v>
      </c>
      <c r="D159" s="3168">
        <v>111.5</v>
      </c>
      <c r="E159" s="3168">
        <v>38.93</v>
      </c>
    </row>
    <row r="160" spans="1:5" ht="14.25">
      <c r="A160" s="3168">
        <v>159</v>
      </c>
      <c r="B160" s="3168" t="s">
        <v>3474</v>
      </c>
      <c r="C160" s="3168" t="s">
        <v>3440</v>
      </c>
      <c r="D160" s="3168">
        <v>114.85</v>
      </c>
      <c r="E160" s="3168">
        <v>40.1</v>
      </c>
    </row>
    <row r="161" spans="1:5" ht="14.25">
      <c r="A161" s="3168">
        <v>160</v>
      </c>
      <c r="B161" s="3168" t="s">
        <v>3474</v>
      </c>
      <c r="C161" s="3168" t="s">
        <v>3473</v>
      </c>
      <c r="D161" s="3168">
        <v>111.5</v>
      </c>
      <c r="E161" s="3168">
        <v>38.93</v>
      </c>
    </row>
    <row r="162" spans="1:5" ht="14.25">
      <c r="A162" s="3168">
        <v>161</v>
      </c>
      <c r="B162" s="3168" t="s">
        <v>3474</v>
      </c>
      <c r="C162" s="3168" t="s">
        <v>3505</v>
      </c>
      <c r="D162" s="3168">
        <v>114.85</v>
      </c>
      <c r="E162" s="3168">
        <v>40.1</v>
      </c>
    </row>
    <row r="163" spans="1:5" ht="14.25">
      <c r="A163" s="3168">
        <v>162</v>
      </c>
      <c r="B163" s="3168" t="s">
        <v>3474</v>
      </c>
      <c r="C163" s="3168" t="s">
        <v>3506</v>
      </c>
      <c r="D163" s="3168">
        <v>111.5</v>
      </c>
      <c r="E163" s="3168">
        <v>38.93</v>
      </c>
    </row>
    <row r="164" spans="1:5" ht="14.25">
      <c r="A164" s="3168">
        <v>163</v>
      </c>
      <c r="B164" s="3168" t="s">
        <v>3474</v>
      </c>
      <c r="C164" s="3168" t="s">
        <v>3507</v>
      </c>
      <c r="D164" s="3168">
        <v>114.85</v>
      </c>
      <c r="E164" s="3168">
        <v>40.1</v>
      </c>
    </row>
    <row r="165" spans="1:5" ht="14.25">
      <c r="A165" s="3168">
        <v>164</v>
      </c>
      <c r="B165" s="3168" t="s">
        <v>3474</v>
      </c>
      <c r="C165" s="3168" t="s">
        <v>3508</v>
      </c>
      <c r="D165" s="3168">
        <v>111.5</v>
      </c>
      <c r="E165" s="3168">
        <v>38.93</v>
      </c>
    </row>
    <row r="166" spans="1:5" ht="14.25">
      <c r="A166" s="3168">
        <v>165</v>
      </c>
      <c r="B166" s="3168" t="s">
        <v>3474</v>
      </c>
      <c r="C166" s="3168" t="s">
        <v>3509</v>
      </c>
      <c r="D166" s="3168">
        <v>114.85</v>
      </c>
      <c r="E166" s="3168">
        <v>40.1</v>
      </c>
    </row>
    <row r="167" spans="1:5" ht="14.25">
      <c r="A167" s="3168">
        <v>166</v>
      </c>
      <c r="B167" s="3168" t="s">
        <v>3474</v>
      </c>
      <c r="C167" s="3168" t="s">
        <v>3510</v>
      </c>
      <c r="D167" s="3168">
        <v>111.5</v>
      </c>
      <c r="E167" s="3168">
        <v>38.93</v>
      </c>
    </row>
    <row r="168" spans="1:5" ht="14.25">
      <c r="A168" s="3168">
        <v>167</v>
      </c>
      <c r="B168" s="3168" t="s">
        <v>3474</v>
      </c>
      <c r="C168" s="3168" t="s">
        <v>3511</v>
      </c>
      <c r="D168" s="3168">
        <v>114.85</v>
      </c>
      <c r="E168" s="3168">
        <v>40.1</v>
      </c>
    </row>
    <row r="169" spans="1:5" ht="14.25">
      <c r="A169" s="3168">
        <v>168</v>
      </c>
      <c r="B169" s="3168" t="s">
        <v>3474</v>
      </c>
      <c r="C169" s="3168" t="s">
        <v>3512</v>
      </c>
      <c r="D169" s="3168">
        <v>111.5</v>
      </c>
      <c r="E169" s="3168">
        <v>38.93</v>
      </c>
    </row>
    <row r="170" spans="1:5" ht="14.25">
      <c r="A170" s="3168">
        <v>169</v>
      </c>
      <c r="B170" s="3168" t="s">
        <v>3474</v>
      </c>
      <c r="C170" s="3168" t="s">
        <v>3513</v>
      </c>
      <c r="D170" s="3168">
        <v>114.85</v>
      </c>
      <c r="E170" s="3168">
        <v>40.1</v>
      </c>
    </row>
    <row r="171" spans="1:5" ht="14.25">
      <c r="A171" s="3168">
        <v>170</v>
      </c>
      <c r="B171" s="3168" t="s">
        <v>3474</v>
      </c>
      <c r="C171" s="3168" t="s">
        <v>3514</v>
      </c>
      <c r="D171" s="3168">
        <v>111.5</v>
      </c>
      <c r="E171" s="3168">
        <v>38.93</v>
      </c>
    </row>
    <row r="172" spans="1:5" ht="14.25">
      <c r="A172" s="3168">
        <v>171</v>
      </c>
      <c r="B172" s="3168" t="s">
        <v>3474</v>
      </c>
      <c r="C172" s="3168" t="s">
        <v>3515</v>
      </c>
      <c r="D172" s="3168">
        <v>114.85</v>
      </c>
      <c r="E172" s="3168">
        <v>40.1</v>
      </c>
    </row>
    <row r="173" spans="1:5" ht="14.25">
      <c r="A173" s="3168">
        <v>172</v>
      </c>
      <c r="B173" s="3168" t="s">
        <v>3474</v>
      </c>
      <c r="C173" s="3168" t="s">
        <v>3516</v>
      </c>
      <c r="D173" s="3168">
        <v>111.5</v>
      </c>
      <c r="E173" s="3168">
        <v>38.93</v>
      </c>
    </row>
    <row r="174" spans="1:5" ht="14.25">
      <c r="A174" s="3168">
        <v>173</v>
      </c>
      <c r="B174" s="3168" t="s">
        <v>3474</v>
      </c>
      <c r="C174" s="3168" t="s">
        <v>3517</v>
      </c>
      <c r="D174" s="3168">
        <v>114.85</v>
      </c>
      <c r="E174" s="3168">
        <v>40.1</v>
      </c>
    </row>
    <row r="175" spans="1:5" ht="14.25">
      <c r="A175" s="3168">
        <v>174</v>
      </c>
      <c r="B175" s="3168" t="s">
        <v>3474</v>
      </c>
      <c r="C175" s="3168">
        <v>-201</v>
      </c>
      <c r="D175" s="3168">
        <v>13.8</v>
      </c>
      <c r="E175" s="3168">
        <v>4.82</v>
      </c>
    </row>
    <row r="176" spans="1:5" ht="14.25">
      <c r="A176" s="3168">
        <v>175</v>
      </c>
      <c r="B176" s="3168" t="s">
        <v>3474</v>
      </c>
      <c r="C176" s="3168">
        <v>-202</v>
      </c>
      <c r="D176" s="3168">
        <v>11.18</v>
      </c>
      <c r="E176" s="3168">
        <v>3.9</v>
      </c>
    </row>
    <row r="177" spans="1:5" ht="14.25">
      <c r="A177" s="3168">
        <v>176</v>
      </c>
      <c r="B177" s="3168" t="s">
        <v>3474</v>
      </c>
      <c r="C177" s="3168">
        <v>-203</v>
      </c>
      <c r="D177" s="3168">
        <v>9.32</v>
      </c>
      <c r="E177" s="3168">
        <v>3.25</v>
      </c>
    </row>
    <row r="178" spans="1:5" ht="14.25">
      <c r="A178" s="3168">
        <v>177</v>
      </c>
      <c r="B178" s="3168" t="s">
        <v>3474</v>
      </c>
      <c r="C178" s="3168">
        <v>-204</v>
      </c>
      <c r="D178" s="3168">
        <v>10.16</v>
      </c>
      <c r="E178" s="3168">
        <v>3.55</v>
      </c>
    </row>
    <row r="179" spans="1:5" ht="14.25">
      <c r="A179" s="3168">
        <v>178</v>
      </c>
      <c r="B179" s="3168" t="s">
        <v>3474</v>
      </c>
      <c r="C179" s="3168">
        <v>-205</v>
      </c>
      <c r="D179" s="3168">
        <v>9.56</v>
      </c>
      <c r="E179" s="3168">
        <v>3.34</v>
      </c>
    </row>
    <row r="180" spans="1:5" ht="14.25">
      <c r="A180" s="3168">
        <v>179</v>
      </c>
      <c r="B180" s="3168" t="s">
        <v>3474</v>
      </c>
      <c r="C180" s="3168">
        <v>-206</v>
      </c>
      <c r="D180" s="3168">
        <v>17.22</v>
      </c>
      <c r="E180" s="3168">
        <v>6.01</v>
      </c>
    </row>
    <row r="181" spans="1:5" ht="14.25">
      <c r="A181" s="3168">
        <v>180</v>
      </c>
      <c r="B181" s="3168" t="s">
        <v>3474</v>
      </c>
      <c r="C181" s="3168">
        <v>-207</v>
      </c>
      <c r="D181" s="3168">
        <v>11.96</v>
      </c>
      <c r="E181" s="3168">
        <v>4.18</v>
      </c>
    </row>
    <row r="182" spans="1:5" ht="14.25">
      <c r="A182" s="3168">
        <v>181</v>
      </c>
      <c r="B182" s="3168" t="s">
        <v>3474</v>
      </c>
      <c r="C182" s="3168">
        <v>-208</v>
      </c>
      <c r="D182" s="3168">
        <v>13.79</v>
      </c>
      <c r="E182" s="3168">
        <v>4.82</v>
      </c>
    </row>
    <row r="183" spans="1:5" ht="14.25">
      <c r="A183" s="3168">
        <v>182</v>
      </c>
      <c r="B183" s="3168" t="s">
        <v>3474</v>
      </c>
      <c r="C183" s="3168">
        <v>-209</v>
      </c>
      <c r="D183" s="3168">
        <v>8.1300000000000008</v>
      </c>
      <c r="E183" s="3168">
        <v>2.84</v>
      </c>
    </row>
    <row r="184" spans="1:5" ht="14.25">
      <c r="A184" s="3168">
        <v>183</v>
      </c>
      <c r="B184" s="3168" t="s">
        <v>3474</v>
      </c>
      <c r="C184" s="3168">
        <v>-210</v>
      </c>
      <c r="D184" s="3168">
        <v>8.09</v>
      </c>
      <c r="E184" s="3168">
        <v>2.82</v>
      </c>
    </row>
    <row r="185" spans="1:5" ht="14.25">
      <c r="A185" s="3168">
        <v>184</v>
      </c>
      <c r="B185" s="3168" t="s">
        <v>3474</v>
      </c>
      <c r="C185" s="3168">
        <v>-211</v>
      </c>
      <c r="D185" s="3168">
        <v>16.45</v>
      </c>
      <c r="E185" s="3168">
        <v>5.74</v>
      </c>
    </row>
    <row r="186" spans="1:5" ht="14.25">
      <c r="A186" s="3168">
        <v>185</v>
      </c>
      <c r="B186" s="3168" t="s">
        <v>3474</v>
      </c>
      <c r="C186" s="3168">
        <v>-212</v>
      </c>
      <c r="D186" s="3168">
        <v>8.09</v>
      </c>
      <c r="E186" s="3168">
        <v>2.82</v>
      </c>
    </row>
    <row r="187" spans="1:5" ht="14.25">
      <c r="A187" s="3168">
        <v>186</v>
      </c>
      <c r="B187" s="3168" t="s">
        <v>3474</v>
      </c>
      <c r="C187" s="3168">
        <v>-213</v>
      </c>
      <c r="D187" s="3168">
        <v>6.86</v>
      </c>
      <c r="E187" s="3168">
        <v>2.4</v>
      </c>
    </row>
    <row r="188" spans="1:5" ht="14.25">
      <c r="A188" s="3168">
        <v>187</v>
      </c>
      <c r="B188" s="3168" t="s">
        <v>3518</v>
      </c>
      <c r="C188" s="3168" t="s">
        <v>3451</v>
      </c>
      <c r="D188" s="3168">
        <v>145.28</v>
      </c>
      <c r="E188" s="3168">
        <v>50.73</v>
      </c>
    </row>
    <row r="189" spans="1:5" ht="14.25">
      <c r="A189" s="3168">
        <v>188</v>
      </c>
      <c r="B189" s="3168" t="s">
        <v>3518</v>
      </c>
      <c r="C189" s="3168" t="s">
        <v>3452</v>
      </c>
      <c r="D189" s="3168">
        <v>144.88999999999999</v>
      </c>
      <c r="E189" s="3168">
        <v>50.59</v>
      </c>
    </row>
    <row r="190" spans="1:5" ht="14.25">
      <c r="A190" s="3168">
        <v>189</v>
      </c>
      <c r="B190" s="3168" t="s">
        <v>3518</v>
      </c>
      <c r="C190" s="3168" t="s">
        <v>3475</v>
      </c>
      <c r="D190" s="3168">
        <v>145.28</v>
      </c>
      <c r="E190" s="3168">
        <v>50.73</v>
      </c>
    </row>
    <row r="191" spans="1:5" ht="14.25">
      <c r="A191" s="3168">
        <v>190</v>
      </c>
      <c r="B191" s="3168" t="s">
        <v>3518</v>
      </c>
      <c r="C191" s="3168" t="s">
        <v>3476</v>
      </c>
      <c r="D191" s="3168">
        <v>144.88999999999999</v>
      </c>
      <c r="E191" s="3168">
        <v>50.59</v>
      </c>
    </row>
    <row r="192" spans="1:5" ht="14.25">
      <c r="A192" s="3168">
        <v>191</v>
      </c>
      <c r="B192" s="3168" t="s">
        <v>3518</v>
      </c>
      <c r="C192" s="3168" t="s">
        <v>3477</v>
      </c>
      <c r="D192" s="3168">
        <v>145.28</v>
      </c>
      <c r="E192" s="3168">
        <v>50.73</v>
      </c>
    </row>
    <row r="193" spans="1:5" ht="14.25">
      <c r="A193" s="3168">
        <v>192</v>
      </c>
      <c r="B193" s="3168" t="s">
        <v>3518</v>
      </c>
      <c r="C193" s="3168" t="s">
        <v>3478</v>
      </c>
      <c r="D193" s="3168">
        <v>144.88999999999999</v>
      </c>
      <c r="E193" s="3168">
        <v>50.59</v>
      </c>
    </row>
    <row r="194" spans="1:5" ht="14.25">
      <c r="A194" s="3168">
        <v>193</v>
      </c>
      <c r="B194" s="3168" t="s">
        <v>3518</v>
      </c>
      <c r="C194" s="3168" t="s">
        <v>3479</v>
      </c>
      <c r="D194" s="3168">
        <v>145.28</v>
      </c>
      <c r="E194" s="3168">
        <v>50.73</v>
      </c>
    </row>
    <row r="195" spans="1:5" ht="14.25">
      <c r="A195" s="3168">
        <v>194</v>
      </c>
      <c r="B195" s="3168" t="s">
        <v>3518</v>
      </c>
      <c r="C195" s="3168" t="s">
        <v>3480</v>
      </c>
      <c r="D195" s="3168">
        <v>144.88999999999999</v>
      </c>
      <c r="E195" s="3168">
        <v>50.59</v>
      </c>
    </row>
    <row r="196" spans="1:5" ht="14.25">
      <c r="A196" s="3168">
        <v>195</v>
      </c>
      <c r="B196" s="3168" t="s">
        <v>3518</v>
      </c>
      <c r="C196" s="3168" t="s">
        <v>3481</v>
      </c>
      <c r="D196" s="3168">
        <v>144.88999999999999</v>
      </c>
      <c r="E196" s="3168">
        <v>50.59</v>
      </c>
    </row>
    <row r="197" spans="1:5" ht="14.25">
      <c r="A197" s="3168">
        <v>196</v>
      </c>
      <c r="B197" s="3168" t="s">
        <v>3518</v>
      </c>
      <c r="C197" s="3168" t="s">
        <v>3483</v>
      </c>
      <c r="D197" s="3168">
        <v>144.88999999999999</v>
      </c>
      <c r="E197" s="3168">
        <v>50.59</v>
      </c>
    </row>
    <row r="198" spans="1:5" ht="14.25">
      <c r="A198" s="3168">
        <v>197</v>
      </c>
      <c r="B198" s="3168" t="s">
        <v>3518</v>
      </c>
      <c r="C198" s="3168" t="s">
        <v>3484</v>
      </c>
      <c r="D198" s="3168">
        <v>144.88999999999999</v>
      </c>
      <c r="E198" s="3168">
        <v>50.59</v>
      </c>
    </row>
    <row r="199" spans="1:5" ht="14.25">
      <c r="A199" s="3168">
        <v>198</v>
      </c>
      <c r="B199" s="3168" t="s">
        <v>3518</v>
      </c>
      <c r="C199" s="3168" t="s">
        <v>3453</v>
      </c>
      <c r="D199" s="3168">
        <v>145.28</v>
      </c>
      <c r="E199" s="3168">
        <v>50.73</v>
      </c>
    </row>
    <row r="200" spans="1:5" ht="14.25">
      <c r="A200" s="3168">
        <v>199</v>
      </c>
      <c r="B200" s="3168" t="s">
        <v>3518</v>
      </c>
      <c r="C200" s="3168" t="s">
        <v>3485</v>
      </c>
      <c r="D200" s="3168">
        <v>144.88999999999999</v>
      </c>
      <c r="E200" s="3168">
        <v>50.59</v>
      </c>
    </row>
    <row r="201" spans="1:5" ht="14.25">
      <c r="A201" s="3168">
        <v>200</v>
      </c>
      <c r="B201" s="3168" t="s">
        <v>3518</v>
      </c>
      <c r="C201" s="3168" t="s">
        <v>3444</v>
      </c>
      <c r="D201" s="3168">
        <v>144.88999999999999</v>
      </c>
      <c r="E201" s="3168">
        <v>50.59</v>
      </c>
    </row>
    <row r="202" spans="1:5" ht="14.25">
      <c r="A202" s="3168">
        <v>201</v>
      </c>
      <c r="B202" s="3168" t="s">
        <v>3518</v>
      </c>
      <c r="C202" s="3168" t="s">
        <v>3487</v>
      </c>
      <c r="D202" s="3168">
        <v>101.18</v>
      </c>
      <c r="E202" s="3168">
        <v>35.33</v>
      </c>
    </row>
    <row r="203" spans="1:5" ht="14.25">
      <c r="A203" s="3168">
        <v>202</v>
      </c>
      <c r="B203" s="3168" t="s">
        <v>3518</v>
      </c>
      <c r="C203" s="3168" t="s">
        <v>3445</v>
      </c>
      <c r="D203" s="3168">
        <v>100.8</v>
      </c>
      <c r="E203" s="3168">
        <v>35.200000000000003</v>
      </c>
    </row>
    <row r="204" spans="1:5" ht="14.25">
      <c r="A204" s="3168">
        <v>203</v>
      </c>
      <c r="B204" s="3168" t="s">
        <v>3518</v>
      </c>
      <c r="C204" s="3168" t="s">
        <v>3429</v>
      </c>
      <c r="D204" s="3168">
        <v>144.91999999999999</v>
      </c>
      <c r="E204" s="3168">
        <v>50.6</v>
      </c>
    </row>
    <row r="205" spans="1:5" ht="14.25">
      <c r="A205" s="3168">
        <v>204</v>
      </c>
      <c r="B205" s="3168" t="s">
        <v>3518</v>
      </c>
      <c r="C205" s="3168" t="s">
        <v>3462</v>
      </c>
      <c r="D205" s="3168">
        <v>144.91999999999999</v>
      </c>
      <c r="E205" s="3168">
        <v>50.6</v>
      </c>
    </row>
    <row r="206" spans="1:5" ht="14.25">
      <c r="A206" s="3168">
        <v>205</v>
      </c>
      <c r="B206" s="3168" t="s">
        <v>3518</v>
      </c>
      <c r="C206" s="3168" t="s">
        <v>3463</v>
      </c>
      <c r="D206" s="3168">
        <v>144.91999999999999</v>
      </c>
      <c r="E206" s="3168">
        <v>50.6</v>
      </c>
    </row>
    <row r="207" spans="1:5" ht="14.25">
      <c r="A207" s="3168">
        <v>206</v>
      </c>
      <c r="B207" s="3168" t="s">
        <v>3518</v>
      </c>
      <c r="C207" s="3168" t="s">
        <v>3464</v>
      </c>
      <c r="D207" s="3168">
        <v>144.91999999999999</v>
      </c>
      <c r="E207" s="3168">
        <v>50.6</v>
      </c>
    </row>
    <row r="208" spans="1:5" ht="14.25">
      <c r="A208" s="3168">
        <v>207</v>
      </c>
      <c r="B208" s="3168" t="s">
        <v>3518</v>
      </c>
      <c r="C208" s="3168" t="s">
        <v>3488</v>
      </c>
      <c r="D208" s="3168">
        <v>144.91999999999999</v>
      </c>
      <c r="E208" s="3168">
        <v>50.6</v>
      </c>
    </row>
    <row r="209" spans="1:5" ht="14.25">
      <c r="A209" s="3168">
        <v>208</v>
      </c>
      <c r="B209" s="3168" t="s">
        <v>3518</v>
      </c>
      <c r="C209" s="3168" t="s">
        <v>3489</v>
      </c>
      <c r="D209" s="3168">
        <v>144.91999999999999</v>
      </c>
      <c r="E209" s="3168">
        <v>50.6</v>
      </c>
    </row>
    <row r="210" spans="1:5" ht="14.25">
      <c r="A210" s="3168">
        <v>209</v>
      </c>
      <c r="B210" s="3168" t="s">
        <v>3518</v>
      </c>
      <c r="C210" s="3168" t="s">
        <v>3519</v>
      </c>
      <c r="D210" s="3168">
        <v>144.91999999999999</v>
      </c>
      <c r="E210" s="3168">
        <v>50.6</v>
      </c>
    </row>
    <row r="211" spans="1:5" ht="14.25">
      <c r="A211" s="3168">
        <v>210</v>
      </c>
      <c r="B211" s="3168" t="s">
        <v>3518</v>
      </c>
      <c r="C211" s="3168" t="s">
        <v>3520</v>
      </c>
      <c r="D211" s="3168">
        <v>144.91999999999999</v>
      </c>
      <c r="E211" s="3168">
        <v>50.6</v>
      </c>
    </row>
    <row r="212" spans="1:5" ht="14.25">
      <c r="A212" s="3168">
        <v>211</v>
      </c>
      <c r="B212" s="3168" t="s">
        <v>3518</v>
      </c>
      <c r="C212" s="3168" t="s">
        <v>3491</v>
      </c>
      <c r="D212" s="3168">
        <v>144.91999999999999</v>
      </c>
      <c r="E212" s="3168">
        <v>50.6</v>
      </c>
    </row>
    <row r="213" spans="1:5" ht="14.25">
      <c r="A213" s="3168">
        <v>212</v>
      </c>
      <c r="B213" s="3168" t="s">
        <v>3518</v>
      </c>
      <c r="C213" s="3168" t="s">
        <v>3492</v>
      </c>
      <c r="D213" s="3168">
        <v>144.91999999999999</v>
      </c>
      <c r="E213" s="3168">
        <v>50.6</v>
      </c>
    </row>
    <row r="214" spans="1:5" ht="14.25">
      <c r="A214" s="3168">
        <v>213</v>
      </c>
      <c r="B214" s="3168" t="s">
        <v>3518</v>
      </c>
      <c r="C214" s="3168" t="s">
        <v>3493</v>
      </c>
      <c r="D214" s="3168">
        <v>144.91999999999999</v>
      </c>
      <c r="E214" s="3168">
        <v>50.6</v>
      </c>
    </row>
    <row r="215" spans="1:5" ht="14.25">
      <c r="A215" s="3168">
        <v>214</v>
      </c>
      <c r="B215" s="3168" t="s">
        <v>3518</v>
      </c>
      <c r="C215" s="3168" t="s">
        <v>3494</v>
      </c>
      <c r="D215" s="3168">
        <v>144.91999999999999</v>
      </c>
      <c r="E215" s="3168">
        <v>50.6</v>
      </c>
    </row>
    <row r="216" spans="1:5" ht="14.25">
      <c r="A216" s="3168">
        <v>215</v>
      </c>
      <c r="B216" s="3168" t="s">
        <v>3518</v>
      </c>
      <c r="C216" s="3168" t="s">
        <v>3495</v>
      </c>
      <c r="D216" s="3168">
        <v>144.91999999999999</v>
      </c>
      <c r="E216" s="3168">
        <v>50.6</v>
      </c>
    </row>
    <row r="217" spans="1:5" ht="14.25">
      <c r="A217" s="3168">
        <v>216</v>
      </c>
      <c r="B217" s="3168" t="s">
        <v>3518</v>
      </c>
      <c r="C217" s="3168" t="s">
        <v>3446</v>
      </c>
      <c r="D217" s="3168">
        <v>144.91999999999999</v>
      </c>
      <c r="E217" s="3168">
        <v>50.6</v>
      </c>
    </row>
    <row r="218" spans="1:5" ht="14.25">
      <c r="A218" s="3168">
        <v>217</v>
      </c>
      <c r="B218" s="3168" t="s">
        <v>3518</v>
      </c>
      <c r="C218" s="3168" t="s">
        <v>3497</v>
      </c>
      <c r="D218" s="3168">
        <v>144.91999999999999</v>
      </c>
      <c r="E218" s="3168">
        <v>50.6</v>
      </c>
    </row>
    <row r="219" spans="1:5" ht="14.25">
      <c r="A219" s="3168">
        <v>218</v>
      </c>
      <c r="B219" s="3168" t="s">
        <v>3518</v>
      </c>
      <c r="C219" s="3168" t="s">
        <v>3430</v>
      </c>
      <c r="D219" s="3168">
        <v>144.91999999999999</v>
      </c>
      <c r="E219" s="3168">
        <v>50.6</v>
      </c>
    </row>
    <row r="220" spans="1:5" ht="14.25">
      <c r="A220" s="3168">
        <v>219</v>
      </c>
      <c r="B220" s="3168" t="s">
        <v>3518</v>
      </c>
      <c r="C220" s="3168" t="s">
        <v>3431</v>
      </c>
      <c r="D220" s="3168">
        <v>100.82</v>
      </c>
      <c r="E220" s="3168">
        <v>35.21</v>
      </c>
    </row>
    <row r="221" spans="1:5" ht="14.25">
      <c r="A221" s="3168">
        <v>220</v>
      </c>
      <c r="B221" s="3168" t="s">
        <v>3518</v>
      </c>
      <c r="C221" s="3168" t="s">
        <v>3432</v>
      </c>
      <c r="D221" s="3168">
        <v>100.82</v>
      </c>
      <c r="E221" s="3168">
        <v>35.21</v>
      </c>
    </row>
    <row r="222" spans="1:5" ht="14.25">
      <c r="A222" s="3168">
        <v>221</v>
      </c>
      <c r="B222" s="3168" t="s">
        <v>3518</v>
      </c>
      <c r="C222" s="3168" t="s">
        <v>3447</v>
      </c>
      <c r="D222" s="3168">
        <v>144.88999999999999</v>
      </c>
      <c r="E222" s="3168">
        <v>50.59</v>
      </c>
    </row>
    <row r="223" spans="1:5" ht="14.25">
      <c r="A223" s="3168">
        <v>222</v>
      </c>
      <c r="B223" s="3168" t="s">
        <v>3518</v>
      </c>
      <c r="C223" s="3168" t="s">
        <v>3498</v>
      </c>
      <c r="D223" s="3168">
        <v>145.28</v>
      </c>
      <c r="E223" s="3168">
        <v>50.73</v>
      </c>
    </row>
    <row r="224" spans="1:5" ht="14.25">
      <c r="A224" s="3168">
        <v>223</v>
      </c>
      <c r="B224" s="3168" t="s">
        <v>3518</v>
      </c>
      <c r="C224" s="3168" t="s">
        <v>3435</v>
      </c>
      <c r="D224" s="3168">
        <v>144.88999999999999</v>
      </c>
      <c r="E224" s="3168">
        <v>50.59</v>
      </c>
    </row>
    <row r="225" spans="1:5" ht="14.25">
      <c r="A225" s="3168">
        <v>224</v>
      </c>
      <c r="B225" s="3168" t="s">
        <v>3518</v>
      </c>
      <c r="C225" s="3168" t="s">
        <v>3499</v>
      </c>
      <c r="D225" s="3168">
        <v>145.28</v>
      </c>
      <c r="E225" s="3168">
        <v>50.73</v>
      </c>
    </row>
    <row r="226" spans="1:5" ht="14.25">
      <c r="A226" s="3168">
        <v>225</v>
      </c>
      <c r="B226" s="3168" t="s">
        <v>3518</v>
      </c>
      <c r="C226" s="3168" t="s">
        <v>3500</v>
      </c>
      <c r="D226" s="3168">
        <v>144.88999999999999</v>
      </c>
      <c r="E226" s="3168">
        <v>50.59</v>
      </c>
    </row>
    <row r="227" spans="1:5" ht="14.25">
      <c r="A227" s="3168">
        <v>226</v>
      </c>
      <c r="B227" s="3168" t="s">
        <v>3518</v>
      </c>
      <c r="C227" s="3168" t="s">
        <v>3501</v>
      </c>
      <c r="D227" s="3168">
        <v>144.88999999999999</v>
      </c>
      <c r="E227" s="3168">
        <v>50.59</v>
      </c>
    </row>
    <row r="228" spans="1:5" ht="14.25">
      <c r="A228" s="3168">
        <v>227</v>
      </c>
      <c r="B228" s="3168" t="s">
        <v>3518</v>
      </c>
      <c r="C228" s="3168" t="s">
        <v>3436</v>
      </c>
      <c r="D228" s="3168">
        <v>144.88999999999999</v>
      </c>
      <c r="E228" s="3168">
        <v>50.59</v>
      </c>
    </row>
    <row r="229" spans="1:5" ht="14.25">
      <c r="A229" s="3168">
        <v>228</v>
      </c>
      <c r="B229" s="3168" t="s">
        <v>3518</v>
      </c>
      <c r="C229" s="3168" t="s">
        <v>3437</v>
      </c>
      <c r="D229" s="3168">
        <v>145.28</v>
      </c>
      <c r="E229" s="3168">
        <v>50.73</v>
      </c>
    </row>
    <row r="230" spans="1:5" ht="14.25">
      <c r="A230" s="3168">
        <v>229</v>
      </c>
      <c r="B230" s="3168" t="s">
        <v>3518</v>
      </c>
      <c r="C230" s="3168" t="s">
        <v>3503</v>
      </c>
      <c r="D230" s="3168">
        <v>144.88999999999999</v>
      </c>
      <c r="E230" s="3168">
        <v>50.59</v>
      </c>
    </row>
    <row r="231" spans="1:5" ht="14.25">
      <c r="A231" s="3168">
        <v>230</v>
      </c>
      <c r="B231" s="3168" t="s">
        <v>3518</v>
      </c>
      <c r="C231" s="3168" t="s">
        <v>3449</v>
      </c>
      <c r="D231" s="3168">
        <v>144.88999999999999</v>
      </c>
      <c r="E231" s="3168">
        <v>50.59</v>
      </c>
    </row>
    <row r="232" spans="1:5" ht="14.25">
      <c r="A232" s="3168">
        <v>231</v>
      </c>
      <c r="B232" s="3168" t="s">
        <v>3518</v>
      </c>
      <c r="C232" s="3168" t="s">
        <v>3504</v>
      </c>
      <c r="D232" s="3168">
        <v>144.88999999999999</v>
      </c>
      <c r="E232" s="3168">
        <v>50.59</v>
      </c>
    </row>
    <row r="233" spans="1:5" ht="14.25">
      <c r="A233" s="3168">
        <v>232</v>
      </c>
      <c r="B233" s="3168" t="s">
        <v>3518</v>
      </c>
      <c r="C233" s="3168" t="s">
        <v>3440</v>
      </c>
      <c r="D233" s="3168">
        <v>145.28</v>
      </c>
      <c r="E233" s="3168">
        <v>50.73</v>
      </c>
    </row>
    <row r="234" spans="1:5" ht="14.25">
      <c r="A234" s="3168">
        <v>233</v>
      </c>
      <c r="B234" s="3168" t="s">
        <v>3518</v>
      </c>
      <c r="C234" s="3168" t="s">
        <v>3473</v>
      </c>
      <c r="D234" s="3168">
        <v>144.88999999999999</v>
      </c>
      <c r="E234" s="3168">
        <v>50.59</v>
      </c>
    </row>
    <row r="235" spans="1:5" ht="14.25">
      <c r="A235" s="3168">
        <v>234</v>
      </c>
      <c r="B235" s="3168" t="s">
        <v>3518</v>
      </c>
      <c r="C235" s="3168" t="s">
        <v>3505</v>
      </c>
      <c r="D235" s="3168">
        <v>145.28</v>
      </c>
      <c r="E235" s="3168">
        <v>50.73</v>
      </c>
    </row>
    <row r="236" spans="1:5" ht="14.25">
      <c r="A236" s="3168">
        <v>235</v>
      </c>
      <c r="B236" s="3168" t="s">
        <v>3518</v>
      </c>
      <c r="C236" s="3168" t="s">
        <v>3506</v>
      </c>
      <c r="D236" s="3168">
        <v>100.8</v>
      </c>
      <c r="E236" s="3168">
        <v>35.200000000000003</v>
      </c>
    </row>
    <row r="237" spans="1:5" ht="14.25">
      <c r="A237" s="3168">
        <v>236</v>
      </c>
      <c r="B237" s="3168" t="s">
        <v>3518</v>
      </c>
      <c r="C237" s="3168" t="s">
        <v>3507</v>
      </c>
      <c r="D237" s="3168">
        <v>101.18</v>
      </c>
      <c r="E237" s="3168">
        <v>35.33</v>
      </c>
    </row>
    <row r="238" spans="1:5" ht="14.25">
      <c r="A238" s="3168">
        <v>237</v>
      </c>
      <c r="B238" s="3168" t="s">
        <v>3518</v>
      </c>
      <c r="C238" s="3168">
        <v>-101</v>
      </c>
      <c r="D238" s="3168">
        <v>5.77</v>
      </c>
      <c r="E238" s="3168">
        <v>2.0099999999999998</v>
      </c>
    </row>
    <row r="239" spans="1:5" ht="14.25">
      <c r="A239" s="3168">
        <v>238</v>
      </c>
      <c r="B239" s="3168" t="s">
        <v>3518</v>
      </c>
      <c r="C239" s="3168">
        <v>-102</v>
      </c>
      <c r="D239" s="3168">
        <v>16.940000000000001</v>
      </c>
      <c r="E239" s="3168">
        <v>5.92</v>
      </c>
    </row>
    <row r="240" spans="1:5" ht="14.25">
      <c r="A240" s="3168">
        <v>239</v>
      </c>
      <c r="B240" s="3168" t="s">
        <v>3518</v>
      </c>
      <c r="C240" s="3168">
        <v>-103</v>
      </c>
      <c r="D240" s="3168">
        <v>20.59</v>
      </c>
      <c r="E240" s="3168">
        <v>7.19</v>
      </c>
    </row>
    <row r="241" spans="1:5" ht="14.25">
      <c r="A241" s="3168">
        <v>240</v>
      </c>
      <c r="B241" s="3168" t="s">
        <v>3518</v>
      </c>
      <c r="C241" s="3168">
        <v>-104</v>
      </c>
      <c r="D241" s="3168">
        <v>20.59</v>
      </c>
      <c r="E241" s="3168">
        <v>7.19</v>
      </c>
    </row>
    <row r="242" spans="1:5" ht="14.25">
      <c r="A242" s="3168">
        <v>241</v>
      </c>
      <c r="B242" s="3168" t="s">
        <v>3518</v>
      </c>
      <c r="C242" s="3168">
        <v>-105</v>
      </c>
      <c r="D242" s="3168">
        <v>16.940000000000001</v>
      </c>
      <c r="E242" s="3168">
        <v>5.92</v>
      </c>
    </row>
    <row r="243" spans="1:5" ht="14.25">
      <c r="A243" s="3168">
        <v>242</v>
      </c>
      <c r="B243" s="3168" t="s">
        <v>3518</v>
      </c>
      <c r="C243" s="3168">
        <v>-106</v>
      </c>
      <c r="D243" s="3168">
        <v>10</v>
      </c>
      <c r="E243" s="3168">
        <v>3.49</v>
      </c>
    </row>
    <row r="244" spans="1:5" ht="14.25">
      <c r="A244" s="3168">
        <v>243</v>
      </c>
      <c r="B244" s="3168" t="s">
        <v>3518</v>
      </c>
      <c r="C244" s="3168">
        <v>-107</v>
      </c>
      <c r="D244" s="3168">
        <v>25.49</v>
      </c>
      <c r="E244" s="3168">
        <v>8.9</v>
      </c>
    </row>
    <row r="245" spans="1:5" ht="14.25">
      <c r="A245" s="3168">
        <v>244</v>
      </c>
      <c r="B245" s="3168" t="s">
        <v>3518</v>
      </c>
      <c r="C245" s="3168">
        <v>-108</v>
      </c>
      <c r="D245" s="3168">
        <v>25.49</v>
      </c>
      <c r="E245" s="3168">
        <v>8.9</v>
      </c>
    </row>
    <row r="246" spans="1:5" ht="14.25">
      <c r="A246" s="3168">
        <v>245</v>
      </c>
      <c r="B246" s="3168" t="s">
        <v>3518</v>
      </c>
      <c r="C246" s="3168">
        <v>-109</v>
      </c>
      <c r="D246" s="3168">
        <v>10</v>
      </c>
      <c r="E246" s="3168">
        <v>3.49</v>
      </c>
    </row>
    <row r="247" spans="1:5" ht="14.25">
      <c r="A247" s="3168">
        <v>246</v>
      </c>
      <c r="B247" s="3168" t="s">
        <v>3518</v>
      </c>
      <c r="C247" s="3168">
        <v>-110</v>
      </c>
      <c r="D247" s="3168">
        <v>8.9</v>
      </c>
      <c r="E247" s="3168">
        <v>3.11</v>
      </c>
    </row>
    <row r="248" spans="1:5" ht="14.25">
      <c r="A248" s="3168">
        <v>247</v>
      </c>
      <c r="B248" s="3168" t="s">
        <v>3518</v>
      </c>
      <c r="C248" s="3168">
        <v>-111</v>
      </c>
      <c r="D248" s="3168">
        <v>8.9</v>
      </c>
      <c r="E248" s="3168">
        <v>3.11</v>
      </c>
    </row>
    <row r="249" spans="1:5" ht="14.25">
      <c r="A249" s="3168">
        <v>248</v>
      </c>
      <c r="B249" s="3168" t="s">
        <v>3518</v>
      </c>
      <c r="C249" s="3168">
        <v>-112</v>
      </c>
      <c r="D249" s="3168">
        <v>5.77</v>
      </c>
      <c r="E249" s="3168">
        <v>2.0099999999999998</v>
      </c>
    </row>
    <row r="250" spans="1:5" ht="14.25">
      <c r="A250" s="3168">
        <v>249</v>
      </c>
      <c r="B250" s="3168" t="s">
        <v>3518</v>
      </c>
      <c r="C250" s="3168">
        <v>-113</v>
      </c>
      <c r="D250" s="3168">
        <v>16.940000000000001</v>
      </c>
      <c r="E250" s="3168">
        <v>5.92</v>
      </c>
    </row>
    <row r="251" spans="1:5" ht="14.25">
      <c r="A251" s="3168">
        <v>250</v>
      </c>
      <c r="B251" s="3168" t="s">
        <v>3518</v>
      </c>
      <c r="C251" s="3168">
        <v>-114</v>
      </c>
      <c r="D251" s="3168">
        <v>20.59</v>
      </c>
      <c r="E251" s="3168">
        <v>7.19</v>
      </c>
    </row>
    <row r="252" spans="1:5" ht="14.25">
      <c r="A252" s="3168">
        <v>251</v>
      </c>
      <c r="B252" s="3168" t="s">
        <v>3518</v>
      </c>
      <c r="C252" s="3168">
        <v>-115</v>
      </c>
      <c r="D252" s="3168">
        <v>10.17</v>
      </c>
      <c r="E252" s="3168">
        <v>3.55</v>
      </c>
    </row>
    <row r="253" spans="1:5" ht="14.25">
      <c r="A253" s="3168">
        <v>252</v>
      </c>
      <c r="B253" s="3168" t="s">
        <v>3518</v>
      </c>
      <c r="C253" s="3168">
        <v>-116</v>
      </c>
      <c r="D253" s="3168">
        <v>10</v>
      </c>
      <c r="E253" s="3168">
        <v>3.49</v>
      </c>
    </row>
    <row r="254" spans="1:5" ht="14.25">
      <c r="A254" s="3168">
        <v>253</v>
      </c>
      <c r="B254" s="3168" t="s">
        <v>3518</v>
      </c>
      <c r="C254" s="3168">
        <v>-117</v>
      </c>
      <c r="D254" s="3168">
        <v>10</v>
      </c>
      <c r="E254" s="3168">
        <v>3.49</v>
      </c>
    </row>
    <row r="255" spans="1:5" ht="14.25">
      <c r="A255" s="3168">
        <v>254</v>
      </c>
      <c r="B255" s="3168" t="s">
        <v>3518</v>
      </c>
      <c r="C255" s="3168">
        <v>-118</v>
      </c>
      <c r="D255" s="3168">
        <v>10.17</v>
      </c>
      <c r="E255" s="3168">
        <v>3.55</v>
      </c>
    </row>
    <row r="256" spans="1:5" ht="14.25">
      <c r="A256" s="3168">
        <v>255</v>
      </c>
      <c r="B256" s="3168" t="s">
        <v>3518</v>
      </c>
      <c r="C256" s="3168">
        <v>-121</v>
      </c>
      <c r="D256" s="3168">
        <v>5.77</v>
      </c>
      <c r="E256" s="3168">
        <v>2.0099999999999998</v>
      </c>
    </row>
    <row r="257" spans="1:5" ht="14.25">
      <c r="A257" s="3168">
        <v>256</v>
      </c>
      <c r="B257" s="3168" t="s">
        <v>3521</v>
      </c>
      <c r="C257" s="3168" t="s">
        <v>3451</v>
      </c>
      <c r="D257" s="3168">
        <v>129.80000000000001</v>
      </c>
      <c r="E257" s="3168">
        <v>45.32</v>
      </c>
    </row>
    <row r="258" spans="1:5" ht="14.25">
      <c r="A258" s="3168">
        <v>257</v>
      </c>
      <c r="B258" s="3168" t="s">
        <v>3521</v>
      </c>
      <c r="C258" s="3168" t="s">
        <v>3452</v>
      </c>
      <c r="D258" s="3168">
        <v>129.41999999999999</v>
      </c>
      <c r="E258" s="3168">
        <v>45.19</v>
      </c>
    </row>
    <row r="259" spans="1:5" ht="14.25">
      <c r="A259" s="3168">
        <v>258</v>
      </c>
      <c r="B259" s="3168" t="s">
        <v>3521</v>
      </c>
      <c r="C259" s="3168" t="s">
        <v>3475</v>
      </c>
      <c r="D259" s="3168">
        <v>129.80000000000001</v>
      </c>
      <c r="E259" s="3168">
        <v>45.32</v>
      </c>
    </row>
    <row r="260" spans="1:5" ht="14.25">
      <c r="A260" s="3168">
        <v>259</v>
      </c>
      <c r="B260" s="3168" t="s">
        <v>3521</v>
      </c>
      <c r="C260" s="3168" t="s">
        <v>3476</v>
      </c>
      <c r="D260" s="3168">
        <v>129.41999999999999</v>
      </c>
      <c r="E260" s="3168">
        <v>45.19</v>
      </c>
    </row>
    <row r="261" spans="1:5" ht="14.25">
      <c r="A261" s="3168">
        <v>260</v>
      </c>
      <c r="B261" s="3168" t="s">
        <v>3521</v>
      </c>
      <c r="C261" s="3168" t="s">
        <v>3477</v>
      </c>
      <c r="D261" s="3168">
        <v>129.80000000000001</v>
      </c>
      <c r="E261" s="3168">
        <v>45.32</v>
      </c>
    </row>
    <row r="262" spans="1:5" ht="14.25">
      <c r="A262" s="3168">
        <v>261</v>
      </c>
      <c r="B262" s="3168" t="s">
        <v>3521</v>
      </c>
      <c r="C262" s="3168" t="s">
        <v>3478</v>
      </c>
      <c r="D262" s="3168">
        <v>129.41999999999999</v>
      </c>
      <c r="E262" s="3168">
        <v>45.19</v>
      </c>
    </row>
    <row r="263" spans="1:5" ht="14.25">
      <c r="A263" s="3168">
        <v>262</v>
      </c>
      <c r="B263" s="3168" t="s">
        <v>3521</v>
      </c>
      <c r="C263" s="3168" t="s">
        <v>3479</v>
      </c>
      <c r="D263" s="3168">
        <v>129.80000000000001</v>
      </c>
      <c r="E263" s="3168">
        <v>45.32</v>
      </c>
    </row>
    <row r="264" spans="1:5" ht="14.25">
      <c r="A264" s="3168">
        <v>263</v>
      </c>
      <c r="B264" s="3168" t="s">
        <v>3521</v>
      </c>
      <c r="C264" s="3168" t="s">
        <v>3480</v>
      </c>
      <c r="D264" s="3168">
        <v>129.41999999999999</v>
      </c>
      <c r="E264" s="3168">
        <v>45.19</v>
      </c>
    </row>
    <row r="265" spans="1:5" ht="14.25">
      <c r="A265" s="3168">
        <v>264</v>
      </c>
      <c r="B265" s="3168" t="s">
        <v>3521</v>
      </c>
      <c r="C265" s="3168" t="s">
        <v>3481</v>
      </c>
      <c r="D265" s="3168">
        <v>129.41999999999999</v>
      </c>
      <c r="E265" s="3168">
        <v>45.19</v>
      </c>
    </row>
    <row r="266" spans="1:5" ht="14.25">
      <c r="A266" s="3168">
        <v>265</v>
      </c>
      <c r="B266" s="3168" t="s">
        <v>3521</v>
      </c>
      <c r="C266" s="3168" t="s">
        <v>3482</v>
      </c>
      <c r="D266" s="3168">
        <v>129.80000000000001</v>
      </c>
      <c r="E266" s="3168">
        <v>45.32</v>
      </c>
    </row>
    <row r="267" spans="1:5" ht="14.25">
      <c r="A267" s="3168">
        <v>266</v>
      </c>
      <c r="B267" s="3168" t="s">
        <v>3521</v>
      </c>
      <c r="C267" s="3168" t="s">
        <v>3483</v>
      </c>
      <c r="D267" s="3168">
        <v>129.41999999999999</v>
      </c>
      <c r="E267" s="3168">
        <v>45.19</v>
      </c>
    </row>
    <row r="268" spans="1:5" ht="14.25">
      <c r="A268" s="3168">
        <v>267</v>
      </c>
      <c r="B268" s="3168" t="s">
        <v>3521</v>
      </c>
      <c r="C268" s="3168" t="s">
        <v>3484</v>
      </c>
      <c r="D268" s="3168">
        <v>129.41999999999999</v>
      </c>
      <c r="E268" s="3168">
        <v>45.19</v>
      </c>
    </row>
    <row r="269" spans="1:5" ht="14.25">
      <c r="A269" s="3168">
        <v>268</v>
      </c>
      <c r="B269" s="3168" t="s">
        <v>3521</v>
      </c>
      <c r="C269" s="3168" t="s">
        <v>3453</v>
      </c>
      <c r="D269" s="3168">
        <v>129.80000000000001</v>
      </c>
      <c r="E269" s="3168">
        <v>45.32</v>
      </c>
    </row>
    <row r="270" spans="1:5" ht="14.25">
      <c r="A270" s="3168">
        <v>269</v>
      </c>
      <c r="B270" s="3168" t="s">
        <v>3521</v>
      </c>
      <c r="C270" s="3168" t="s">
        <v>3485</v>
      </c>
      <c r="D270" s="3168">
        <v>129.41999999999999</v>
      </c>
      <c r="E270" s="3168">
        <v>45.19</v>
      </c>
    </row>
    <row r="271" spans="1:5" ht="14.25">
      <c r="A271" s="3168">
        <v>270</v>
      </c>
      <c r="B271" s="3168" t="s">
        <v>3521</v>
      </c>
      <c r="C271" s="3168" t="s">
        <v>3444</v>
      </c>
      <c r="D271" s="3168">
        <v>129.41999999999999</v>
      </c>
      <c r="E271" s="3168">
        <v>45.19</v>
      </c>
    </row>
    <row r="272" spans="1:5" ht="14.25">
      <c r="A272" s="3168">
        <v>271</v>
      </c>
      <c r="B272" s="3168" t="s">
        <v>3521</v>
      </c>
      <c r="C272" s="3168" t="s">
        <v>3487</v>
      </c>
      <c r="D272" s="3168">
        <v>101.83</v>
      </c>
      <c r="E272" s="3168">
        <v>35.56</v>
      </c>
    </row>
    <row r="273" spans="1:5" ht="14.25">
      <c r="A273" s="3168">
        <v>272</v>
      </c>
      <c r="B273" s="3168" t="s">
        <v>3521</v>
      </c>
      <c r="C273" s="3168" t="s">
        <v>3445</v>
      </c>
      <c r="D273" s="3168">
        <v>97.67</v>
      </c>
      <c r="E273" s="3168">
        <v>34.11</v>
      </c>
    </row>
    <row r="274" spans="1:5" ht="14.25">
      <c r="A274" s="3168">
        <v>273</v>
      </c>
      <c r="B274" s="3168" t="s">
        <v>3521</v>
      </c>
      <c r="C274" s="3168" t="s">
        <v>3429</v>
      </c>
      <c r="D274" s="3168">
        <v>129.65</v>
      </c>
      <c r="E274" s="3168">
        <v>45.27</v>
      </c>
    </row>
    <row r="275" spans="1:5" ht="14.25">
      <c r="A275" s="3168">
        <v>274</v>
      </c>
      <c r="B275" s="3168" t="s">
        <v>3521</v>
      </c>
      <c r="C275" s="3168" t="s">
        <v>3462</v>
      </c>
      <c r="D275" s="3168">
        <v>129.65</v>
      </c>
      <c r="E275" s="3168">
        <v>45.27</v>
      </c>
    </row>
    <row r="276" spans="1:5" ht="14.25">
      <c r="A276" s="3168">
        <v>275</v>
      </c>
      <c r="B276" s="3168" t="s">
        <v>3521</v>
      </c>
      <c r="C276" s="3168" t="s">
        <v>3463</v>
      </c>
      <c r="D276" s="3168">
        <v>129.65</v>
      </c>
      <c r="E276" s="3168">
        <v>45.27</v>
      </c>
    </row>
    <row r="277" spans="1:5" ht="14.25">
      <c r="A277" s="3168">
        <v>276</v>
      </c>
      <c r="B277" s="3168" t="s">
        <v>3521</v>
      </c>
      <c r="C277" s="3168" t="s">
        <v>3464</v>
      </c>
      <c r="D277" s="3168">
        <v>129.65</v>
      </c>
      <c r="E277" s="3168">
        <v>45.27</v>
      </c>
    </row>
    <row r="278" spans="1:5" ht="14.25">
      <c r="A278" s="3168">
        <v>277</v>
      </c>
      <c r="B278" s="3168" t="s">
        <v>3521</v>
      </c>
      <c r="C278" s="3168" t="s">
        <v>3488</v>
      </c>
      <c r="D278" s="3168">
        <v>129.65</v>
      </c>
      <c r="E278" s="3168">
        <v>45.27</v>
      </c>
    </row>
    <row r="279" spans="1:5" ht="14.25">
      <c r="A279" s="3168">
        <v>278</v>
      </c>
      <c r="B279" s="3168" t="s">
        <v>3521</v>
      </c>
      <c r="C279" s="3168" t="s">
        <v>3489</v>
      </c>
      <c r="D279" s="3168">
        <v>129.65</v>
      </c>
      <c r="E279" s="3168">
        <v>45.27</v>
      </c>
    </row>
    <row r="280" spans="1:5" ht="14.25">
      <c r="A280" s="3168">
        <v>279</v>
      </c>
      <c r="B280" s="3168" t="s">
        <v>3521</v>
      </c>
      <c r="C280" s="3168" t="s">
        <v>3519</v>
      </c>
      <c r="D280" s="3168">
        <v>129.65</v>
      </c>
      <c r="E280" s="3168">
        <v>45.27</v>
      </c>
    </row>
    <row r="281" spans="1:5" ht="14.25">
      <c r="A281" s="3168">
        <v>280</v>
      </c>
      <c r="B281" s="3168" t="s">
        <v>3521</v>
      </c>
      <c r="C281" s="3168" t="s">
        <v>3520</v>
      </c>
      <c r="D281" s="3168">
        <v>129.65</v>
      </c>
      <c r="E281" s="3168">
        <v>45.27</v>
      </c>
    </row>
    <row r="282" spans="1:5" ht="14.25">
      <c r="A282" s="3168">
        <v>281</v>
      </c>
      <c r="B282" s="3168" t="s">
        <v>3521</v>
      </c>
      <c r="C282" s="3168" t="s">
        <v>3490</v>
      </c>
      <c r="D282" s="3168">
        <v>129.65</v>
      </c>
      <c r="E282" s="3168">
        <v>45.27</v>
      </c>
    </row>
    <row r="283" spans="1:5" ht="14.25">
      <c r="A283" s="3168">
        <v>282</v>
      </c>
      <c r="B283" s="3168" t="s">
        <v>3521</v>
      </c>
      <c r="C283" s="3168" t="s">
        <v>3491</v>
      </c>
      <c r="D283" s="3168">
        <v>129.65</v>
      </c>
      <c r="E283" s="3168">
        <v>45.27</v>
      </c>
    </row>
    <row r="284" spans="1:5" ht="14.25">
      <c r="A284" s="3168">
        <v>283</v>
      </c>
      <c r="B284" s="3168" t="s">
        <v>3521</v>
      </c>
      <c r="C284" s="3168" t="s">
        <v>3493</v>
      </c>
      <c r="D284" s="3168">
        <v>129.65</v>
      </c>
      <c r="E284" s="3168">
        <v>45.27</v>
      </c>
    </row>
    <row r="285" spans="1:5" ht="14.25">
      <c r="A285" s="3168">
        <v>284</v>
      </c>
      <c r="B285" s="3168" t="s">
        <v>3521</v>
      </c>
      <c r="C285" s="3168" t="s">
        <v>3494</v>
      </c>
      <c r="D285" s="3168">
        <v>129.65</v>
      </c>
      <c r="E285" s="3168">
        <v>45.27</v>
      </c>
    </row>
    <row r="286" spans="1:5" ht="14.25">
      <c r="A286" s="3168">
        <v>285</v>
      </c>
      <c r="B286" s="3168" t="s">
        <v>3521</v>
      </c>
      <c r="C286" s="3168" t="s">
        <v>3495</v>
      </c>
      <c r="D286" s="3168">
        <v>129.65</v>
      </c>
      <c r="E286" s="3168">
        <v>45.27</v>
      </c>
    </row>
    <row r="287" spans="1:5" ht="14.25">
      <c r="A287" s="3168">
        <v>286</v>
      </c>
      <c r="B287" s="3168" t="s">
        <v>3521</v>
      </c>
      <c r="C287" s="3168" t="s">
        <v>3496</v>
      </c>
      <c r="D287" s="3168">
        <v>129.65</v>
      </c>
      <c r="E287" s="3168">
        <v>45.27</v>
      </c>
    </row>
    <row r="288" spans="1:5" ht="14.25">
      <c r="A288" s="3168">
        <v>287</v>
      </c>
      <c r="B288" s="3168" t="s">
        <v>3521</v>
      </c>
      <c r="C288" s="3168" t="s">
        <v>3446</v>
      </c>
      <c r="D288" s="3168">
        <v>129.65</v>
      </c>
      <c r="E288" s="3168">
        <v>45.27</v>
      </c>
    </row>
    <row r="289" spans="1:5" ht="14.25">
      <c r="A289" s="3168">
        <v>288</v>
      </c>
      <c r="B289" s="3168" t="s">
        <v>3521</v>
      </c>
      <c r="C289" s="3168" t="s">
        <v>3497</v>
      </c>
      <c r="D289" s="3168">
        <v>129.65</v>
      </c>
      <c r="E289" s="3168">
        <v>45.27</v>
      </c>
    </row>
    <row r="290" spans="1:5" ht="14.25">
      <c r="A290" s="3168">
        <v>289</v>
      </c>
      <c r="B290" s="3168" t="s">
        <v>3521</v>
      </c>
      <c r="C290" s="3168" t="s">
        <v>3430</v>
      </c>
      <c r="D290" s="3168">
        <v>129.65</v>
      </c>
      <c r="E290" s="3168">
        <v>45.27</v>
      </c>
    </row>
    <row r="291" spans="1:5" ht="14.25">
      <c r="A291" s="3168">
        <v>290</v>
      </c>
      <c r="B291" s="3168" t="s">
        <v>3521</v>
      </c>
      <c r="C291" s="3168" t="s">
        <v>3431</v>
      </c>
      <c r="D291" s="3168">
        <v>97.85</v>
      </c>
      <c r="E291" s="3168">
        <v>34.17</v>
      </c>
    </row>
    <row r="292" spans="1:5" ht="14.25">
      <c r="A292" s="3168">
        <v>291</v>
      </c>
      <c r="B292" s="3168" t="s">
        <v>3521</v>
      </c>
      <c r="C292" s="3168" t="s">
        <v>3432</v>
      </c>
      <c r="D292" s="3168">
        <v>97.85</v>
      </c>
      <c r="E292" s="3168">
        <v>34.17</v>
      </c>
    </row>
    <row r="293" spans="1:5" ht="14.25">
      <c r="A293" s="3168">
        <v>292</v>
      </c>
      <c r="B293" s="3168" t="s">
        <v>3521</v>
      </c>
      <c r="C293" s="3168" t="s">
        <v>3447</v>
      </c>
      <c r="D293" s="3168">
        <v>129.41999999999999</v>
      </c>
      <c r="E293" s="3168">
        <v>45.19</v>
      </c>
    </row>
    <row r="294" spans="1:5" ht="14.25">
      <c r="A294" s="3168">
        <v>293</v>
      </c>
      <c r="B294" s="3168" t="s">
        <v>3521</v>
      </c>
      <c r="C294" s="3168" t="s">
        <v>3498</v>
      </c>
      <c r="D294" s="3168">
        <v>129.80000000000001</v>
      </c>
      <c r="E294" s="3168">
        <v>45.32</v>
      </c>
    </row>
    <row r="295" spans="1:5" ht="14.25">
      <c r="A295" s="3168">
        <v>294</v>
      </c>
      <c r="B295" s="3168" t="s">
        <v>3521</v>
      </c>
      <c r="C295" s="3168" t="s">
        <v>3435</v>
      </c>
      <c r="D295" s="3168">
        <v>129.41999999999999</v>
      </c>
      <c r="E295" s="3168">
        <v>45.19</v>
      </c>
    </row>
    <row r="296" spans="1:5" ht="14.25">
      <c r="A296" s="3168">
        <v>295</v>
      </c>
      <c r="B296" s="3168" t="s">
        <v>3521</v>
      </c>
      <c r="C296" s="3168" t="s">
        <v>3499</v>
      </c>
      <c r="D296" s="3168">
        <v>129.80000000000001</v>
      </c>
      <c r="E296" s="3168">
        <v>45.32</v>
      </c>
    </row>
    <row r="297" spans="1:5" ht="14.25">
      <c r="A297" s="3168">
        <v>296</v>
      </c>
      <c r="B297" s="3168" t="s">
        <v>3521</v>
      </c>
      <c r="C297" s="3168" t="s">
        <v>3500</v>
      </c>
      <c r="D297" s="3168">
        <v>129.41999999999999</v>
      </c>
      <c r="E297" s="3168">
        <v>45.19</v>
      </c>
    </row>
    <row r="298" spans="1:5" ht="14.25">
      <c r="A298" s="3168">
        <v>297</v>
      </c>
      <c r="B298" s="3168" t="s">
        <v>3521</v>
      </c>
      <c r="C298" s="3168" t="s">
        <v>3448</v>
      </c>
      <c r="D298" s="3168">
        <v>129.80000000000001</v>
      </c>
      <c r="E298" s="3168">
        <v>45.32</v>
      </c>
    </row>
    <row r="299" spans="1:5" ht="14.25">
      <c r="A299" s="3168">
        <v>298</v>
      </c>
      <c r="B299" s="3168" t="s">
        <v>3521</v>
      </c>
      <c r="C299" s="3168" t="s">
        <v>3501</v>
      </c>
      <c r="D299" s="3168">
        <v>129.41999999999999</v>
      </c>
      <c r="E299" s="3168">
        <v>45.19</v>
      </c>
    </row>
    <row r="300" spans="1:5" ht="14.25">
      <c r="A300" s="3168">
        <v>299</v>
      </c>
      <c r="B300" s="3168" t="s">
        <v>3521</v>
      </c>
      <c r="C300" s="3168" t="s">
        <v>3502</v>
      </c>
      <c r="D300" s="3168">
        <v>129.80000000000001</v>
      </c>
      <c r="E300" s="3168">
        <v>45.32</v>
      </c>
    </row>
    <row r="301" spans="1:5" ht="14.25">
      <c r="A301" s="3168">
        <v>300</v>
      </c>
      <c r="B301" s="3168" t="s">
        <v>3521</v>
      </c>
      <c r="C301" s="3168" t="s">
        <v>3436</v>
      </c>
      <c r="D301" s="3168">
        <v>129.41999999999999</v>
      </c>
      <c r="E301" s="3168">
        <v>45.19</v>
      </c>
    </row>
    <row r="302" spans="1:5" ht="14.25">
      <c r="A302" s="3168">
        <v>301</v>
      </c>
      <c r="B302" s="3168" t="s">
        <v>3521</v>
      </c>
      <c r="C302" s="3168" t="s">
        <v>3437</v>
      </c>
      <c r="D302" s="3168">
        <v>129.80000000000001</v>
      </c>
      <c r="E302" s="3168">
        <v>45.32</v>
      </c>
    </row>
    <row r="303" spans="1:5" ht="14.25">
      <c r="A303" s="3168">
        <v>302</v>
      </c>
      <c r="B303" s="3168" t="s">
        <v>3521</v>
      </c>
      <c r="C303" s="3168" t="s">
        <v>3503</v>
      </c>
      <c r="D303" s="3168">
        <v>129.41999999999999</v>
      </c>
      <c r="E303" s="3168">
        <v>45.19</v>
      </c>
    </row>
    <row r="304" spans="1:5" ht="14.25">
      <c r="A304" s="3168">
        <v>303</v>
      </c>
      <c r="B304" s="3168" t="s">
        <v>3521</v>
      </c>
      <c r="C304" s="3168" t="s">
        <v>3438</v>
      </c>
      <c r="D304" s="3168">
        <v>129.80000000000001</v>
      </c>
      <c r="E304" s="3168">
        <v>45.32</v>
      </c>
    </row>
    <row r="305" spans="1:5" ht="14.25">
      <c r="A305" s="3168">
        <v>304</v>
      </c>
      <c r="B305" s="3168" t="s">
        <v>3521</v>
      </c>
      <c r="C305" s="3168" t="s">
        <v>3439</v>
      </c>
      <c r="D305" s="3168">
        <v>129.80000000000001</v>
      </c>
      <c r="E305" s="3168">
        <v>45.32</v>
      </c>
    </row>
    <row r="306" spans="1:5" ht="14.25">
      <c r="A306" s="3168">
        <v>305</v>
      </c>
      <c r="B306" s="3168" t="s">
        <v>3521</v>
      </c>
      <c r="C306" s="3168" t="s">
        <v>3504</v>
      </c>
      <c r="D306" s="3168">
        <v>129.41999999999999</v>
      </c>
      <c r="E306" s="3168">
        <v>45.19</v>
      </c>
    </row>
    <row r="307" spans="1:5" ht="14.25">
      <c r="A307" s="3168">
        <v>306</v>
      </c>
      <c r="B307" s="3168" t="s">
        <v>3521</v>
      </c>
      <c r="C307" s="3168" t="s">
        <v>3440</v>
      </c>
      <c r="D307" s="3168">
        <v>129.80000000000001</v>
      </c>
      <c r="E307" s="3168">
        <v>45.32</v>
      </c>
    </row>
    <row r="308" spans="1:5" ht="14.25">
      <c r="A308" s="3168">
        <v>307</v>
      </c>
      <c r="B308" s="3168" t="s">
        <v>3521</v>
      </c>
      <c r="C308" s="3168" t="s">
        <v>3473</v>
      </c>
      <c r="D308" s="3168">
        <v>129.41999999999999</v>
      </c>
      <c r="E308" s="3168">
        <v>45.19</v>
      </c>
    </row>
    <row r="309" spans="1:5" ht="14.25">
      <c r="A309" s="3168">
        <v>308</v>
      </c>
      <c r="B309" s="3168" t="s">
        <v>3521</v>
      </c>
      <c r="C309" s="3168" t="s">
        <v>3505</v>
      </c>
      <c r="D309" s="3168">
        <v>129.80000000000001</v>
      </c>
      <c r="E309" s="3168">
        <v>45.32</v>
      </c>
    </row>
    <row r="310" spans="1:5" ht="14.25">
      <c r="A310" s="3168">
        <v>309</v>
      </c>
      <c r="B310" s="3168" t="s">
        <v>3521</v>
      </c>
      <c r="C310" s="3168" t="s">
        <v>3506</v>
      </c>
      <c r="D310" s="3168">
        <v>97.67</v>
      </c>
      <c r="E310" s="3168">
        <v>34.11</v>
      </c>
    </row>
    <row r="311" spans="1:5" ht="14.25">
      <c r="A311" s="3168">
        <v>310</v>
      </c>
      <c r="B311" s="3168" t="s">
        <v>3521</v>
      </c>
      <c r="C311" s="3168" t="s">
        <v>3507</v>
      </c>
      <c r="D311" s="3168">
        <v>101.83</v>
      </c>
      <c r="E311" s="3168">
        <v>35.56</v>
      </c>
    </row>
    <row r="312" spans="1:5" ht="14.25">
      <c r="A312" s="3168">
        <v>311</v>
      </c>
      <c r="B312" s="3168" t="s">
        <v>3521</v>
      </c>
      <c r="C312" s="3168">
        <v>-101</v>
      </c>
      <c r="D312" s="3168">
        <v>14.06</v>
      </c>
      <c r="E312" s="3168">
        <v>4.91</v>
      </c>
    </row>
    <row r="313" spans="1:5" ht="14.25">
      <c r="A313" s="3168">
        <v>312</v>
      </c>
      <c r="B313" s="3168" t="s">
        <v>3521</v>
      </c>
      <c r="C313" s="3168">
        <v>-102</v>
      </c>
      <c r="D313" s="3168">
        <v>5.49</v>
      </c>
      <c r="E313" s="3168">
        <v>1.92</v>
      </c>
    </row>
    <row r="314" spans="1:5" ht="14.25">
      <c r="A314" s="3168">
        <v>313</v>
      </c>
      <c r="B314" s="3168" t="s">
        <v>3521</v>
      </c>
      <c r="C314" s="3168">
        <v>-103</v>
      </c>
      <c r="D314" s="3168">
        <v>14.73</v>
      </c>
      <c r="E314" s="3168">
        <v>5.14</v>
      </c>
    </row>
    <row r="315" spans="1:5" ht="14.25">
      <c r="A315" s="3168">
        <v>314</v>
      </c>
      <c r="B315" s="3168" t="s">
        <v>3521</v>
      </c>
      <c r="C315" s="3168">
        <v>-104</v>
      </c>
      <c r="D315" s="3168">
        <v>13.21</v>
      </c>
      <c r="E315" s="3168">
        <v>4.6100000000000003</v>
      </c>
    </row>
    <row r="316" spans="1:5" ht="14.25">
      <c r="A316" s="3168">
        <v>315</v>
      </c>
      <c r="B316" s="3168" t="s">
        <v>3521</v>
      </c>
      <c r="C316" s="3168">
        <v>-105</v>
      </c>
      <c r="D316" s="3168">
        <v>17.670000000000002</v>
      </c>
      <c r="E316" s="3168">
        <v>6.17</v>
      </c>
    </row>
    <row r="317" spans="1:5" ht="14.25">
      <c r="A317" s="3168">
        <v>316</v>
      </c>
      <c r="B317" s="3168" t="s">
        <v>3521</v>
      </c>
      <c r="C317" s="3168">
        <v>-106</v>
      </c>
      <c r="D317" s="3168">
        <v>6.89</v>
      </c>
      <c r="E317" s="3168">
        <v>2.41</v>
      </c>
    </row>
    <row r="318" spans="1:5" ht="14.25">
      <c r="A318" s="3168">
        <v>317</v>
      </c>
      <c r="B318" s="3168" t="s">
        <v>3521</v>
      </c>
      <c r="C318" s="3168">
        <v>-107</v>
      </c>
      <c r="D318" s="3168">
        <v>6.89</v>
      </c>
      <c r="E318" s="3168">
        <v>2.41</v>
      </c>
    </row>
    <row r="319" spans="1:5" ht="14.25">
      <c r="A319" s="3168">
        <v>318</v>
      </c>
      <c r="B319" s="3168" t="s">
        <v>3521</v>
      </c>
      <c r="C319" s="3168">
        <v>-108</v>
      </c>
      <c r="D319" s="3168">
        <v>7.95</v>
      </c>
      <c r="E319" s="3168">
        <v>2.78</v>
      </c>
    </row>
    <row r="320" spans="1:5" ht="14.25">
      <c r="A320" s="3168">
        <v>319</v>
      </c>
      <c r="B320" s="3168" t="s">
        <v>3521</v>
      </c>
      <c r="C320" s="3168">
        <v>-109</v>
      </c>
      <c r="D320" s="3168">
        <v>7.95</v>
      </c>
      <c r="E320" s="3168">
        <v>2.78</v>
      </c>
    </row>
    <row r="321" spans="1:5" ht="14.25">
      <c r="A321" s="3168">
        <v>320</v>
      </c>
      <c r="B321" s="3168" t="s">
        <v>3521</v>
      </c>
      <c r="C321" s="3168">
        <v>-110</v>
      </c>
      <c r="D321" s="3168">
        <v>6.89</v>
      </c>
      <c r="E321" s="3168">
        <v>2.41</v>
      </c>
    </row>
    <row r="322" spans="1:5" ht="14.25">
      <c r="A322" s="3168">
        <v>321</v>
      </c>
      <c r="B322" s="3168" t="s">
        <v>3521</v>
      </c>
      <c r="C322" s="3168">
        <v>-111</v>
      </c>
      <c r="D322" s="3168">
        <v>6.89</v>
      </c>
      <c r="E322" s="3168">
        <v>2.41</v>
      </c>
    </row>
    <row r="323" spans="1:5" ht="14.25">
      <c r="A323" s="3168">
        <v>322</v>
      </c>
      <c r="B323" s="3168" t="s">
        <v>3521</v>
      </c>
      <c r="C323" s="3168">
        <v>-112</v>
      </c>
      <c r="D323" s="3168">
        <v>10.07</v>
      </c>
      <c r="E323" s="3168">
        <v>3.52</v>
      </c>
    </row>
    <row r="324" spans="1:5" ht="14.25">
      <c r="A324" s="3168">
        <v>323</v>
      </c>
      <c r="B324" s="3168" t="s">
        <v>3521</v>
      </c>
      <c r="C324" s="3168">
        <v>-113</v>
      </c>
      <c r="D324" s="3168">
        <v>10.07</v>
      </c>
      <c r="E324" s="3168">
        <v>3.52</v>
      </c>
    </row>
    <row r="325" spans="1:5" ht="14.25">
      <c r="A325" s="3168">
        <v>324</v>
      </c>
      <c r="B325" s="3168" t="s">
        <v>3521</v>
      </c>
      <c r="C325" s="3168">
        <v>-114</v>
      </c>
      <c r="D325" s="3168">
        <v>6.89</v>
      </c>
      <c r="E325" s="3168">
        <v>2.41</v>
      </c>
    </row>
    <row r="326" spans="1:5" ht="14.25">
      <c r="A326" s="3168">
        <v>325</v>
      </c>
      <c r="B326" s="3168" t="s">
        <v>3521</v>
      </c>
      <c r="C326" s="3168">
        <v>-115</v>
      </c>
      <c r="D326" s="3168">
        <v>6.89</v>
      </c>
      <c r="E326" s="3168">
        <v>2.41</v>
      </c>
    </row>
    <row r="327" spans="1:5" ht="14.25">
      <c r="A327" s="3168">
        <v>326</v>
      </c>
      <c r="B327" s="3168" t="s">
        <v>3521</v>
      </c>
      <c r="C327" s="3168">
        <v>-116</v>
      </c>
      <c r="D327" s="3168">
        <v>7.95</v>
      </c>
      <c r="E327" s="3168">
        <v>2.78</v>
      </c>
    </row>
    <row r="328" spans="1:5" ht="14.25">
      <c r="A328" s="3168">
        <v>327</v>
      </c>
      <c r="B328" s="3168" t="s">
        <v>3521</v>
      </c>
      <c r="C328" s="3168">
        <v>-117</v>
      </c>
      <c r="D328" s="3168">
        <v>7.95</v>
      </c>
      <c r="E328" s="3168">
        <v>2.78</v>
      </c>
    </row>
    <row r="329" spans="1:5" ht="14.25">
      <c r="A329" s="3168">
        <v>328</v>
      </c>
      <c r="B329" s="3168" t="s">
        <v>3521</v>
      </c>
      <c r="C329" s="3168">
        <v>-118</v>
      </c>
      <c r="D329" s="3168">
        <v>6.89</v>
      </c>
      <c r="E329" s="3168">
        <v>2.41</v>
      </c>
    </row>
    <row r="330" spans="1:5" ht="14.25">
      <c r="A330" s="3168">
        <v>329</v>
      </c>
      <c r="B330" s="3168" t="s">
        <v>3521</v>
      </c>
      <c r="C330" s="3168">
        <v>-119</v>
      </c>
      <c r="D330" s="3168">
        <v>6.89</v>
      </c>
      <c r="E330" s="3168">
        <v>2.41</v>
      </c>
    </row>
    <row r="331" spans="1:5" ht="14.25">
      <c r="A331" s="3168">
        <v>330</v>
      </c>
      <c r="B331" s="3168" t="s">
        <v>3521</v>
      </c>
      <c r="C331" s="3168">
        <v>-120</v>
      </c>
      <c r="D331" s="3168">
        <v>10.47</v>
      </c>
      <c r="E331" s="3168">
        <v>3.66</v>
      </c>
    </row>
    <row r="332" spans="1:5" ht="14.25">
      <c r="A332" s="3168">
        <v>331</v>
      </c>
      <c r="B332" s="3168" t="s">
        <v>3521</v>
      </c>
      <c r="C332" s="3168">
        <v>-121</v>
      </c>
      <c r="D332" s="3168">
        <v>10.47</v>
      </c>
      <c r="E332" s="3168">
        <v>3.66</v>
      </c>
    </row>
    <row r="333" spans="1:5" ht="14.25">
      <c r="A333" s="3168">
        <v>332</v>
      </c>
      <c r="B333" s="3168" t="s">
        <v>3521</v>
      </c>
      <c r="C333" s="3168">
        <v>-122</v>
      </c>
      <c r="D333" s="3168">
        <v>6.87</v>
      </c>
      <c r="E333" s="3168">
        <v>2.4</v>
      </c>
    </row>
    <row r="334" spans="1:5" ht="14.25">
      <c r="A334" s="3168">
        <v>333</v>
      </c>
      <c r="B334" s="3168" t="s">
        <v>3521</v>
      </c>
      <c r="C334" s="3168">
        <v>-123</v>
      </c>
      <c r="D334" s="3168">
        <v>6.91</v>
      </c>
      <c r="E334" s="3168">
        <v>2.41</v>
      </c>
    </row>
    <row r="335" spans="1:5" ht="14.25">
      <c r="A335" s="3168">
        <v>334</v>
      </c>
      <c r="B335" s="3168" t="s">
        <v>3521</v>
      </c>
      <c r="C335" s="3168">
        <v>-124</v>
      </c>
      <c r="D335" s="3168">
        <v>7.95</v>
      </c>
      <c r="E335" s="3168">
        <v>2.78</v>
      </c>
    </row>
    <row r="336" spans="1:5" ht="14.25">
      <c r="A336" s="3168">
        <v>335</v>
      </c>
      <c r="B336" s="3168" t="s">
        <v>3521</v>
      </c>
      <c r="C336" s="3168">
        <v>-125</v>
      </c>
      <c r="D336" s="3168">
        <v>7.95</v>
      </c>
      <c r="E336" s="3168">
        <v>2.78</v>
      </c>
    </row>
    <row r="337" spans="1:5" ht="14.25">
      <c r="A337" s="3168">
        <v>336</v>
      </c>
      <c r="B337" s="3168" t="s">
        <v>3521</v>
      </c>
      <c r="C337" s="3168">
        <v>-126</v>
      </c>
      <c r="D337" s="3168">
        <v>7.86</v>
      </c>
      <c r="E337" s="3168">
        <v>2.74</v>
      </c>
    </row>
    <row r="338" spans="1:5" ht="14.25">
      <c r="A338" s="3168">
        <v>337</v>
      </c>
      <c r="B338" s="3168" t="s">
        <v>3521</v>
      </c>
      <c r="C338" s="3168">
        <v>-127</v>
      </c>
      <c r="D338" s="3168">
        <v>8.23</v>
      </c>
      <c r="E338" s="3168">
        <v>2.87</v>
      </c>
    </row>
    <row r="339" spans="1:5" ht="14.25">
      <c r="A339" s="3168">
        <v>338</v>
      </c>
      <c r="B339" s="3168" t="s">
        <v>3521</v>
      </c>
      <c r="C339" s="3168">
        <v>-128</v>
      </c>
      <c r="D339" s="3168">
        <v>7.71</v>
      </c>
      <c r="E339" s="3168">
        <v>2.69</v>
      </c>
    </row>
    <row r="340" spans="1:5" ht="14.25">
      <c r="A340" s="3168">
        <v>339</v>
      </c>
      <c r="B340" s="3168" t="s">
        <v>3521</v>
      </c>
      <c r="C340" s="3168">
        <v>-129</v>
      </c>
      <c r="D340" s="3168">
        <v>7.89</v>
      </c>
      <c r="E340" s="3168">
        <v>2.76</v>
      </c>
    </row>
    <row r="341" spans="1:5" ht="14.25">
      <c r="A341" s="3168">
        <v>340</v>
      </c>
      <c r="B341" s="3168" t="s">
        <v>3521</v>
      </c>
      <c r="C341" s="3168">
        <v>-130</v>
      </c>
      <c r="D341" s="3168">
        <v>9.51</v>
      </c>
      <c r="E341" s="3168">
        <v>3.32</v>
      </c>
    </row>
    <row r="342" spans="1:5" ht="14.25">
      <c r="A342" s="3168">
        <v>341</v>
      </c>
      <c r="B342" s="3168" t="s">
        <v>3521</v>
      </c>
      <c r="C342" s="3168">
        <v>-131</v>
      </c>
      <c r="D342" s="3168">
        <v>9.51</v>
      </c>
      <c r="E342" s="3168">
        <v>3.32</v>
      </c>
    </row>
    <row r="343" spans="1:5" ht="14.25">
      <c r="A343" s="3168">
        <v>342</v>
      </c>
      <c r="B343" s="3168" t="s">
        <v>3521</v>
      </c>
      <c r="C343" s="3168">
        <v>-132</v>
      </c>
      <c r="D343" s="3168">
        <v>7.89</v>
      </c>
      <c r="E343" s="3168">
        <v>2.76</v>
      </c>
    </row>
    <row r="344" spans="1:5" ht="14.25">
      <c r="A344" s="3168">
        <v>343</v>
      </c>
      <c r="B344" s="3168" t="s">
        <v>3521</v>
      </c>
      <c r="C344" s="3168">
        <v>-133</v>
      </c>
      <c r="D344" s="3168">
        <v>7.71</v>
      </c>
      <c r="E344" s="3168">
        <v>2.69</v>
      </c>
    </row>
    <row r="345" spans="1:5" ht="14.25">
      <c r="A345" s="3168">
        <v>344</v>
      </c>
      <c r="B345" s="3168" t="s">
        <v>3521</v>
      </c>
      <c r="C345" s="3168">
        <v>-134</v>
      </c>
      <c r="D345" s="3168">
        <v>8.23</v>
      </c>
      <c r="E345" s="3168">
        <v>2.87</v>
      </c>
    </row>
    <row r="346" spans="1:5" ht="14.25">
      <c r="A346" s="3168">
        <v>345</v>
      </c>
      <c r="B346" s="3168" t="s">
        <v>3521</v>
      </c>
      <c r="C346" s="3168">
        <v>-135</v>
      </c>
      <c r="D346" s="3168">
        <v>7.86</v>
      </c>
      <c r="E346" s="3168">
        <v>2.74</v>
      </c>
    </row>
    <row r="347" spans="1:5" ht="14.25">
      <c r="A347" s="3168">
        <v>346</v>
      </c>
      <c r="B347" s="3168" t="s">
        <v>3521</v>
      </c>
      <c r="C347" s="3168">
        <v>-136</v>
      </c>
      <c r="D347" s="3168">
        <v>5.99</v>
      </c>
      <c r="E347" s="3168">
        <v>2.09</v>
      </c>
    </row>
    <row r="348" spans="1:5" ht="14.25">
      <c r="A348" s="3168">
        <v>347</v>
      </c>
      <c r="B348" s="3168" t="s">
        <v>3521</v>
      </c>
      <c r="C348" s="3168">
        <v>-137</v>
      </c>
      <c r="D348" s="3168">
        <v>14.06</v>
      </c>
      <c r="E348" s="3168">
        <v>4.91</v>
      </c>
    </row>
    <row r="349" spans="1:5" ht="14.25">
      <c r="A349" s="3168">
        <v>348</v>
      </c>
      <c r="B349" s="3168" t="s">
        <v>3521</v>
      </c>
      <c r="C349" s="3168">
        <v>-138</v>
      </c>
      <c r="D349" s="3168">
        <v>5.49</v>
      </c>
      <c r="E349" s="3168">
        <v>1.92</v>
      </c>
    </row>
    <row r="350" spans="1:5" ht="14.25">
      <c r="A350" s="3168">
        <v>349</v>
      </c>
      <c r="B350" s="3168" t="s">
        <v>3521</v>
      </c>
      <c r="C350" s="3168">
        <v>-139</v>
      </c>
      <c r="D350" s="3168">
        <v>13.42</v>
      </c>
      <c r="E350" s="3168">
        <v>4.6900000000000004</v>
      </c>
    </row>
    <row r="351" spans="1:5" ht="14.25">
      <c r="A351" s="3168">
        <v>350</v>
      </c>
      <c r="B351" s="3168" t="s">
        <v>3521</v>
      </c>
      <c r="C351" s="3168">
        <v>-140</v>
      </c>
      <c r="D351" s="3168">
        <v>9.35</v>
      </c>
      <c r="E351" s="3168">
        <v>3.26</v>
      </c>
    </row>
    <row r="352" spans="1:5" ht="14.25">
      <c r="A352" s="3168">
        <v>351</v>
      </c>
      <c r="B352" s="3168" t="s">
        <v>3521</v>
      </c>
      <c r="C352" s="3168">
        <v>-141</v>
      </c>
      <c r="D352" s="3168">
        <v>9.51</v>
      </c>
      <c r="E352" s="3168">
        <v>3.32</v>
      </c>
    </row>
    <row r="353" spans="1:5" ht="14.25">
      <c r="A353" s="3168">
        <v>352</v>
      </c>
      <c r="B353" s="3168" t="s">
        <v>3521</v>
      </c>
      <c r="C353" s="3168">
        <v>-142</v>
      </c>
      <c r="D353" s="3168">
        <v>7.89</v>
      </c>
      <c r="E353" s="3168">
        <v>2.76</v>
      </c>
    </row>
    <row r="354" spans="1:5" ht="14.25">
      <c r="A354" s="3168">
        <v>353</v>
      </c>
      <c r="B354" s="3168" t="s">
        <v>3521</v>
      </c>
      <c r="C354" s="3168">
        <v>-143</v>
      </c>
      <c r="D354" s="3168">
        <v>7.71</v>
      </c>
      <c r="E354" s="3168">
        <v>2.69</v>
      </c>
    </row>
    <row r="355" spans="1:5" ht="14.25">
      <c r="A355" s="3168">
        <v>354</v>
      </c>
      <c r="B355" s="3168" t="s">
        <v>3521</v>
      </c>
      <c r="C355" s="3168">
        <v>-144</v>
      </c>
      <c r="D355" s="3168">
        <v>8.23</v>
      </c>
      <c r="E355" s="3168">
        <v>2.87</v>
      </c>
    </row>
    <row r="356" spans="1:5" ht="14.25">
      <c r="A356" s="3168">
        <v>355</v>
      </c>
      <c r="B356" s="3168" t="s">
        <v>3521</v>
      </c>
      <c r="C356" s="3168">
        <v>-145</v>
      </c>
      <c r="D356" s="3168">
        <v>7.86</v>
      </c>
      <c r="E356" s="3168">
        <v>2.74</v>
      </c>
    </row>
    <row r="357" spans="1:5" ht="14.25">
      <c r="A357" s="3168">
        <v>356</v>
      </c>
      <c r="B357" s="3168" t="s">
        <v>3521</v>
      </c>
      <c r="C357" s="3168">
        <v>-146</v>
      </c>
      <c r="D357" s="3168">
        <v>5.99</v>
      </c>
      <c r="E357" s="3168">
        <v>2.09</v>
      </c>
    </row>
    <row r="358" spans="1:5" ht="14.25">
      <c r="A358" s="3168">
        <v>357</v>
      </c>
      <c r="B358" s="3168" t="s">
        <v>3522</v>
      </c>
      <c r="C358" s="3168" t="s">
        <v>3442</v>
      </c>
      <c r="D358" s="3168">
        <v>95.31</v>
      </c>
      <c r="E358" s="3168">
        <v>33.28</v>
      </c>
    </row>
    <row r="359" spans="1:5" ht="14.25">
      <c r="A359" s="3168">
        <v>358</v>
      </c>
      <c r="B359" s="3168" t="s">
        <v>3522</v>
      </c>
      <c r="C359" s="3168" t="s">
        <v>3444</v>
      </c>
      <c r="D359" s="3168">
        <v>94.95</v>
      </c>
      <c r="E359" s="3168">
        <v>33.159999999999997</v>
      </c>
    </row>
    <row r="360" spans="1:5" ht="14.25">
      <c r="A360" s="3168">
        <v>359</v>
      </c>
      <c r="B360" s="3168" t="s">
        <v>3522</v>
      </c>
      <c r="C360" s="3168" t="s">
        <v>3445</v>
      </c>
      <c r="D360" s="3168">
        <v>94.95</v>
      </c>
      <c r="E360" s="3168">
        <v>33.159999999999997</v>
      </c>
    </row>
    <row r="361" spans="1:5" ht="14.25">
      <c r="A361" s="3168">
        <v>360</v>
      </c>
      <c r="B361" s="3168" t="s">
        <v>3522</v>
      </c>
      <c r="C361" s="3168" t="s">
        <v>3429</v>
      </c>
      <c r="D361" s="3168">
        <v>94.98</v>
      </c>
      <c r="E361" s="3168">
        <v>33.17</v>
      </c>
    </row>
    <row r="362" spans="1:5" ht="14.25">
      <c r="A362" s="3168">
        <v>361</v>
      </c>
      <c r="B362" s="3168" t="s">
        <v>3522</v>
      </c>
      <c r="C362" s="3168" t="s">
        <v>3462</v>
      </c>
      <c r="D362" s="3168">
        <v>94.98</v>
      </c>
      <c r="E362" s="3168">
        <v>33.17</v>
      </c>
    </row>
    <row r="363" spans="1:5" ht="14.25">
      <c r="A363" s="3168">
        <v>362</v>
      </c>
      <c r="B363" s="3168" t="s">
        <v>3522</v>
      </c>
      <c r="C363" s="3168" t="s">
        <v>3463</v>
      </c>
      <c r="D363" s="3168">
        <v>94.98</v>
      </c>
      <c r="E363" s="3168">
        <v>33.17</v>
      </c>
    </row>
    <row r="364" spans="1:5" ht="14.25">
      <c r="A364" s="3168">
        <v>363</v>
      </c>
      <c r="B364" s="3168" t="s">
        <v>3522</v>
      </c>
      <c r="C364" s="3168" t="s">
        <v>3464</v>
      </c>
      <c r="D364" s="3168">
        <v>94.98</v>
      </c>
      <c r="E364" s="3168">
        <v>33.17</v>
      </c>
    </row>
    <row r="365" spans="1:5" ht="14.25">
      <c r="A365" s="3168">
        <v>364</v>
      </c>
      <c r="B365" s="3168" t="s">
        <v>3522</v>
      </c>
      <c r="C365" s="3168" t="s">
        <v>3488</v>
      </c>
      <c r="D365" s="3168">
        <v>94.98</v>
      </c>
      <c r="E365" s="3168">
        <v>33.17</v>
      </c>
    </row>
    <row r="366" spans="1:5" ht="14.25">
      <c r="A366" s="3168">
        <v>365</v>
      </c>
      <c r="B366" s="3168" t="s">
        <v>3522</v>
      </c>
      <c r="C366" s="3168" t="s">
        <v>3489</v>
      </c>
      <c r="D366" s="3168">
        <v>94.98</v>
      </c>
      <c r="E366" s="3168">
        <v>33.17</v>
      </c>
    </row>
    <row r="367" spans="1:5" ht="14.25">
      <c r="A367" s="3168">
        <v>366</v>
      </c>
      <c r="B367" s="3168" t="s">
        <v>3522</v>
      </c>
      <c r="C367" s="3168" t="s">
        <v>3519</v>
      </c>
      <c r="D367" s="3168">
        <v>94.98</v>
      </c>
      <c r="E367" s="3168">
        <v>33.17</v>
      </c>
    </row>
    <row r="368" spans="1:5" ht="14.25">
      <c r="A368" s="3168">
        <v>367</v>
      </c>
      <c r="B368" s="3168" t="s">
        <v>3522</v>
      </c>
      <c r="C368" s="3168" t="s">
        <v>3520</v>
      </c>
      <c r="D368" s="3168">
        <v>94.98</v>
      </c>
      <c r="E368" s="3168">
        <v>33.17</v>
      </c>
    </row>
    <row r="369" spans="1:5" ht="14.25">
      <c r="A369" s="3168">
        <v>368</v>
      </c>
      <c r="B369" s="3168" t="s">
        <v>3522</v>
      </c>
      <c r="C369" s="3168" t="s">
        <v>3490</v>
      </c>
      <c r="D369" s="3168">
        <v>94.98</v>
      </c>
      <c r="E369" s="3168">
        <v>33.17</v>
      </c>
    </row>
    <row r="370" spans="1:5" ht="14.25">
      <c r="A370" s="3168">
        <v>369</v>
      </c>
      <c r="B370" s="3168" t="s">
        <v>3522</v>
      </c>
      <c r="C370" s="3168" t="s">
        <v>3491</v>
      </c>
      <c r="D370" s="3168">
        <v>94.98</v>
      </c>
      <c r="E370" s="3168">
        <v>33.17</v>
      </c>
    </row>
    <row r="371" spans="1:5" ht="14.25">
      <c r="A371" s="3168">
        <v>370</v>
      </c>
      <c r="B371" s="3168" t="s">
        <v>3522</v>
      </c>
      <c r="C371" s="3168" t="s">
        <v>3492</v>
      </c>
      <c r="D371" s="3168">
        <v>94.98</v>
      </c>
      <c r="E371" s="3168">
        <v>33.17</v>
      </c>
    </row>
    <row r="372" spans="1:5" ht="14.25">
      <c r="A372" s="3168">
        <v>371</v>
      </c>
      <c r="B372" s="3168" t="s">
        <v>3522</v>
      </c>
      <c r="C372" s="3168" t="s">
        <v>3493</v>
      </c>
      <c r="D372" s="3168">
        <v>94.98</v>
      </c>
      <c r="E372" s="3168">
        <v>33.17</v>
      </c>
    </row>
    <row r="373" spans="1:5" ht="14.25">
      <c r="A373" s="3168">
        <v>372</v>
      </c>
      <c r="B373" s="3168" t="s">
        <v>3522</v>
      </c>
      <c r="C373" s="3168" t="s">
        <v>3494</v>
      </c>
      <c r="D373" s="3168">
        <v>94.98</v>
      </c>
      <c r="E373" s="3168">
        <v>33.17</v>
      </c>
    </row>
    <row r="374" spans="1:5" ht="14.25">
      <c r="A374" s="3168">
        <v>373</v>
      </c>
      <c r="B374" s="3168" t="s">
        <v>3522</v>
      </c>
      <c r="C374" s="3168" t="s">
        <v>3495</v>
      </c>
      <c r="D374" s="3168">
        <v>94.98</v>
      </c>
      <c r="E374" s="3168">
        <v>33.17</v>
      </c>
    </row>
    <row r="375" spans="1:5" ht="14.25">
      <c r="A375" s="3168">
        <v>374</v>
      </c>
      <c r="B375" s="3168" t="s">
        <v>3522</v>
      </c>
      <c r="C375" s="3168" t="s">
        <v>3496</v>
      </c>
      <c r="D375" s="3168">
        <v>94.98</v>
      </c>
      <c r="E375" s="3168">
        <v>33.17</v>
      </c>
    </row>
    <row r="376" spans="1:5" ht="14.25">
      <c r="A376" s="3168">
        <v>375</v>
      </c>
      <c r="B376" s="3168" t="s">
        <v>3522</v>
      </c>
      <c r="C376" s="3168" t="s">
        <v>3446</v>
      </c>
      <c r="D376" s="3168">
        <v>94.98</v>
      </c>
      <c r="E376" s="3168">
        <v>33.17</v>
      </c>
    </row>
    <row r="377" spans="1:5" ht="14.25">
      <c r="A377" s="3168">
        <v>376</v>
      </c>
      <c r="B377" s="3168" t="s">
        <v>3522</v>
      </c>
      <c r="C377" s="3168" t="s">
        <v>3497</v>
      </c>
      <c r="D377" s="3168">
        <v>94.98</v>
      </c>
      <c r="E377" s="3168">
        <v>33.17</v>
      </c>
    </row>
    <row r="378" spans="1:5" ht="14.25">
      <c r="A378" s="3168">
        <v>377</v>
      </c>
      <c r="B378" s="3168" t="s">
        <v>3522</v>
      </c>
      <c r="C378" s="3168" t="s">
        <v>3431</v>
      </c>
      <c r="D378" s="3168">
        <v>94.98</v>
      </c>
      <c r="E378" s="3168">
        <v>33.17</v>
      </c>
    </row>
    <row r="379" spans="1:5" ht="14.25">
      <c r="A379" s="3168">
        <v>378</v>
      </c>
      <c r="B379" s="3168" t="s">
        <v>3522</v>
      </c>
      <c r="C379" s="3168" t="s">
        <v>3432</v>
      </c>
      <c r="D379" s="3168">
        <v>94.98</v>
      </c>
      <c r="E379" s="3168">
        <v>33.17</v>
      </c>
    </row>
    <row r="380" spans="1:5" ht="14.25">
      <c r="A380" s="3168">
        <v>379</v>
      </c>
      <c r="B380" s="3168" t="s">
        <v>3522</v>
      </c>
      <c r="C380" s="3168" t="s">
        <v>3433</v>
      </c>
      <c r="D380" s="3168">
        <v>94.98</v>
      </c>
      <c r="E380" s="3168">
        <v>33.17</v>
      </c>
    </row>
    <row r="381" spans="1:5" ht="14.25">
      <c r="A381" s="3168">
        <v>380</v>
      </c>
      <c r="B381" s="3168" t="s">
        <v>3522</v>
      </c>
      <c r="C381" s="3168" t="s">
        <v>3434</v>
      </c>
      <c r="D381" s="3168">
        <v>94.98</v>
      </c>
      <c r="E381" s="3168">
        <v>33.17</v>
      </c>
    </row>
    <row r="382" spans="1:5" ht="14.25">
      <c r="A382" s="3168">
        <v>381</v>
      </c>
      <c r="B382" s="3168" t="s">
        <v>3522</v>
      </c>
      <c r="C382" s="3168" t="s">
        <v>3447</v>
      </c>
      <c r="D382" s="3168">
        <v>94.98</v>
      </c>
      <c r="E382" s="3168">
        <v>33.17</v>
      </c>
    </row>
    <row r="383" spans="1:5" ht="14.25">
      <c r="A383" s="3168">
        <v>382</v>
      </c>
      <c r="B383" s="3168" t="s">
        <v>3522</v>
      </c>
      <c r="C383" s="3168" t="s">
        <v>3498</v>
      </c>
      <c r="D383" s="3168">
        <v>94.98</v>
      </c>
      <c r="E383" s="3168">
        <v>33.17</v>
      </c>
    </row>
    <row r="384" spans="1:5" ht="14.25">
      <c r="A384" s="3168">
        <v>383</v>
      </c>
      <c r="B384" s="3168" t="s">
        <v>3522</v>
      </c>
      <c r="C384" s="3168" t="s">
        <v>3435</v>
      </c>
      <c r="D384" s="3168">
        <v>94.98</v>
      </c>
      <c r="E384" s="3168">
        <v>33.17</v>
      </c>
    </row>
    <row r="385" spans="1:5" ht="14.25">
      <c r="A385" s="3168">
        <v>384</v>
      </c>
      <c r="B385" s="3168" t="s">
        <v>3522</v>
      </c>
      <c r="C385" s="3168" t="s">
        <v>3499</v>
      </c>
      <c r="D385" s="3168">
        <v>94.98</v>
      </c>
      <c r="E385" s="3168">
        <v>33.17</v>
      </c>
    </row>
    <row r="386" spans="1:5" ht="14.25">
      <c r="A386" s="3168">
        <v>385</v>
      </c>
      <c r="B386" s="3168" t="s">
        <v>3522</v>
      </c>
      <c r="C386" s="3168" t="s">
        <v>3500</v>
      </c>
      <c r="D386" s="3168">
        <v>94.98</v>
      </c>
      <c r="E386" s="3168">
        <v>33.17</v>
      </c>
    </row>
    <row r="387" spans="1:5" ht="14.25">
      <c r="A387" s="3168">
        <v>386</v>
      </c>
      <c r="B387" s="3168" t="s">
        <v>3522</v>
      </c>
      <c r="C387" s="3168" t="s">
        <v>3448</v>
      </c>
      <c r="D387" s="3168">
        <v>94.98</v>
      </c>
      <c r="E387" s="3168">
        <v>33.17</v>
      </c>
    </row>
    <row r="388" spans="1:5" ht="14.25">
      <c r="A388" s="3168">
        <v>387</v>
      </c>
      <c r="B388" s="3168" t="s">
        <v>3522</v>
      </c>
      <c r="C388" s="3168" t="s">
        <v>3501</v>
      </c>
      <c r="D388" s="3168">
        <v>94.98</v>
      </c>
      <c r="E388" s="3168">
        <v>33.17</v>
      </c>
    </row>
    <row r="389" spans="1:5" ht="14.25">
      <c r="A389" s="3168">
        <v>388</v>
      </c>
      <c r="B389" s="3168" t="s">
        <v>3522</v>
      </c>
      <c r="C389" s="3168" t="s">
        <v>3502</v>
      </c>
      <c r="D389" s="3168">
        <v>94.98</v>
      </c>
      <c r="E389" s="3168">
        <v>33.17</v>
      </c>
    </row>
    <row r="390" spans="1:5" ht="14.25">
      <c r="A390" s="3168">
        <v>389</v>
      </c>
      <c r="B390" s="3168" t="s">
        <v>3522</v>
      </c>
      <c r="C390" s="3168" t="s">
        <v>3503</v>
      </c>
      <c r="D390" s="3168">
        <v>94.98</v>
      </c>
      <c r="E390" s="3168">
        <v>33.17</v>
      </c>
    </row>
    <row r="391" spans="1:5" ht="14.25">
      <c r="A391" s="3168">
        <v>390</v>
      </c>
      <c r="B391" s="3168" t="s">
        <v>3522</v>
      </c>
      <c r="C391" s="3168" t="s">
        <v>3438</v>
      </c>
      <c r="D391" s="3168">
        <v>94.98</v>
      </c>
      <c r="E391" s="3168">
        <v>33.17</v>
      </c>
    </row>
    <row r="392" spans="1:5" ht="14.25">
      <c r="A392" s="3168">
        <v>391</v>
      </c>
      <c r="B392" s="3168" t="s">
        <v>3522</v>
      </c>
      <c r="C392" s="3168" t="s">
        <v>3449</v>
      </c>
      <c r="D392" s="3168">
        <v>94.98</v>
      </c>
      <c r="E392" s="3168">
        <v>33.17</v>
      </c>
    </row>
    <row r="393" spans="1:5" ht="14.25">
      <c r="A393" s="3168">
        <v>392</v>
      </c>
      <c r="B393" s="3168" t="s">
        <v>3522</v>
      </c>
      <c r="C393" s="3168" t="s">
        <v>3504</v>
      </c>
      <c r="D393" s="3168">
        <v>94.98</v>
      </c>
      <c r="E393" s="3168">
        <v>33.17</v>
      </c>
    </row>
    <row r="394" spans="1:5" ht="14.25">
      <c r="A394" s="3168">
        <v>393</v>
      </c>
      <c r="B394" s="3168" t="s">
        <v>3522</v>
      </c>
      <c r="C394" s="3168" t="s">
        <v>3440</v>
      </c>
      <c r="D394" s="3168">
        <v>94.98</v>
      </c>
      <c r="E394" s="3168">
        <v>33.17</v>
      </c>
    </row>
    <row r="395" spans="1:5" ht="14.25">
      <c r="A395" s="3168">
        <v>394</v>
      </c>
      <c r="B395" s="3168" t="s">
        <v>3522</v>
      </c>
      <c r="C395" s="3168" t="s">
        <v>3473</v>
      </c>
      <c r="D395" s="3168">
        <v>94.98</v>
      </c>
      <c r="E395" s="3168">
        <v>33.17</v>
      </c>
    </row>
    <row r="396" spans="1:5" ht="14.25">
      <c r="A396" s="3168">
        <v>395</v>
      </c>
      <c r="B396" s="3168" t="s">
        <v>3522</v>
      </c>
      <c r="C396" s="3168" t="s">
        <v>3505</v>
      </c>
      <c r="D396" s="3168">
        <v>94.98</v>
      </c>
      <c r="E396" s="3168">
        <v>33.17</v>
      </c>
    </row>
    <row r="397" spans="1:5" ht="14.25">
      <c r="A397" s="3168">
        <v>396</v>
      </c>
      <c r="B397" s="3168" t="s">
        <v>3522</v>
      </c>
      <c r="C397" s="3168" t="s">
        <v>3506</v>
      </c>
      <c r="D397" s="3168">
        <v>94.98</v>
      </c>
      <c r="E397" s="3168">
        <v>33.17</v>
      </c>
    </row>
    <row r="398" spans="1:5" ht="14.25">
      <c r="A398" s="3168">
        <v>397</v>
      </c>
      <c r="B398" s="3168" t="s">
        <v>3522</v>
      </c>
      <c r="C398" s="3168" t="s">
        <v>3507</v>
      </c>
      <c r="D398" s="3168">
        <v>94.98</v>
      </c>
      <c r="E398" s="3168">
        <v>33.17</v>
      </c>
    </row>
    <row r="399" spans="1:5" ht="14.25">
      <c r="A399" s="3168">
        <v>398</v>
      </c>
      <c r="B399" s="3168" t="s">
        <v>3522</v>
      </c>
      <c r="C399" s="3168" t="s">
        <v>3508</v>
      </c>
      <c r="D399" s="3168">
        <v>94.98</v>
      </c>
      <c r="E399" s="3168">
        <v>33.17</v>
      </c>
    </row>
    <row r="400" spans="1:5" ht="14.25">
      <c r="A400" s="3168">
        <v>399</v>
      </c>
      <c r="B400" s="3168" t="s">
        <v>3522</v>
      </c>
      <c r="C400" s="3168" t="s">
        <v>3509</v>
      </c>
      <c r="D400" s="3168">
        <v>94.98</v>
      </c>
      <c r="E400" s="3168">
        <v>33.17</v>
      </c>
    </row>
    <row r="401" spans="1:5" ht="14.25">
      <c r="A401" s="3168">
        <v>400</v>
      </c>
      <c r="B401" s="3168" t="s">
        <v>3522</v>
      </c>
      <c r="C401" s="3168" t="s">
        <v>3523</v>
      </c>
      <c r="D401" s="3168">
        <v>94.95</v>
      </c>
      <c r="E401" s="3168">
        <v>33.159999999999997</v>
      </c>
    </row>
    <row r="402" spans="1:5" ht="14.25">
      <c r="A402" s="3168">
        <v>401</v>
      </c>
      <c r="B402" s="3168" t="s">
        <v>3522</v>
      </c>
      <c r="C402" s="3168" t="s">
        <v>3524</v>
      </c>
      <c r="D402" s="3168">
        <v>95.31</v>
      </c>
      <c r="E402" s="3168">
        <v>33.28</v>
      </c>
    </row>
    <row r="403" spans="1:5" ht="14.25">
      <c r="A403" s="3168">
        <v>402</v>
      </c>
      <c r="B403" s="3168" t="s">
        <v>3522</v>
      </c>
      <c r="C403" s="3168" t="s">
        <v>3525</v>
      </c>
      <c r="D403" s="3168">
        <v>94.95</v>
      </c>
      <c r="E403" s="3168">
        <v>33.159999999999997</v>
      </c>
    </row>
    <row r="404" spans="1:5" ht="14.25">
      <c r="A404" s="3168">
        <v>403</v>
      </c>
      <c r="B404" s="3168" t="s">
        <v>3522</v>
      </c>
      <c r="C404" s="3168" t="s">
        <v>3526</v>
      </c>
      <c r="D404" s="3168">
        <v>95.31</v>
      </c>
      <c r="E404" s="3168">
        <v>33.28</v>
      </c>
    </row>
    <row r="405" spans="1:5" ht="14.25">
      <c r="A405" s="3168">
        <v>404</v>
      </c>
      <c r="B405" s="3168" t="s">
        <v>3522</v>
      </c>
      <c r="C405" s="3168" t="s">
        <v>3527</v>
      </c>
      <c r="D405" s="3168">
        <v>94.95</v>
      </c>
      <c r="E405" s="3168">
        <v>33.159999999999997</v>
      </c>
    </row>
    <row r="406" spans="1:5" ht="14.25">
      <c r="A406" s="3168">
        <v>405</v>
      </c>
      <c r="B406" s="3168" t="s">
        <v>3522</v>
      </c>
      <c r="C406" s="3168" t="s">
        <v>3528</v>
      </c>
      <c r="D406" s="3168">
        <v>94.95</v>
      </c>
      <c r="E406" s="3168">
        <v>33.159999999999997</v>
      </c>
    </row>
    <row r="407" spans="1:5" ht="14.25">
      <c r="A407" s="3168">
        <v>406</v>
      </c>
      <c r="B407" s="3168" t="s">
        <v>3522</v>
      </c>
      <c r="C407" s="3168" t="s">
        <v>3529</v>
      </c>
      <c r="D407" s="3168">
        <v>94.95</v>
      </c>
      <c r="E407" s="3168">
        <v>33.159999999999997</v>
      </c>
    </row>
    <row r="408" spans="1:5" ht="14.25">
      <c r="A408" s="3168">
        <v>407</v>
      </c>
      <c r="B408" s="3168" t="s">
        <v>3522</v>
      </c>
      <c r="C408" s="3168" t="s">
        <v>3530</v>
      </c>
      <c r="D408" s="3168">
        <v>94.95</v>
      </c>
      <c r="E408" s="3168">
        <v>33.159999999999997</v>
      </c>
    </row>
    <row r="409" spans="1:5" ht="14.25">
      <c r="A409" s="3168">
        <v>408</v>
      </c>
      <c r="B409" s="3168" t="s">
        <v>3522</v>
      </c>
      <c r="C409" s="3168" t="s">
        <v>3531</v>
      </c>
      <c r="D409" s="3168">
        <v>95.31</v>
      </c>
      <c r="E409" s="3168">
        <v>33.28</v>
      </c>
    </row>
    <row r="410" spans="1:5" ht="14.25">
      <c r="A410" s="3168">
        <v>409</v>
      </c>
      <c r="B410" s="3168" t="s">
        <v>3522</v>
      </c>
      <c r="C410" s="3168">
        <v>-101</v>
      </c>
      <c r="D410" s="3168">
        <v>10.79</v>
      </c>
      <c r="E410" s="3168">
        <v>3.77</v>
      </c>
    </row>
    <row r="411" spans="1:5" ht="14.25">
      <c r="A411" s="3168">
        <v>410</v>
      </c>
      <c r="B411" s="3168" t="s">
        <v>3522</v>
      </c>
      <c r="C411" s="3168">
        <v>-102</v>
      </c>
      <c r="D411" s="3168">
        <v>12.07</v>
      </c>
      <c r="E411" s="3168">
        <v>4.21</v>
      </c>
    </row>
    <row r="412" spans="1:5" ht="14.25">
      <c r="A412" s="3168">
        <v>411</v>
      </c>
      <c r="B412" s="3168" t="s">
        <v>3522</v>
      </c>
      <c r="C412" s="3168">
        <v>-103</v>
      </c>
      <c r="D412" s="3168">
        <v>8.9</v>
      </c>
      <c r="E412" s="3168">
        <v>3.11</v>
      </c>
    </row>
    <row r="413" spans="1:5" ht="14.25">
      <c r="A413" s="3168">
        <v>412</v>
      </c>
      <c r="B413" s="3168" t="s">
        <v>3522</v>
      </c>
      <c r="C413" s="3168">
        <v>-104</v>
      </c>
      <c r="D413" s="3168">
        <v>16.149999999999999</v>
      </c>
      <c r="E413" s="3168">
        <v>5.64</v>
      </c>
    </row>
    <row r="414" spans="1:5" ht="14.25">
      <c r="A414" s="3168">
        <v>413</v>
      </c>
      <c r="B414" s="3168" t="s">
        <v>3522</v>
      </c>
      <c r="C414" s="3168">
        <v>-105</v>
      </c>
      <c r="D414" s="3168">
        <v>7.74</v>
      </c>
      <c r="E414" s="3168">
        <v>2.7</v>
      </c>
    </row>
    <row r="415" spans="1:5" ht="14.25">
      <c r="A415" s="3168">
        <v>414</v>
      </c>
      <c r="B415" s="3168" t="s">
        <v>3522</v>
      </c>
      <c r="C415" s="3168">
        <v>-106</v>
      </c>
      <c r="D415" s="3168">
        <v>7.13</v>
      </c>
      <c r="E415" s="3168">
        <v>2.4900000000000002</v>
      </c>
    </row>
    <row r="416" spans="1:5" ht="14.25">
      <c r="A416" s="3168">
        <v>415</v>
      </c>
      <c r="B416" s="3168" t="s">
        <v>3522</v>
      </c>
      <c r="C416" s="3168">
        <v>-107</v>
      </c>
      <c r="D416" s="3168">
        <v>7.74</v>
      </c>
      <c r="E416" s="3168">
        <v>2.7</v>
      </c>
    </row>
    <row r="417" spans="1:5" ht="14.25">
      <c r="A417" s="3168">
        <v>416</v>
      </c>
      <c r="B417" s="3168" t="s">
        <v>3522</v>
      </c>
      <c r="C417" s="3168">
        <v>-108</v>
      </c>
      <c r="D417" s="3168">
        <v>6.88</v>
      </c>
      <c r="E417" s="3168">
        <v>2.4</v>
      </c>
    </row>
    <row r="418" spans="1:5" ht="14.25">
      <c r="A418" s="3168">
        <v>417</v>
      </c>
      <c r="B418" s="3168" t="s">
        <v>3522</v>
      </c>
      <c r="C418" s="3168">
        <v>-109</v>
      </c>
      <c r="D418" s="3168">
        <v>6.64</v>
      </c>
      <c r="E418" s="3168">
        <v>2.3199999999999998</v>
      </c>
    </row>
    <row r="419" spans="1:5" ht="14.25">
      <c r="A419" s="3168">
        <v>418</v>
      </c>
      <c r="B419" s="3168" t="s">
        <v>3522</v>
      </c>
      <c r="C419" s="3168">
        <v>-110</v>
      </c>
      <c r="D419" s="3168">
        <v>8.6</v>
      </c>
      <c r="E419" s="3168">
        <v>3</v>
      </c>
    </row>
    <row r="420" spans="1:5" ht="14.25">
      <c r="A420" s="3168">
        <v>419</v>
      </c>
      <c r="B420" s="3168" t="s">
        <v>3522</v>
      </c>
      <c r="C420" s="3168">
        <v>-111</v>
      </c>
      <c r="D420" s="3168">
        <v>6.67</v>
      </c>
      <c r="E420" s="3168">
        <v>2.33</v>
      </c>
    </row>
    <row r="421" spans="1:5" ht="14.25">
      <c r="A421" s="3168">
        <v>420</v>
      </c>
      <c r="B421" s="3168" t="s">
        <v>3522</v>
      </c>
      <c r="C421" s="3168">
        <v>-112</v>
      </c>
      <c r="D421" s="3168">
        <v>7.87</v>
      </c>
      <c r="E421" s="3168">
        <v>2.75</v>
      </c>
    </row>
    <row r="422" spans="1:5" ht="14.25">
      <c r="A422" s="3168">
        <v>421</v>
      </c>
      <c r="B422" s="3168" t="s">
        <v>3522</v>
      </c>
      <c r="C422" s="3168">
        <v>-113</v>
      </c>
      <c r="D422" s="3168">
        <v>7.87</v>
      </c>
      <c r="E422" s="3168">
        <v>2.75</v>
      </c>
    </row>
    <row r="423" spans="1:5" ht="14.25">
      <c r="A423" s="3168">
        <v>422</v>
      </c>
      <c r="B423" s="3168" t="s">
        <v>3522</v>
      </c>
      <c r="C423" s="3168">
        <v>-114</v>
      </c>
      <c r="D423" s="3168">
        <v>6.56</v>
      </c>
      <c r="E423" s="3168">
        <v>2.29</v>
      </c>
    </row>
    <row r="424" spans="1:5" ht="14.25">
      <c r="A424" s="3168">
        <v>423</v>
      </c>
      <c r="B424" s="3168" t="s">
        <v>3522</v>
      </c>
      <c r="C424" s="3168">
        <v>-115</v>
      </c>
      <c r="D424" s="3168">
        <v>8.6</v>
      </c>
      <c r="E424" s="3168">
        <v>3</v>
      </c>
    </row>
    <row r="425" spans="1:5" ht="14.25">
      <c r="A425" s="3168">
        <v>424</v>
      </c>
      <c r="B425" s="3168" t="s">
        <v>3522</v>
      </c>
      <c r="C425" s="3168">
        <v>-116</v>
      </c>
      <c r="D425" s="3168">
        <v>6.77</v>
      </c>
      <c r="E425" s="3168">
        <v>2.36</v>
      </c>
    </row>
    <row r="426" spans="1:5" ht="14.25">
      <c r="A426" s="3168">
        <v>425</v>
      </c>
      <c r="B426" s="3168" t="s">
        <v>3522</v>
      </c>
      <c r="C426" s="3168">
        <v>-117</v>
      </c>
      <c r="D426" s="3168">
        <v>6.88</v>
      </c>
      <c r="E426" s="3168">
        <v>2.4</v>
      </c>
    </row>
    <row r="427" spans="1:5" ht="14.25">
      <c r="A427" s="3168">
        <v>426</v>
      </c>
      <c r="B427" s="3168" t="s">
        <v>3522</v>
      </c>
      <c r="C427" s="3168">
        <v>-118</v>
      </c>
      <c r="D427" s="3168">
        <v>6.88</v>
      </c>
      <c r="E427" s="3168">
        <v>2.4</v>
      </c>
    </row>
    <row r="428" spans="1:5" ht="14.25">
      <c r="A428" s="3168">
        <v>427</v>
      </c>
      <c r="B428" s="3168" t="s">
        <v>3522</v>
      </c>
      <c r="C428" s="3168">
        <v>-119</v>
      </c>
      <c r="D428" s="3168">
        <v>8.6</v>
      </c>
      <c r="E428" s="3168">
        <v>3</v>
      </c>
    </row>
    <row r="429" spans="1:5" ht="14.25">
      <c r="A429" s="3168">
        <v>428</v>
      </c>
      <c r="B429" s="3168" t="s">
        <v>3522</v>
      </c>
      <c r="C429" s="3168">
        <v>-120</v>
      </c>
      <c r="D429" s="3168">
        <v>8.24</v>
      </c>
      <c r="E429" s="3168">
        <v>2.88</v>
      </c>
    </row>
    <row r="430" spans="1:5" ht="14.25">
      <c r="A430" s="3168">
        <v>429</v>
      </c>
      <c r="B430" s="3168" t="s">
        <v>3522</v>
      </c>
      <c r="C430" s="3168">
        <v>-121</v>
      </c>
      <c r="D430" s="3168">
        <v>8.91</v>
      </c>
      <c r="E430" s="3168">
        <v>3.11</v>
      </c>
    </row>
    <row r="431" spans="1:5" ht="14.25">
      <c r="A431" s="3168">
        <v>430</v>
      </c>
      <c r="B431" s="3168" t="s">
        <v>3522</v>
      </c>
      <c r="C431" s="3168">
        <v>-122</v>
      </c>
      <c r="D431" s="3168">
        <v>8.24</v>
      </c>
      <c r="E431" s="3168">
        <v>2.88</v>
      </c>
    </row>
    <row r="432" spans="1:5" ht="14.25">
      <c r="A432" s="3168">
        <v>431</v>
      </c>
      <c r="B432" s="3168" t="s">
        <v>3522</v>
      </c>
      <c r="C432" s="3168">
        <v>-123</v>
      </c>
      <c r="D432" s="3168">
        <v>8.6</v>
      </c>
      <c r="E432" s="3168">
        <v>3</v>
      </c>
    </row>
    <row r="433" spans="1:5" ht="14.25">
      <c r="A433" s="3168">
        <v>432</v>
      </c>
      <c r="B433" s="3168" t="s">
        <v>3522</v>
      </c>
      <c r="C433" s="3168">
        <v>-124</v>
      </c>
      <c r="D433" s="3168">
        <v>6.88</v>
      </c>
      <c r="E433" s="3168">
        <v>2.4</v>
      </c>
    </row>
    <row r="434" spans="1:5" ht="14.25">
      <c r="A434" s="3168">
        <v>433</v>
      </c>
      <c r="B434" s="3168" t="s">
        <v>3522</v>
      </c>
      <c r="C434" s="3168">
        <v>-125</v>
      </c>
      <c r="D434" s="3168">
        <v>7.74</v>
      </c>
      <c r="E434" s="3168">
        <v>2.7</v>
      </c>
    </row>
    <row r="435" spans="1:5" ht="14.25">
      <c r="A435" s="3168">
        <v>434</v>
      </c>
      <c r="B435" s="3168" t="s">
        <v>3522</v>
      </c>
      <c r="C435" s="3168">
        <v>-126</v>
      </c>
      <c r="D435" s="3168">
        <v>6.64</v>
      </c>
      <c r="E435" s="3168">
        <v>2.3199999999999998</v>
      </c>
    </row>
    <row r="436" spans="1:5" ht="14.25">
      <c r="A436" s="3168">
        <v>435</v>
      </c>
      <c r="B436" s="3168" t="s">
        <v>3522</v>
      </c>
      <c r="C436" s="3168">
        <v>-127</v>
      </c>
      <c r="D436" s="3168">
        <v>7.74</v>
      </c>
      <c r="E436" s="3168">
        <v>2.7</v>
      </c>
    </row>
    <row r="437" spans="1:5" ht="14.25">
      <c r="A437" s="3168">
        <v>436</v>
      </c>
      <c r="B437" s="3168" t="s">
        <v>3522</v>
      </c>
      <c r="C437" s="3168">
        <v>-128</v>
      </c>
      <c r="D437" s="3168">
        <v>6.67</v>
      </c>
      <c r="E437" s="3168">
        <v>2.33</v>
      </c>
    </row>
    <row r="438" spans="1:5" ht="14.25">
      <c r="A438" s="3168">
        <v>437</v>
      </c>
      <c r="B438" s="3168" t="s">
        <v>3522</v>
      </c>
      <c r="C438" s="3168">
        <v>-129</v>
      </c>
      <c r="D438" s="3168">
        <v>7.87</v>
      </c>
      <c r="E438" s="3168">
        <v>2.75</v>
      </c>
    </row>
    <row r="439" spans="1:5" ht="14.25">
      <c r="A439" s="3168">
        <v>438</v>
      </c>
      <c r="B439" s="3168" t="s">
        <v>3522</v>
      </c>
      <c r="C439" s="3168">
        <v>-130</v>
      </c>
      <c r="D439" s="3168">
        <v>7.87</v>
      </c>
      <c r="E439" s="3168">
        <v>2.75</v>
      </c>
    </row>
    <row r="440" spans="1:5" ht="14.25">
      <c r="A440" s="3168">
        <v>439</v>
      </c>
      <c r="B440" s="3168" t="s">
        <v>3522</v>
      </c>
      <c r="C440" s="3168">
        <v>-131</v>
      </c>
      <c r="D440" s="3168">
        <v>6.67</v>
      </c>
      <c r="E440" s="3168">
        <v>2.33</v>
      </c>
    </row>
    <row r="441" spans="1:5" ht="14.25">
      <c r="A441" s="3168">
        <v>440</v>
      </c>
      <c r="B441" s="3168" t="s">
        <v>3522</v>
      </c>
      <c r="C441" s="3168">
        <v>-132</v>
      </c>
      <c r="D441" s="3168">
        <v>8.6</v>
      </c>
      <c r="E441" s="3168">
        <v>3</v>
      </c>
    </row>
    <row r="442" spans="1:5" ht="14.25">
      <c r="A442" s="3168">
        <v>441</v>
      </c>
      <c r="B442" s="3168" t="s">
        <v>3522</v>
      </c>
      <c r="C442" s="3168">
        <v>-133</v>
      </c>
      <c r="D442" s="3168">
        <v>6.64</v>
      </c>
      <c r="E442" s="3168">
        <v>2.3199999999999998</v>
      </c>
    </row>
    <row r="443" spans="1:5" ht="14.25">
      <c r="A443" s="3168">
        <v>442</v>
      </c>
      <c r="B443" s="3168" t="s">
        <v>3522</v>
      </c>
      <c r="C443" s="3168">
        <v>-134</v>
      </c>
      <c r="D443" s="3168">
        <v>6.88</v>
      </c>
      <c r="E443" s="3168">
        <v>2.4</v>
      </c>
    </row>
    <row r="444" spans="1:5" ht="14.25">
      <c r="A444" s="3168">
        <v>443</v>
      </c>
      <c r="B444" s="3168" t="s">
        <v>3522</v>
      </c>
      <c r="C444" s="3168">
        <v>-135</v>
      </c>
      <c r="D444" s="3168">
        <v>11.31</v>
      </c>
      <c r="E444" s="3168">
        <v>3.95</v>
      </c>
    </row>
    <row r="445" spans="1:5" ht="14.25">
      <c r="A445" s="3168">
        <v>444</v>
      </c>
      <c r="B445" s="3168" t="s">
        <v>3522</v>
      </c>
      <c r="C445" s="3168">
        <v>-136</v>
      </c>
      <c r="D445" s="3168">
        <v>15.98</v>
      </c>
      <c r="E445" s="3168">
        <v>5.58</v>
      </c>
    </row>
    <row r="446" spans="1:5" ht="14.25">
      <c r="A446" s="3168">
        <v>445</v>
      </c>
      <c r="B446" s="3168" t="s">
        <v>3522</v>
      </c>
      <c r="C446" s="3168">
        <v>-137</v>
      </c>
      <c r="D446" s="3168">
        <v>6.85</v>
      </c>
      <c r="E446" s="3168">
        <v>2.39</v>
      </c>
    </row>
    <row r="447" spans="1:5" ht="14.25">
      <c r="A447" s="3168">
        <v>446</v>
      </c>
      <c r="B447" s="3168" t="s">
        <v>3532</v>
      </c>
      <c r="C447" s="3168" t="s">
        <v>3452</v>
      </c>
      <c r="D447" s="3168">
        <v>117.12</v>
      </c>
      <c r="E447" s="3168">
        <v>40.9</v>
      </c>
    </row>
    <row r="448" spans="1:5" ht="14.25">
      <c r="A448" s="3168">
        <v>447</v>
      </c>
      <c r="B448" s="3168" t="s">
        <v>3532</v>
      </c>
      <c r="C448" s="3168" t="s">
        <v>3475</v>
      </c>
      <c r="D448" s="3168">
        <v>117.46</v>
      </c>
      <c r="E448" s="3168">
        <v>41.02</v>
      </c>
    </row>
    <row r="449" spans="1:5" ht="14.25">
      <c r="A449" s="3168">
        <v>448</v>
      </c>
      <c r="B449" s="3168" t="s">
        <v>3532</v>
      </c>
      <c r="C449" s="3168" t="s">
        <v>3477</v>
      </c>
      <c r="D449" s="3168">
        <v>117.46</v>
      </c>
      <c r="E449" s="3168">
        <v>41.02</v>
      </c>
    </row>
    <row r="450" spans="1:5" ht="14.25">
      <c r="A450" s="3168">
        <v>449</v>
      </c>
      <c r="B450" s="3168" t="s">
        <v>3532</v>
      </c>
      <c r="C450" s="3168" t="s">
        <v>3478</v>
      </c>
      <c r="D450" s="3168">
        <v>117.12</v>
      </c>
      <c r="E450" s="3168">
        <v>40.9</v>
      </c>
    </row>
    <row r="451" spans="1:5" ht="14.25">
      <c r="A451" s="3168">
        <v>450</v>
      </c>
      <c r="B451" s="3168" t="s">
        <v>3532</v>
      </c>
      <c r="C451" s="3168" t="s">
        <v>3479</v>
      </c>
      <c r="D451" s="3168">
        <v>117.46</v>
      </c>
      <c r="E451" s="3168">
        <v>41.02</v>
      </c>
    </row>
    <row r="452" spans="1:5" ht="14.25">
      <c r="A452" s="3168">
        <v>451</v>
      </c>
      <c r="B452" s="3168" t="s">
        <v>3532</v>
      </c>
      <c r="C452" s="3168" t="s">
        <v>3480</v>
      </c>
      <c r="D452" s="3168">
        <v>117.12</v>
      </c>
      <c r="E452" s="3168">
        <v>40.9</v>
      </c>
    </row>
    <row r="453" spans="1:5" ht="14.25">
      <c r="A453" s="3168">
        <v>452</v>
      </c>
      <c r="B453" s="3168" t="s">
        <v>3532</v>
      </c>
      <c r="C453" s="3168" t="s">
        <v>3442</v>
      </c>
      <c r="D453" s="3168">
        <v>117.46</v>
      </c>
      <c r="E453" s="3168">
        <v>41.02</v>
      </c>
    </row>
    <row r="454" spans="1:5" ht="14.25">
      <c r="A454" s="3168">
        <v>453</v>
      </c>
      <c r="B454" s="3168" t="s">
        <v>3532</v>
      </c>
      <c r="C454" s="3168" t="s">
        <v>3481</v>
      </c>
      <c r="D454" s="3168">
        <v>117.12</v>
      </c>
      <c r="E454" s="3168">
        <v>40.9</v>
      </c>
    </row>
    <row r="455" spans="1:5" ht="14.25">
      <c r="A455" s="3168">
        <v>454</v>
      </c>
      <c r="B455" s="3168" t="s">
        <v>3532</v>
      </c>
      <c r="C455" s="3168" t="s">
        <v>3482</v>
      </c>
      <c r="D455" s="3168">
        <v>117.46</v>
      </c>
      <c r="E455" s="3168">
        <v>41.02</v>
      </c>
    </row>
    <row r="456" spans="1:5" ht="14.25">
      <c r="A456" s="3168">
        <v>455</v>
      </c>
      <c r="B456" s="3168" t="s">
        <v>3532</v>
      </c>
      <c r="C456" s="3168" t="s">
        <v>3483</v>
      </c>
      <c r="D456" s="3168">
        <v>117.12</v>
      </c>
      <c r="E456" s="3168">
        <v>40.9</v>
      </c>
    </row>
    <row r="457" spans="1:5" ht="14.25">
      <c r="A457" s="3168">
        <v>456</v>
      </c>
      <c r="B457" s="3168" t="s">
        <v>3532</v>
      </c>
      <c r="C457" s="3168" t="s">
        <v>3443</v>
      </c>
      <c r="D457" s="3168">
        <v>117.46</v>
      </c>
      <c r="E457" s="3168">
        <v>41.02</v>
      </c>
    </row>
    <row r="458" spans="1:5" ht="14.25">
      <c r="A458" s="3168">
        <v>457</v>
      </c>
      <c r="B458" s="3168" t="s">
        <v>3532</v>
      </c>
      <c r="C458" s="3168" t="s">
        <v>3484</v>
      </c>
      <c r="D458" s="3168">
        <v>117.12</v>
      </c>
      <c r="E458" s="3168">
        <v>40.9</v>
      </c>
    </row>
    <row r="459" spans="1:5" ht="14.25">
      <c r="A459" s="3168">
        <v>458</v>
      </c>
      <c r="B459" s="3168" t="s">
        <v>3532</v>
      </c>
      <c r="C459" s="3168" t="s">
        <v>3453</v>
      </c>
      <c r="D459" s="3168">
        <v>83.52</v>
      </c>
      <c r="E459" s="3168">
        <v>29.16</v>
      </c>
    </row>
    <row r="460" spans="1:5" ht="14.25">
      <c r="A460" s="3168">
        <v>459</v>
      </c>
      <c r="B460" s="3168" t="s">
        <v>3532</v>
      </c>
      <c r="C460" s="3168" t="s">
        <v>3429</v>
      </c>
      <c r="D460" s="3168">
        <v>117.38</v>
      </c>
      <c r="E460" s="3168">
        <v>40.99</v>
      </c>
    </row>
    <row r="461" spans="1:5" ht="14.25">
      <c r="A461" s="3168">
        <v>460</v>
      </c>
      <c r="B461" s="3168" t="s">
        <v>3532</v>
      </c>
      <c r="C461" s="3168" t="s">
        <v>3463</v>
      </c>
      <c r="D461" s="3168">
        <v>117.38</v>
      </c>
      <c r="E461" s="3168">
        <v>40.99</v>
      </c>
    </row>
    <row r="462" spans="1:5" ht="14.25">
      <c r="A462" s="3168">
        <v>461</v>
      </c>
      <c r="B462" s="3168" t="s">
        <v>3532</v>
      </c>
      <c r="C462" s="3168" t="s">
        <v>3464</v>
      </c>
      <c r="D462" s="3168">
        <v>117.38</v>
      </c>
      <c r="E462" s="3168">
        <v>40.99</v>
      </c>
    </row>
    <row r="463" spans="1:5" ht="14.25">
      <c r="A463" s="3168">
        <v>462</v>
      </c>
      <c r="B463" s="3168" t="s">
        <v>3532</v>
      </c>
      <c r="C463" s="3168" t="s">
        <v>3488</v>
      </c>
      <c r="D463" s="3168">
        <v>117.38</v>
      </c>
      <c r="E463" s="3168">
        <v>40.99</v>
      </c>
    </row>
    <row r="464" spans="1:5" ht="14.25">
      <c r="A464" s="3168">
        <v>463</v>
      </c>
      <c r="B464" s="3168" t="s">
        <v>3532</v>
      </c>
      <c r="C464" s="3168" t="s">
        <v>3489</v>
      </c>
      <c r="D464" s="3168">
        <v>117.38</v>
      </c>
      <c r="E464" s="3168">
        <v>40.99</v>
      </c>
    </row>
    <row r="465" spans="1:5" ht="14.25">
      <c r="A465" s="3168">
        <v>464</v>
      </c>
      <c r="B465" s="3168" t="s">
        <v>3532</v>
      </c>
      <c r="C465" s="3168" t="s">
        <v>3520</v>
      </c>
      <c r="D465" s="3168">
        <v>117.38</v>
      </c>
      <c r="E465" s="3168">
        <v>40.99</v>
      </c>
    </row>
    <row r="466" spans="1:5" ht="14.25">
      <c r="A466" s="3168">
        <v>465</v>
      </c>
      <c r="B466" s="3168" t="s">
        <v>3532</v>
      </c>
      <c r="C466" s="3168" t="s">
        <v>3490</v>
      </c>
      <c r="D466" s="3168">
        <v>117.38</v>
      </c>
      <c r="E466" s="3168">
        <v>40.99</v>
      </c>
    </row>
    <row r="467" spans="1:5" ht="14.25">
      <c r="A467" s="3168">
        <v>466</v>
      </c>
      <c r="B467" s="3168" t="s">
        <v>3532</v>
      </c>
      <c r="C467" s="3168" t="s">
        <v>3491</v>
      </c>
      <c r="D467" s="3168">
        <v>117.38</v>
      </c>
      <c r="E467" s="3168">
        <v>40.99</v>
      </c>
    </row>
    <row r="468" spans="1:5" ht="14.25">
      <c r="A468" s="3168">
        <v>467</v>
      </c>
      <c r="B468" s="3168" t="s">
        <v>3532</v>
      </c>
      <c r="C468" s="3168" t="s">
        <v>3492</v>
      </c>
      <c r="D468" s="3168">
        <v>117.38</v>
      </c>
      <c r="E468" s="3168">
        <v>40.99</v>
      </c>
    </row>
    <row r="469" spans="1:5" ht="14.25">
      <c r="A469" s="3168">
        <v>468</v>
      </c>
      <c r="B469" s="3168" t="s">
        <v>3532</v>
      </c>
      <c r="C469" s="3168" t="s">
        <v>3493</v>
      </c>
      <c r="D469" s="3168">
        <v>117.38</v>
      </c>
      <c r="E469" s="3168">
        <v>40.99</v>
      </c>
    </row>
    <row r="470" spans="1:5" ht="14.25">
      <c r="A470" s="3168">
        <v>469</v>
      </c>
      <c r="B470" s="3168" t="s">
        <v>3532</v>
      </c>
      <c r="C470" s="3168" t="s">
        <v>3494</v>
      </c>
      <c r="D470" s="3168">
        <v>117.38</v>
      </c>
      <c r="E470" s="3168">
        <v>40.99</v>
      </c>
    </row>
    <row r="471" spans="1:5" ht="14.25">
      <c r="A471" s="3168">
        <v>470</v>
      </c>
      <c r="B471" s="3168" t="s">
        <v>3532</v>
      </c>
      <c r="C471" s="3168" t="s">
        <v>3495</v>
      </c>
      <c r="D471" s="3168">
        <v>117.38</v>
      </c>
      <c r="E471" s="3168">
        <v>40.99</v>
      </c>
    </row>
    <row r="472" spans="1:5" ht="14.25">
      <c r="A472" s="3168">
        <v>471</v>
      </c>
      <c r="B472" s="3168" t="s">
        <v>3532</v>
      </c>
      <c r="C472" s="3168" t="s">
        <v>3496</v>
      </c>
      <c r="D472" s="3168">
        <v>80.34</v>
      </c>
      <c r="E472" s="3168">
        <v>28.05</v>
      </c>
    </row>
    <row r="473" spans="1:5" ht="14.25">
      <c r="A473" s="3168">
        <v>472</v>
      </c>
      <c r="B473" s="3168" t="s">
        <v>3532</v>
      </c>
      <c r="C473" s="3168" t="s">
        <v>3447</v>
      </c>
      <c r="D473" s="3168">
        <v>117.11</v>
      </c>
      <c r="E473" s="3168">
        <v>40.89</v>
      </c>
    </row>
    <row r="474" spans="1:5" ht="14.25">
      <c r="A474" s="3168">
        <v>473</v>
      </c>
      <c r="B474" s="3168" t="s">
        <v>3532</v>
      </c>
      <c r="C474" s="3168" t="s">
        <v>3498</v>
      </c>
      <c r="D474" s="3168">
        <v>97.15</v>
      </c>
      <c r="E474" s="3168">
        <v>33.92</v>
      </c>
    </row>
    <row r="475" spans="1:5" ht="14.25">
      <c r="A475" s="3168">
        <v>474</v>
      </c>
      <c r="B475" s="3168" t="s">
        <v>3532</v>
      </c>
      <c r="C475" s="3168" t="s">
        <v>3435</v>
      </c>
      <c r="D475" s="3168">
        <v>117.11</v>
      </c>
      <c r="E475" s="3168">
        <v>40.89</v>
      </c>
    </row>
    <row r="476" spans="1:5" ht="14.25">
      <c r="A476" s="3168">
        <v>475</v>
      </c>
      <c r="B476" s="3168" t="s">
        <v>3532</v>
      </c>
      <c r="C476" s="3168" t="s">
        <v>3499</v>
      </c>
      <c r="D476" s="3168">
        <v>117.45</v>
      </c>
      <c r="E476" s="3168">
        <v>41.01</v>
      </c>
    </row>
    <row r="477" spans="1:5" ht="14.25">
      <c r="A477" s="3168">
        <v>476</v>
      </c>
      <c r="B477" s="3168" t="s">
        <v>3532</v>
      </c>
      <c r="C477" s="3168" t="s">
        <v>3500</v>
      </c>
      <c r="D477" s="3168">
        <v>117.11</v>
      </c>
      <c r="E477" s="3168">
        <v>40.89</v>
      </c>
    </row>
    <row r="478" spans="1:5" ht="14.25">
      <c r="A478" s="3168">
        <v>477</v>
      </c>
      <c r="B478" s="3168" t="s">
        <v>3532</v>
      </c>
      <c r="C478" s="3168" t="s">
        <v>3448</v>
      </c>
      <c r="D478" s="3168">
        <v>117.45</v>
      </c>
      <c r="E478" s="3168">
        <v>41.01</v>
      </c>
    </row>
    <row r="479" spans="1:5" ht="14.25">
      <c r="A479" s="3168">
        <v>478</v>
      </c>
      <c r="B479" s="3168" t="s">
        <v>3532</v>
      </c>
      <c r="C479" s="3168" t="s">
        <v>3501</v>
      </c>
      <c r="D479" s="3168">
        <v>117.11</v>
      </c>
      <c r="E479" s="3168">
        <v>40.89</v>
      </c>
    </row>
    <row r="480" spans="1:5" ht="14.25">
      <c r="A480" s="3168">
        <v>479</v>
      </c>
      <c r="B480" s="3168" t="s">
        <v>3532</v>
      </c>
      <c r="C480" s="3168" t="s">
        <v>3502</v>
      </c>
      <c r="D480" s="3168">
        <v>117.45</v>
      </c>
      <c r="E480" s="3168">
        <v>41.01</v>
      </c>
    </row>
    <row r="481" spans="1:5" ht="14.25">
      <c r="A481" s="3168">
        <v>480</v>
      </c>
      <c r="B481" s="3168" t="s">
        <v>3532</v>
      </c>
      <c r="C481" s="3168" t="s">
        <v>3436</v>
      </c>
      <c r="D481" s="3168">
        <v>117.11</v>
      </c>
      <c r="E481" s="3168">
        <v>40.89</v>
      </c>
    </row>
    <row r="482" spans="1:5" ht="14.25">
      <c r="A482" s="3168">
        <v>481</v>
      </c>
      <c r="B482" s="3168" t="s">
        <v>3532</v>
      </c>
      <c r="C482" s="3168" t="s">
        <v>3437</v>
      </c>
      <c r="D482" s="3168">
        <v>117.45</v>
      </c>
      <c r="E482" s="3168">
        <v>41.01</v>
      </c>
    </row>
    <row r="483" spans="1:5" ht="14.25">
      <c r="A483" s="3168">
        <v>482</v>
      </c>
      <c r="B483" s="3168" t="s">
        <v>3532</v>
      </c>
      <c r="C483" s="3168" t="s">
        <v>3503</v>
      </c>
      <c r="D483" s="3168">
        <v>117.11</v>
      </c>
      <c r="E483" s="3168">
        <v>40.89</v>
      </c>
    </row>
    <row r="484" spans="1:5" ht="14.25">
      <c r="A484" s="3168">
        <v>483</v>
      </c>
      <c r="B484" s="3168" t="s">
        <v>3532</v>
      </c>
      <c r="C484" s="3168" t="s">
        <v>3449</v>
      </c>
      <c r="D484" s="3168">
        <v>117.11</v>
      </c>
      <c r="E484" s="3168">
        <v>40.89</v>
      </c>
    </row>
    <row r="485" spans="1:5" ht="14.25">
      <c r="A485" s="3168">
        <v>484</v>
      </c>
      <c r="B485" s="3168" t="s">
        <v>3532</v>
      </c>
      <c r="C485" s="3168" t="s">
        <v>3439</v>
      </c>
      <c r="D485" s="3168">
        <v>117.45</v>
      </c>
      <c r="E485" s="3168">
        <v>41.01</v>
      </c>
    </row>
    <row r="486" spans="1:5" ht="14.25">
      <c r="A486" s="3168">
        <v>485</v>
      </c>
      <c r="B486" s="3168" t="s">
        <v>3532</v>
      </c>
      <c r="C486" s="3168" t="s">
        <v>3504</v>
      </c>
      <c r="D486" s="3168">
        <v>117.11</v>
      </c>
      <c r="E486" s="3168">
        <v>40.89</v>
      </c>
    </row>
    <row r="487" spans="1:5" ht="14.25">
      <c r="A487" s="3168">
        <v>486</v>
      </c>
      <c r="B487" s="3168" t="s">
        <v>3532</v>
      </c>
      <c r="C487" s="3168" t="s">
        <v>3440</v>
      </c>
      <c r="D487" s="3168">
        <v>117.45</v>
      </c>
      <c r="E487" s="3168">
        <v>41.01</v>
      </c>
    </row>
    <row r="488" spans="1:5" ht="14.25">
      <c r="A488" s="3168">
        <v>487</v>
      </c>
      <c r="B488" s="3168" t="s">
        <v>3532</v>
      </c>
      <c r="C488" s="3168" t="s">
        <v>3473</v>
      </c>
      <c r="D488" s="3168">
        <v>117.45</v>
      </c>
      <c r="E488" s="3168">
        <v>41.01</v>
      </c>
    </row>
    <row r="489" spans="1:5" ht="14.25">
      <c r="A489" s="3168">
        <v>488</v>
      </c>
      <c r="B489" s="3168" t="s">
        <v>3532</v>
      </c>
      <c r="C489" s="3168" t="s">
        <v>3505</v>
      </c>
      <c r="D489" s="3168">
        <v>117.45</v>
      </c>
      <c r="E489" s="3168">
        <v>41.01</v>
      </c>
    </row>
    <row r="490" spans="1:5" ht="14.25">
      <c r="A490" s="3168">
        <v>489</v>
      </c>
      <c r="B490" s="3168" t="s">
        <v>3532</v>
      </c>
      <c r="C490" s="3168" t="s">
        <v>3506</v>
      </c>
      <c r="D490" s="3168">
        <v>117.45</v>
      </c>
      <c r="E490" s="3168">
        <v>41.01</v>
      </c>
    </row>
    <row r="491" spans="1:5" ht="14.25">
      <c r="A491" s="3168">
        <v>490</v>
      </c>
      <c r="B491" s="3168" t="s">
        <v>3532</v>
      </c>
      <c r="C491" s="3168" t="s">
        <v>3507</v>
      </c>
      <c r="D491" s="3168">
        <v>117.45</v>
      </c>
      <c r="E491" s="3168">
        <v>41.01</v>
      </c>
    </row>
    <row r="492" spans="1:5" ht="14.25">
      <c r="A492" s="3168">
        <v>491</v>
      </c>
      <c r="B492" s="3168" t="s">
        <v>3532</v>
      </c>
      <c r="C492" s="3168" t="s">
        <v>3509</v>
      </c>
      <c r="D492" s="3168">
        <v>83.51</v>
      </c>
      <c r="E492" s="3168">
        <v>29.16</v>
      </c>
    </row>
    <row r="493" spans="1:5" ht="14.25">
      <c r="A493" s="3168">
        <v>492</v>
      </c>
      <c r="B493" s="3168" t="s">
        <v>3532</v>
      </c>
      <c r="C493" s="3168">
        <v>-201</v>
      </c>
      <c r="D493" s="3168">
        <v>10.79</v>
      </c>
      <c r="E493" s="3168">
        <v>3.77</v>
      </c>
    </row>
    <row r="494" spans="1:5" ht="14.25">
      <c r="A494" s="3168">
        <v>493</v>
      </c>
      <c r="B494" s="3168" t="s">
        <v>3532</v>
      </c>
      <c r="C494" s="3168">
        <v>-202</v>
      </c>
      <c r="D494" s="3168">
        <v>17.53</v>
      </c>
      <c r="E494" s="3168">
        <v>6.12</v>
      </c>
    </row>
    <row r="495" spans="1:5" ht="14.25">
      <c r="A495" s="3168">
        <v>494</v>
      </c>
      <c r="B495" s="3168" t="s">
        <v>3532</v>
      </c>
      <c r="C495" s="3168">
        <v>-203</v>
      </c>
      <c r="D495" s="3168">
        <v>13.17</v>
      </c>
      <c r="E495" s="3168">
        <v>4.5999999999999996</v>
      </c>
    </row>
    <row r="496" spans="1:5" ht="14.25">
      <c r="A496" s="3168">
        <v>495</v>
      </c>
      <c r="B496" s="3168" t="s">
        <v>3532</v>
      </c>
      <c r="C496" s="3168">
        <v>-204</v>
      </c>
      <c r="D496" s="3168">
        <v>8.81</v>
      </c>
      <c r="E496" s="3168">
        <v>3.08</v>
      </c>
    </row>
    <row r="497" spans="1:5" ht="14.25">
      <c r="A497" s="3168">
        <v>496</v>
      </c>
      <c r="B497" s="3168" t="s">
        <v>3532</v>
      </c>
      <c r="C497" s="3168">
        <v>-205</v>
      </c>
      <c r="D497" s="3168">
        <v>8.9600000000000009</v>
      </c>
      <c r="E497" s="3168">
        <v>3.13</v>
      </c>
    </row>
    <row r="498" spans="1:5" ht="14.25">
      <c r="A498" s="3168">
        <v>497</v>
      </c>
      <c r="B498" s="3168" t="s">
        <v>3532</v>
      </c>
      <c r="C498" s="3168">
        <v>-206</v>
      </c>
      <c r="D498" s="3168">
        <v>8.9600000000000009</v>
      </c>
      <c r="E498" s="3168">
        <v>3.13</v>
      </c>
    </row>
    <row r="499" spans="1:5" ht="14.25">
      <c r="A499" s="3168">
        <v>498</v>
      </c>
      <c r="B499" s="3168" t="s">
        <v>3532</v>
      </c>
      <c r="C499" s="3168">
        <v>-207</v>
      </c>
      <c r="D499" s="3168">
        <v>8.81</v>
      </c>
      <c r="E499" s="3168">
        <v>3.08</v>
      </c>
    </row>
    <row r="500" spans="1:5" ht="14.25">
      <c r="A500" s="3168">
        <v>499</v>
      </c>
      <c r="B500" s="3168" t="s">
        <v>3532</v>
      </c>
      <c r="C500" s="3168">
        <v>-208</v>
      </c>
      <c r="D500" s="3168">
        <v>8.9499999999999993</v>
      </c>
      <c r="E500" s="3168">
        <v>3.13</v>
      </c>
    </row>
    <row r="501" spans="1:5" ht="14.25">
      <c r="A501" s="3168">
        <v>500</v>
      </c>
      <c r="B501" s="3168" t="s">
        <v>3532</v>
      </c>
      <c r="C501" s="3168">
        <v>-209</v>
      </c>
      <c r="D501" s="3168">
        <v>16.3</v>
      </c>
      <c r="E501" s="3168">
        <v>5.69</v>
      </c>
    </row>
    <row r="502" spans="1:5" ht="14.25">
      <c r="A502" s="3168">
        <v>501</v>
      </c>
      <c r="B502" s="3168" t="s">
        <v>3532</v>
      </c>
      <c r="C502" s="3168">
        <v>-210</v>
      </c>
      <c r="D502" s="3168">
        <v>10.31</v>
      </c>
      <c r="E502" s="3168">
        <v>3.6</v>
      </c>
    </row>
    <row r="503" spans="1:5" ht="14.25">
      <c r="A503" s="3168">
        <v>502</v>
      </c>
      <c r="B503" s="3168" t="s">
        <v>3532</v>
      </c>
      <c r="C503" s="3168">
        <v>-211</v>
      </c>
      <c r="D503" s="3168">
        <v>8.81</v>
      </c>
      <c r="E503" s="3168">
        <v>3.08</v>
      </c>
    </row>
    <row r="504" spans="1:5" ht="14.25">
      <c r="A504" s="3168">
        <v>503</v>
      </c>
      <c r="B504" s="3168" t="s">
        <v>3532</v>
      </c>
      <c r="C504" s="3168">
        <v>-212</v>
      </c>
      <c r="D504" s="3168">
        <v>8.9600000000000009</v>
      </c>
      <c r="E504" s="3168">
        <v>3.13</v>
      </c>
    </row>
    <row r="505" spans="1:5" ht="14.25">
      <c r="A505" s="3168">
        <v>504</v>
      </c>
      <c r="B505" s="3168" t="s">
        <v>3532</v>
      </c>
      <c r="C505" s="3168">
        <v>-213</v>
      </c>
      <c r="D505" s="3168">
        <v>23.79</v>
      </c>
      <c r="E505" s="3168">
        <v>8.31</v>
      </c>
    </row>
    <row r="506" spans="1:5" ht="14.25">
      <c r="A506" s="3168">
        <v>505</v>
      </c>
      <c r="B506" s="3168" t="s">
        <v>3532</v>
      </c>
      <c r="C506" s="3168">
        <v>-214</v>
      </c>
      <c r="D506" s="3168">
        <v>24.1</v>
      </c>
      <c r="E506" s="3168">
        <v>8.42</v>
      </c>
    </row>
    <row r="507" spans="1:5" ht="14.25">
      <c r="A507" s="3168">
        <v>506</v>
      </c>
      <c r="B507" s="3168" t="s">
        <v>3532</v>
      </c>
      <c r="C507" s="3168">
        <v>-215</v>
      </c>
      <c r="D507" s="3168">
        <v>8.9600000000000009</v>
      </c>
      <c r="E507" s="3168">
        <v>3.13</v>
      </c>
    </row>
    <row r="508" spans="1:5" ht="14.25">
      <c r="A508" s="3168">
        <v>507</v>
      </c>
      <c r="B508" s="3168" t="s">
        <v>3532</v>
      </c>
      <c r="C508" s="3168">
        <v>-216</v>
      </c>
      <c r="D508" s="3168">
        <v>8.81</v>
      </c>
      <c r="E508" s="3168">
        <v>3.08</v>
      </c>
    </row>
    <row r="509" spans="1:5" ht="14.25">
      <c r="A509" s="3168">
        <v>508</v>
      </c>
      <c r="B509" s="3168" t="s">
        <v>3533</v>
      </c>
      <c r="C509" s="3168" t="s">
        <v>3451</v>
      </c>
      <c r="D509" s="3168">
        <v>130.15</v>
      </c>
      <c r="E509" s="3168">
        <v>45.45</v>
      </c>
    </row>
    <row r="510" spans="1:5" ht="14.25">
      <c r="A510" s="3168">
        <v>509</v>
      </c>
      <c r="B510" s="3168" t="s">
        <v>3533</v>
      </c>
      <c r="C510" s="3168" t="s">
        <v>3452</v>
      </c>
      <c r="D510" s="3168">
        <v>129.81</v>
      </c>
      <c r="E510" s="3168">
        <v>45.33</v>
      </c>
    </row>
    <row r="511" spans="1:5" ht="14.25">
      <c r="A511" s="3168">
        <v>510</v>
      </c>
      <c r="B511" s="3168" t="s">
        <v>3533</v>
      </c>
      <c r="C511" s="3168" t="s">
        <v>3475</v>
      </c>
      <c r="D511" s="3168">
        <v>130.15</v>
      </c>
      <c r="E511" s="3168">
        <v>45.45</v>
      </c>
    </row>
    <row r="512" spans="1:5" ht="14.25">
      <c r="A512" s="3168">
        <v>511</v>
      </c>
      <c r="B512" s="3168" t="s">
        <v>3533</v>
      </c>
      <c r="C512" s="3168" t="s">
        <v>3476</v>
      </c>
      <c r="D512" s="3168">
        <v>129.81</v>
      </c>
      <c r="E512" s="3168">
        <v>45.33</v>
      </c>
    </row>
    <row r="513" spans="1:5" ht="14.25">
      <c r="A513" s="3168">
        <v>512</v>
      </c>
      <c r="B513" s="3168" t="s">
        <v>3533</v>
      </c>
      <c r="C513" s="3168" t="s">
        <v>3477</v>
      </c>
      <c r="D513" s="3168">
        <v>130.15</v>
      </c>
      <c r="E513" s="3168">
        <v>45.45</v>
      </c>
    </row>
    <row r="514" spans="1:5" ht="14.25">
      <c r="A514" s="3168">
        <v>513</v>
      </c>
      <c r="B514" s="3168" t="s">
        <v>3533</v>
      </c>
      <c r="C514" s="3168" t="s">
        <v>3478</v>
      </c>
      <c r="D514" s="3168">
        <v>129.81</v>
      </c>
      <c r="E514" s="3168">
        <v>45.33</v>
      </c>
    </row>
    <row r="515" spans="1:5" ht="14.25">
      <c r="A515" s="3168">
        <v>514</v>
      </c>
      <c r="B515" s="3168" t="s">
        <v>3533</v>
      </c>
      <c r="C515" s="3168" t="s">
        <v>3479</v>
      </c>
      <c r="D515" s="3168">
        <v>130.15</v>
      </c>
      <c r="E515" s="3168">
        <v>45.45</v>
      </c>
    </row>
    <row r="516" spans="1:5" ht="14.25">
      <c r="A516" s="3168">
        <v>515</v>
      </c>
      <c r="B516" s="3168" t="s">
        <v>3533</v>
      </c>
      <c r="C516" s="3168" t="s">
        <v>3480</v>
      </c>
      <c r="D516" s="3168">
        <v>129.81</v>
      </c>
      <c r="E516" s="3168">
        <v>45.33</v>
      </c>
    </row>
    <row r="517" spans="1:5" ht="14.25">
      <c r="A517" s="3168">
        <v>516</v>
      </c>
      <c r="B517" s="3168" t="s">
        <v>3533</v>
      </c>
      <c r="C517" s="3168" t="s">
        <v>3442</v>
      </c>
      <c r="D517" s="3168">
        <v>130.15</v>
      </c>
      <c r="E517" s="3168">
        <v>45.45</v>
      </c>
    </row>
    <row r="518" spans="1:5" ht="14.25">
      <c r="A518" s="3168">
        <v>517</v>
      </c>
      <c r="B518" s="3168" t="s">
        <v>3533</v>
      </c>
      <c r="C518" s="3168" t="s">
        <v>3481</v>
      </c>
      <c r="D518" s="3168">
        <v>129.81</v>
      </c>
      <c r="E518" s="3168">
        <v>45.33</v>
      </c>
    </row>
    <row r="519" spans="1:5" ht="14.25">
      <c r="A519" s="3168">
        <v>518</v>
      </c>
      <c r="B519" s="3168" t="s">
        <v>3533</v>
      </c>
      <c r="C519" s="3168" t="s">
        <v>3482</v>
      </c>
      <c r="D519" s="3168">
        <v>130.15</v>
      </c>
      <c r="E519" s="3168">
        <v>45.45</v>
      </c>
    </row>
    <row r="520" spans="1:5" ht="14.25">
      <c r="A520" s="3168">
        <v>519</v>
      </c>
      <c r="B520" s="3168" t="s">
        <v>3533</v>
      </c>
      <c r="C520" s="3168" t="s">
        <v>3483</v>
      </c>
      <c r="D520" s="3168">
        <v>129.81</v>
      </c>
      <c r="E520" s="3168">
        <v>45.33</v>
      </c>
    </row>
    <row r="521" spans="1:5" ht="14.25">
      <c r="A521" s="3168">
        <v>520</v>
      </c>
      <c r="B521" s="3168" t="s">
        <v>3533</v>
      </c>
      <c r="C521" s="3168" t="s">
        <v>3443</v>
      </c>
      <c r="D521" s="3168">
        <v>130.15</v>
      </c>
      <c r="E521" s="3168">
        <v>45.45</v>
      </c>
    </row>
    <row r="522" spans="1:5" ht="14.25">
      <c r="A522" s="3168">
        <v>521</v>
      </c>
      <c r="B522" s="3168" t="s">
        <v>3533</v>
      </c>
      <c r="C522" s="3168" t="s">
        <v>3484</v>
      </c>
      <c r="D522" s="3168">
        <v>129.81</v>
      </c>
      <c r="E522" s="3168">
        <v>45.33</v>
      </c>
    </row>
    <row r="523" spans="1:5" ht="14.25">
      <c r="A523" s="3168">
        <v>522</v>
      </c>
      <c r="B523" s="3168" t="s">
        <v>3533</v>
      </c>
      <c r="C523" s="3168" t="s">
        <v>3453</v>
      </c>
      <c r="D523" s="3168">
        <v>130.15</v>
      </c>
      <c r="E523" s="3168">
        <v>45.45</v>
      </c>
    </row>
    <row r="524" spans="1:5" ht="14.25">
      <c r="A524" s="3168">
        <v>523</v>
      </c>
      <c r="B524" s="3168" t="s">
        <v>3533</v>
      </c>
      <c r="C524" s="3168" t="s">
        <v>3485</v>
      </c>
      <c r="D524" s="3168">
        <v>129.81</v>
      </c>
      <c r="E524" s="3168">
        <v>45.33</v>
      </c>
    </row>
    <row r="525" spans="1:5" ht="14.25">
      <c r="A525" s="3168">
        <v>524</v>
      </c>
      <c r="B525" s="3168" t="s">
        <v>3533</v>
      </c>
      <c r="C525" s="3168" t="s">
        <v>3429</v>
      </c>
      <c r="D525" s="3168">
        <v>117.69</v>
      </c>
      <c r="E525" s="3168">
        <v>41.1</v>
      </c>
    </row>
    <row r="526" spans="1:5" ht="14.25">
      <c r="A526" s="3168">
        <v>525</v>
      </c>
      <c r="B526" s="3168" t="s">
        <v>3533</v>
      </c>
      <c r="C526" s="3168" t="s">
        <v>3462</v>
      </c>
      <c r="D526" s="3168">
        <v>117.69</v>
      </c>
      <c r="E526" s="3168">
        <v>41.1</v>
      </c>
    </row>
    <row r="527" spans="1:5" ht="14.25">
      <c r="A527" s="3168">
        <v>526</v>
      </c>
      <c r="B527" s="3168" t="s">
        <v>3533</v>
      </c>
      <c r="C527" s="3168" t="s">
        <v>3463</v>
      </c>
      <c r="D527" s="3168">
        <v>117.69</v>
      </c>
      <c r="E527" s="3168">
        <v>41.1</v>
      </c>
    </row>
    <row r="528" spans="1:5" ht="14.25">
      <c r="A528" s="3168">
        <v>527</v>
      </c>
      <c r="B528" s="3168" t="s">
        <v>3533</v>
      </c>
      <c r="C528" s="3168" t="s">
        <v>3464</v>
      </c>
      <c r="D528" s="3168">
        <v>117.69</v>
      </c>
      <c r="E528" s="3168">
        <v>41.1</v>
      </c>
    </row>
    <row r="529" spans="1:5" ht="14.25">
      <c r="A529" s="3168">
        <v>528</v>
      </c>
      <c r="B529" s="3168" t="s">
        <v>3533</v>
      </c>
      <c r="C529" s="3168" t="s">
        <v>3488</v>
      </c>
      <c r="D529" s="3168">
        <v>117.69</v>
      </c>
      <c r="E529" s="3168">
        <v>41.1</v>
      </c>
    </row>
    <row r="530" spans="1:5" ht="14.25">
      <c r="A530" s="3168">
        <v>529</v>
      </c>
      <c r="B530" s="3168" t="s">
        <v>3533</v>
      </c>
      <c r="C530" s="3168" t="s">
        <v>3489</v>
      </c>
      <c r="D530" s="3168">
        <v>117.69</v>
      </c>
      <c r="E530" s="3168">
        <v>41.1</v>
      </c>
    </row>
    <row r="531" spans="1:5" ht="14.25">
      <c r="A531" s="3168">
        <v>530</v>
      </c>
      <c r="B531" s="3168" t="s">
        <v>3533</v>
      </c>
      <c r="C531" s="3168" t="s">
        <v>3519</v>
      </c>
      <c r="D531" s="3168">
        <v>117.69</v>
      </c>
      <c r="E531" s="3168">
        <v>41.1</v>
      </c>
    </row>
    <row r="532" spans="1:5" ht="14.25">
      <c r="A532" s="3168">
        <v>531</v>
      </c>
      <c r="B532" s="3168" t="s">
        <v>3533</v>
      </c>
      <c r="C532" s="3168" t="s">
        <v>3520</v>
      </c>
      <c r="D532" s="3168">
        <v>117.69</v>
      </c>
      <c r="E532" s="3168">
        <v>41.1</v>
      </c>
    </row>
    <row r="533" spans="1:5" ht="14.25">
      <c r="A533" s="3168">
        <v>532</v>
      </c>
      <c r="B533" s="3168" t="s">
        <v>3533</v>
      </c>
      <c r="C533" s="3168" t="s">
        <v>3491</v>
      </c>
      <c r="D533" s="3168">
        <v>117.69</v>
      </c>
      <c r="E533" s="3168">
        <v>41.1</v>
      </c>
    </row>
    <row r="534" spans="1:5" ht="14.25">
      <c r="A534" s="3168">
        <v>533</v>
      </c>
      <c r="B534" s="3168" t="s">
        <v>3533</v>
      </c>
      <c r="C534" s="3168" t="s">
        <v>3492</v>
      </c>
      <c r="D534" s="3168">
        <v>117.69</v>
      </c>
      <c r="E534" s="3168">
        <v>41.1</v>
      </c>
    </row>
    <row r="535" spans="1:5" ht="14.25">
      <c r="A535" s="3168">
        <v>534</v>
      </c>
      <c r="B535" s="3168" t="s">
        <v>3533</v>
      </c>
      <c r="C535" s="3168" t="s">
        <v>3493</v>
      </c>
      <c r="D535" s="3168">
        <v>117.69</v>
      </c>
      <c r="E535" s="3168">
        <v>41.1</v>
      </c>
    </row>
    <row r="536" spans="1:5" ht="14.25">
      <c r="A536" s="3168">
        <v>535</v>
      </c>
      <c r="B536" s="3168" t="s">
        <v>3533</v>
      </c>
      <c r="C536" s="3168" t="s">
        <v>3494</v>
      </c>
      <c r="D536" s="3168">
        <v>117.69</v>
      </c>
      <c r="E536" s="3168">
        <v>41.1</v>
      </c>
    </row>
    <row r="537" spans="1:5" ht="14.25">
      <c r="A537" s="3168">
        <v>536</v>
      </c>
      <c r="B537" s="3168" t="s">
        <v>3533</v>
      </c>
      <c r="C537" s="3168" t="s">
        <v>3495</v>
      </c>
      <c r="D537" s="3168">
        <v>117.69</v>
      </c>
      <c r="E537" s="3168">
        <v>41.1</v>
      </c>
    </row>
    <row r="538" spans="1:5" ht="14.25">
      <c r="A538" s="3168">
        <v>537</v>
      </c>
      <c r="B538" s="3168" t="s">
        <v>3533</v>
      </c>
      <c r="C538" s="3168" t="s">
        <v>3496</v>
      </c>
      <c r="D538" s="3168">
        <v>117.69</v>
      </c>
      <c r="E538" s="3168">
        <v>41.1</v>
      </c>
    </row>
    <row r="539" spans="1:5" ht="14.25">
      <c r="A539" s="3168">
        <v>538</v>
      </c>
      <c r="B539" s="3168" t="s">
        <v>3533</v>
      </c>
      <c r="C539" s="3168" t="s">
        <v>3446</v>
      </c>
      <c r="D539" s="3168">
        <v>117.69</v>
      </c>
      <c r="E539" s="3168">
        <v>41.1</v>
      </c>
    </row>
    <row r="540" spans="1:5" ht="14.25">
      <c r="A540" s="3168">
        <v>539</v>
      </c>
      <c r="B540" s="3168" t="s">
        <v>3533</v>
      </c>
      <c r="C540" s="3168" t="s">
        <v>3447</v>
      </c>
      <c r="D540" s="3168">
        <v>117.38</v>
      </c>
      <c r="E540" s="3168">
        <v>40.99</v>
      </c>
    </row>
    <row r="541" spans="1:5" ht="14.25">
      <c r="A541" s="3168">
        <v>540</v>
      </c>
      <c r="B541" s="3168" t="s">
        <v>3533</v>
      </c>
      <c r="C541" s="3168" t="s">
        <v>3498</v>
      </c>
      <c r="D541" s="3168">
        <v>117.72</v>
      </c>
      <c r="E541" s="3168">
        <v>41.11</v>
      </c>
    </row>
    <row r="542" spans="1:5" ht="14.25">
      <c r="A542" s="3168">
        <v>541</v>
      </c>
      <c r="B542" s="3168" t="s">
        <v>3533</v>
      </c>
      <c r="C542" s="3168" t="s">
        <v>3435</v>
      </c>
      <c r="D542" s="3168">
        <v>117.38</v>
      </c>
      <c r="E542" s="3168">
        <v>40.99</v>
      </c>
    </row>
    <row r="543" spans="1:5" ht="14.25">
      <c r="A543" s="3168">
        <v>542</v>
      </c>
      <c r="B543" s="3168" t="s">
        <v>3533</v>
      </c>
      <c r="C543" s="3168" t="s">
        <v>3499</v>
      </c>
      <c r="D543" s="3168">
        <v>117.72</v>
      </c>
      <c r="E543" s="3168">
        <v>41.11</v>
      </c>
    </row>
    <row r="544" spans="1:5" ht="14.25">
      <c r="A544" s="3168">
        <v>543</v>
      </c>
      <c r="B544" s="3168" t="s">
        <v>3533</v>
      </c>
      <c r="C544" s="3168" t="s">
        <v>3500</v>
      </c>
      <c r="D544" s="3168">
        <v>117.38</v>
      </c>
      <c r="E544" s="3168">
        <v>40.99</v>
      </c>
    </row>
    <row r="545" spans="1:5" ht="14.25">
      <c r="A545" s="3168">
        <v>544</v>
      </c>
      <c r="B545" s="3168" t="s">
        <v>3533</v>
      </c>
      <c r="C545" s="3168" t="s">
        <v>3448</v>
      </c>
      <c r="D545" s="3168">
        <v>117.72</v>
      </c>
      <c r="E545" s="3168">
        <v>41.11</v>
      </c>
    </row>
    <row r="546" spans="1:5" ht="14.25">
      <c r="A546" s="3168">
        <v>545</v>
      </c>
      <c r="B546" s="3168" t="s">
        <v>3533</v>
      </c>
      <c r="C546" s="3168" t="s">
        <v>3501</v>
      </c>
      <c r="D546" s="3168">
        <v>117.38</v>
      </c>
      <c r="E546" s="3168">
        <v>40.99</v>
      </c>
    </row>
    <row r="547" spans="1:5" ht="14.25">
      <c r="A547" s="3168">
        <v>546</v>
      </c>
      <c r="B547" s="3168" t="s">
        <v>3533</v>
      </c>
      <c r="C547" s="3168" t="s">
        <v>3502</v>
      </c>
      <c r="D547" s="3168">
        <v>117.72</v>
      </c>
      <c r="E547" s="3168">
        <v>41.11</v>
      </c>
    </row>
    <row r="548" spans="1:5" ht="14.25">
      <c r="A548" s="3168">
        <v>547</v>
      </c>
      <c r="B548" s="3168" t="s">
        <v>3533</v>
      </c>
      <c r="C548" s="3168" t="s">
        <v>3436</v>
      </c>
      <c r="D548" s="3168">
        <v>117.38</v>
      </c>
      <c r="E548" s="3168">
        <v>40.99</v>
      </c>
    </row>
    <row r="549" spans="1:5" ht="14.25">
      <c r="A549" s="3168">
        <v>548</v>
      </c>
      <c r="B549" s="3168" t="s">
        <v>3533</v>
      </c>
      <c r="C549" s="3168" t="s">
        <v>3437</v>
      </c>
      <c r="D549" s="3168">
        <v>117.72</v>
      </c>
      <c r="E549" s="3168">
        <v>41.11</v>
      </c>
    </row>
    <row r="550" spans="1:5" ht="14.25">
      <c r="A550" s="3168">
        <v>549</v>
      </c>
      <c r="B550" s="3168" t="s">
        <v>3533</v>
      </c>
      <c r="C550" s="3168" t="s">
        <v>3503</v>
      </c>
      <c r="D550" s="3168">
        <v>117.38</v>
      </c>
      <c r="E550" s="3168">
        <v>40.99</v>
      </c>
    </row>
    <row r="551" spans="1:5" ht="14.25">
      <c r="A551" s="3168">
        <v>550</v>
      </c>
      <c r="B551" s="3168" t="s">
        <v>3533</v>
      </c>
      <c r="C551" s="3168" t="s">
        <v>3438</v>
      </c>
      <c r="D551" s="3168">
        <v>117.72</v>
      </c>
      <c r="E551" s="3168">
        <v>41.11</v>
      </c>
    </row>
    <row r="552" spans="1:5" ht="14.25">
      <c r="A552" s="3168">
        <v>551</v>
      </c>
      <c r="B552" s="3168" t="s">
        <v>3533</v>
      </c>
      <c r="C552" s="3168" t="s">
        <v>3449</v>
      </c>
      <c r="D552" s="3168">
        <v>117.38</v>
      </c>
      <c r="E552" s="3168">
        <v>40.99</v>
      </c>
    </row>
    <row r="553" spans="1:5" ht="14.25">
      <c r="A553" s="3168">
        <v>552</v>
      </c>
      <c r="B553" s="3168" t="s">
        <v>3533</v>
      </c>
      <c r="C553" s="3168" t="s">
        <v>3439</v>
      </c>
      <c r="D553" s="3168">
        <v>117.72</v>
      </c>
      <c r="E553" s="3168">
        <v>41.11</v>
      </c>
    </row>
    <row r="554" spans="1:5" ht="14.25">
      <c r="A554" s="3168">
        <v>553</v>
      </c>
      <c r="B554" s="3168" t="s">
        <v>3533</v>
      </c>
      <c r="C554" s="3168" t="s">
        <v>3504</v>
      </c>
      <c r="D554" s="3168">
        <v>117.38</v>
      </c>
      <c r="E554" s="3168">
        <v>40.99</v>
      </c>
    </row>
    <row r="555" spans="1:5" ht="14.25">
      <c r="A555" s="3168">
        <v>554</v>
      </c>
      <c r="B555" s="3168" t="s">
        <v>3533</v>
      </c>
      <c r="C555" s="3168" t="s">
        <v>3440</v>
      </c>
      <c r="D555" s="3168">
        <v>117.72</v>
      </c>
      <c r="E555" s="3168">
        <v>41.11</v>
      </c>
    </row>
    <row r="556" spans="1:5" ht="14.25">
      <c r="A556" s="3168">
        <v>555</v>
      </c>
      <c r="B556" s="3168" t="s">
        <v>3533</v>
      </c>
      <c r="C556" s="3168" t="s">
        <v>3473</v>
      </c>
      <c r="D556" s="3168">
        <v>117.72</v>
      </c>
      <c r="E556" s="3168">
        <v>41.11</v>
      </c>
    </row>
    <row r="557" spans="1:5" ht="14.25">
      <c r="A557" s="3168">
        <v>556</v>
      </c>
      <c r="B557" s="3168" t="s">
        <v>3533</v>
      </c>
      <c r="C557" s="3168" t="s">
        <v>3505</v>
      </c>
      <c r="D557" s="3168">
        <v>117.72</v>
      </c>
      <c r="E557" s="3168">
        <v>41.11</v>
      </c>
    </row>
    <row r="558" spans="1:5" ht="14.25">
      <c r="A558" s="3168">
        <v>557</v>
      </c>
      <c r="B558" s="3168" t="s">
        <v>3533</v>
      </c>
      <c r="C558" s="3168" t="s">
        <v>3506</v>
      </c>
      <c r="D558" s="3168">
        <v>117.72</v>
      </c>
      <c r="E558" s="3168">
        <v>41.11</v>
      </c>
    </row>
    <row r="559" spans="1:5" ht="14.25">
      <c r="A559" s="3168">
        <v>558</v>
      </c>
      <c r="B559" s="3168" t="s">
        <v>3533</v>
      </c>
      <c r="C559" s="3168" t="s">
        <v>3507</v>
      </c>
      <c r="D559" s="3168">
        <v>117.72</v>
      </c>
      <c r="E559" s="3168">
        <v>41.11</v>
      </c>
    </row>
    <row r="560" spans="1:5" ht="14.25">
      <c r="A560" s="3168">
        <v>559</v>
      </c>
      <c r="B560" s="3168" t="s">
        <v>3533</v>
      </c>
      <c r="C560" s="3168" t="s">
        <v>3508</v>
      </c>
      <c r="D560" s="3168">
        <v>117.72</v>
      </c>
      <c r="E560" s="3168">
        <v>41.11</v>
      </c>
    </row>
    <row r="561" spans="1:5" ht="14.25">
      <c r="A561" s="3168">
        <v>560</v>
      </c>
      <c r="B561" s="3168" t="s">
        <v>3533</v>
      </c>
      <c r="C561" s="3168" t="s">
        <v>3509</v>
      </c>
      <c r="D561" s="3168">
        <v>117.72</v>
      </c>
      <c r="E561" s="3168">
        <v>41.11</v>
      </c>
    </row>
    <row r="562" spans="1:5" ht="14.25">
      <c r="A562" s="3168">
        <v>561</v>
      </c>
      <c r="B562" s="3168" t="s">
        <v>3533</v>
      </c>
      <c r="C562" s="3168">
        <v>-101</v>
      </c>
      <c r="D562" s="3168">
        <v>14.07</v>
      </c>
      <c r="E562" s="3168">
        <v>4.91</v>
      </c>
    </row>
    <row r="563" spans="1:5" ht="14.25">
      <c r="A563" s="3168">
        <v>562</v>
      </c>
      <c r="B563" s="3168" t="s">
        <v>3533</v>
      </c>
      <c r="C563" s="3168">
        <v>-102</v>
      </c>
      <c r="D563" s="3168">
        <v>6.59</v>
      </c>
      <c r="E563" s="3168">
        <v>2.2999999999999998</v>
      </c>
    </row>
    <row r="564" spans="1:5" ht="14.25">
      <c r="A564" s="3168">
        <v>563</v>
      </c>
      <c r="B564" s="3168" t="s">
        <v>3533</v>
      </c>
      <c r="C564" s="3168">
        <v>-103</v>
      </c>
      <c r="D564" s="3168">
        <v>7.92</v>
      </c>
      <c r="E564" s="3168">
        <v>2.77</v>
      </c>
    </row>
    <row r="565" spans="1:5" ht="14.25">
      <c r="A565" s="3168">
        <v>564</v>
      </c>
      <c r="B565" s="3168" t="s">
        <v>3533</v>
      </c>
      <c r="C565" s="3168">
        <v>-104</v>
      </c>
      <c r="D565" s="3168">
        <v>6.87</v>
      </c>
      <c r="E565" s="3168">
        <v>2.4</v>
      </c>
    </row>
    <row r="566" spans="1:5" ht="14.25">
      <c r="A566" s="3168">
        <v>565</v>
      </c>
      <c r="B566" s="3168" t="s">
        <v>3533</v>
      </c>
      <c r="C566" s="3168">
        <v>-105</v>
      </c>
      <c r="D566" s="3168">
        <v>7.68</v>
      </c>
      <c r="E566" s="3168">
        <v>2.68</v>
      </c>
    </row>
    <row r="567" spans="1:5" ht="14.25">
      <c r="A567" s="3168">
        <v>566</v>
      </c>
      <c r="B567" s="3168" t="s">
        <v>3533</v>
      </c>
      <c r="C567" s="3168">
        <v>-106</v>
      </c>
      <c r="D567" s="3168">
        <v>11.22</v>
      </c>
      <c r="E567" s="3168">
        <v>3.92</v>
      </c>
    </row>
    <row r="568" spans="1:5" ht="14.25">
      <c r="A568" s="3168">
        <v>567</v>
      </c>
      <c r="B568" s="3168" t="s">
        <v>3533</v>
      </c>
      <c r="C568" s="3168">
        <v>-107</v>
      </c>
      <c r="D568" s="3168">
        <v>10.63</v>
      </c>
      <c r="E568" s="3168">
        <v>3.71</v>
      </c>
    </row>
    <row r="569" spans="1:5" ht="14.25">
      <c r="A569" s="3168">
        <v>568</v>
      </c>
      <c r="B569" s="3168" t="s">
        <v>3533</v>
      </c>
      <c r="C569" s="3168">
        <v>-108</v>
      </c>
      <c r="D569" s="3168">
        <v>11.81</v>
      </c>
      <c r="E569" s="3168">
        <v>4.12</v>
      </c>
    </row>
    <row r="570" spans="1:5" ht="14.25">
      <c r="A570" s="3168">
        <v>569</v>
      </c>
      <c r="B570" s="3168" t="s">
        <v>3533</v>
      </c>
      <c r="C570" s="3168">
        <v>-109</v>
      </c>
      <c r="D570" s="3168">
        <v>8.57</v>
      </c>
      <c r="E570" s="3168">
        <v>2.99</v>
      </c>
    </row>
    <row r="571" spans="1:5" ht="14.25">
      <c r="A571" s="3168">
        <v>570</v>
      </c>
      <c r="B571" s="3168" t="s">
        <v>3533</v>
      </c>
      <c r="C571" s="3168">
        <v>-110</v>
      </c>
      <c r="D571" s="3168">
        <v>8.57</v>
      </c>
      <c r="E571" s="3168">
        <v>2.99</v>
      </c>
    </row>
    <row r="572" spans="1:5" ht="14.25">
      <c r="A572" s="3168">
        <v>571</v>
      </c>
      <c r="B572" s="3168" t="s">
        <v>3533</v>
      </c>
      <c r="C572" s="3168">
        <v>-111</v>
      </c>
      <c r="D572" s="3168">
        <v>11.81</v>
      </c>
      <c r="E572" s="3168">
        <v>4.12</v>
      </c>
    </row>
    <row r="573" spans="1:5" ht="14.25">
      <c r="A573" s="3168">
        <v>572</v>
      </c>
      <c r="B573" s="3168" t="s">
        <v>3533</v>
      </c>
      <c r="C573" s="3168">
        <v>-112</v>
      </c>
      <c r="D573" s="3168">
        <v>11.07</v>
      </c>
      <c r="E573" s="3168">
        <v>3.87</v>
      </c>
    </row>
    <row r="574" spans="1:5" ht="14.25">
      <c r="A574" s="3168">
        <v>573</v>
      </c>
      <c r="B574" s="3168" t="s">
        <v>3533</v>
      </c>
      <c r="C574" s="3168">
        <v>-113</v>
      </c>
      <c r="D574" s="3168">
        <v>11.07</v>
      </c>
      <c r="E574" s="3168">
        <v>3.87</v>
      </c>
    </row>
    <row r="575" spans="1:5" ht="14.25">
      <c r="A575" s="3168">
        <v>574</v>
      </c>
      <c r="B575" s="3168" t="s">
        <v>3533</v>
      </c>
      <c r="C575" s="3168">
        <v>-114</v>
      </c>
      <c r="D575" s="3168">
        <v>11.81</v>
      </c>
      <c r="E575" s="3168">
        <v>4.12</v>
      </c>
    </row>
    <row r="576" spans="1:5" ht="14.25">
      <c r="A576" s="3168">
        <v>575</v>
      </c>
      <c r="B576" s="3168" t="s">
        <v>3533</v>
      </c>
      <c r="C576" s="3168">
        <v>-115</v>
      </c>
      <c r="D576" s="3168">
        <v>8.57</v>
      </c>
      <c r="E576" s="3168">
        <v>2.99</v>
      </c>
    </row>
    <row r="577" spans="1:5" ht="14.25">
      <c r="A577" s="3168">
        <v>576</v>
      </c>
      <c r="B577" s="3168" t="s">
        <v>3533</v>
      </c>
      <c r="C577" s="3168">
        <v>-116</v>
      </c>
      <c r="D577" s="3168">
        <v>8.7100000000000009</v>
      </c>
      <c r="E577" s="3168">
        <v>3.04</v>
      </c>
    </row>
    <row r="578" spans="1:5" ht="14.25">
      <c r="A578" s="3168">
        <v>577</v>
      </c>
      <c r="B578" s="3168" t="s">
        <v>3533</v>
      </c>
      <c r="C578" s="3168">
        <v>-117</v>
      </c>
      <c r="D578" s="3168">
        <v>8.3800000000000008</v>
      </c>
      <c r="E578" s="3168">
        <v>2.93</v>
      </c>
    </row>
    <row r="579" spans="1:5" ht="14.25">
      <c r="A579" s="3168">
        <v>578</v>
      </c>
      <c r="B579" s="3168" t="s">
        <v>3533</v>
      </c>
      <c r="C579" s="3168">
        <v>-118</v>
      </c>
      <c r="D579" s="3168">
        <v>17.55</v>
      </c>
      <c r="E579" s="3168">
        <v>6.13</v>
      </c>
    </row>
    <row r="580" spans="1:5" ht="14.25">
      <c r="A580" s="3168">
        <v>579</v>
      </c>
      <c r="B580" s="3168" t="s">
        <v>3533</v>
      </c>
      <c r="C580" s="3168">
        <v>-119</v>
      </c>
      <c r="D580" s="3168">
        <v>17.55</v>
      </c>
      <c r="E580" s="3168">
        <v>6.13</v>
      </c>
    </row>
    <row r="581" spans="1:5" ht="14.25">
      <c r="A581" s="3168">
        <v>580</v>
      </c>
      <c r="B581" s="3168" t="s">
        <v>3533</v>
      </c>
      <c r="C581" s="3168">
        <v>-120</v>
      </c>
      <c r="D581" s="3168">
        <v>8.3800000000000008</v>
      </c>
      <c r="E581" s="3168">
        <v>2.93</v>
      </c>
    </row>
    <row r="582" spans="1:5" ht="14.25">
      <c r="A582" s="3168">
        <v>581</v>
      </c>
      <c r="B582" s="3168" t="s">
        <v>3533</v>
      </c>
      <c r="C582" s="3168">
        <v>-121</v>
      </c>
      <c r="D582" s="3168">
        <v>6.31</v>
      </c>
      <c r="E582" s="3168">
        <v>2.2000000000000002</v>
      </c>
    </row>
    <row r="583" spans="1:5" ht="14.25">
      <c r="A583" s="3168">
        <v>582</v>
      </c>
      <c r="B583" s="3168" t="s">
        <v>3533</v>
      </c>
      <c r="C583" s="3168">
        <v>-122</v>
      </c>
      <c r="D583" s="3168">
        <v>12.65</v>
      </c>
      <c r="E583" s="3168">
        <v>4.42</v>
      </c>
    </row>
    <row r="584" spans="1:5" ht="14.25">
      <c r="A584" s="3168">
        <v>583</v>
      </c>
      <c r="B584" s="3168" t="s">
        <v>3533</v>
      </c>
      <c r="C584" s="3168">
        <v>-123</v>
      </c>
      <c r="D584" s="3168">
        <v>8.85</v>
      </c>
      <c r="E584" s="3168">
        <v>3.09</v>
      </c>
    </row>
    <row r="585" spans="1:5" ht="14.25">
      <c r="A585" s="3168">
        <v>584</v>
      </c>
      <c r="B585" s="3168" t="s">
        <v>3533</v>
      </c>
      <c r="C585" s="3168">
        <v>-124</v>
      </c>
      <c r="D585" s="3168">
        <v>16.760000000000002</v>
      </c>
      <c r="E585" s="3168">
        <v>5.85</v>
      </c>
    </row>
    <row r="586" spans="1:5" ht="14.25">
      <c r="A586" s="3168">
        <v>585</v>
      </c>
      <c r="B586" s="3168" t="s">
        <v>3533</v>
      </c>
      <c r="C586" s="3168">
        <v>-125</v>
      </c>
      <c r="D586" s="3168">
        <v>6.99</v>
      </c>
      <c r="E586" s="3168">
        <v>2.44</v>
      </c>
    </row>
    <row r="587" spans="1:5" ht="14.25">
      <c r="A587" s="3168">
        <v>586</v>
      </c>
      <c r="B587" s="3168" t="s">
        <v>3533</v>
      </c>
      <c r="C587" s="3168">
        <v>-126</v>
      </c>
      <c r="D587" s="3168">
        <v>6.72</v>
      </c>
      <c r="E587" s="3168">
        <v>2.35</v>
      </c>
    </row>
    <row r="588" spans="1:5" ht="14.25">
      <c r="A588" s="3168">
        <v>587</v>
      </c>
      <c r="B588" s="3168" t="s">
        <v>3533</v>
      </c>
      <c r="C588" s="3168">
        <v>-127</v>
      </c>
      <c r="D588" s="3168">
        <v>6.38</v>
      </c>
      <c r="E588" s="3168">
        <v>2.23</v>
      </c>
    </row>
    <row r="589" spans="1:5" ht="14.25">
      <c r="A589" s="3168">
        <v>588</v>
      </c>
      <c r="B589" s="3168" t="s">
        <v>3533</v>
      </c>
      <c r="C589" s="3168">
        <v>-128</v>
      </c>
      <c r="D589" s="3168">
        <v>6.09</v>
      </c>
      <c r="E589" s="3168">
        <v>2.13</v>
      </c>
    </row>
    <row r="590" spans="1:5" ht="14.25">
      <c r="A590" s="3168">
        <v>589</v>
      </c>
      <c r="B590" s="3168" t="s">
        <v>3533</v>
      </c>
      <c r="C590" s="3168">
        <v>-129</v>
      </c>
      <c r="D590" s="3168">
        <v>8.31</v>
      </c>
      <c r="E590" s="3168">
        <v>2.9</v>
      </c>
    </row>
    <row r="591" spans="1:5" ht="14.25">
      <c r="A591" s="3168">
        <v>590</v>
      </c>
      <c r="B591" s="3168" t="s">
        <v>3533</v>
      </c>
      <c r="C591" s="3168">
        <v>-130</v>
      </c>
      <c r="D591" s="3168">
        <v>6.86</v>
      </c>
      <c r="E591" s="3168">
        <v>2.4</v>
      </c>
    </row>
    <row r="592" spans="1:5" ht="14.25">
      <c r="A592" s="3168">
        <v>591</v>
      </c>
      <c r="B592" s="3168" t="s">
        <v>3534</v>
      </c>
      <c r="C592" s="3168" t="s">
        <v>3451</v>
      </c>
      <c r="D592" s="3168">
        <v>129.72</v>
      </c>
      <c r="E592" s="3168">
        <v>45.3</v>
      </c>
    </row>
    <row r="593" spans="1:5" ht="14.25">
      <c r="A593" s="3168">
        <v>592</v>
      </c>
      <c r="B593" s="3168" t="s">
        <v>3534</v>
      </c>
      <c r="C593" s="3168" t="s">
        <v>3452</v>
      </c>
      <c r="D593" s="3168">
        <v>129.38</v>
      </c>
      <c r="E593" s="3168">
        <v>45.18</v>
      </c>
    </row>
    <row r="594" spans="1:5" ht="14.25">
      <c r="A594" s="3168">
        <v>593</v>
      </c>
      <c r="B594" s="3168" t="s">
        <v>3534</v>
      </c>
      <c r="C594" s="3168" t="s">
        <v>3475</v>
      </c>
      <c r="D594" s="3168">
        <v>129.72</v>
      </c>
      <c r="E594" s="3168">
        <v>45.3</v>
      </c>
    </row>
    <row r="595" spans="1:5" ht="14.25">
      <c r="A595" s="3168">
        <v>594</v>
      </c>
      <c r="B595" s="3168" t="s">
        <v>3534</v>
      </c>
      <c r="C595" s="3168" t="s">
        <v>3476</v>
      </c>
      <c r="D595" s="3168">
        <v>129.38</v>
      </c>
      <c r="E595" s="3168">
        <v>45.18</v>
      </c>
    </row>
    <row r="596" spans="1:5" ht="14.25">
      <c r="A596" s="3168">
        <v>595</v>
      </c>
      <c r="B596" s="3168" t="s">
        <v>3534</v>
      </c>
      <c r="C596" s="3168" t="s">
        <v>3477</v>
      </c>
      <c r="D596" s="3168">
        <v>129.72</v>
      </c>
      <c r="E596" s="3168">
        <v>45.3</v>
      </c>
    </row>
    <row r="597" spans="1:5" ht="14.25">
      <c r="A597" s="3168">
        <v>596</v>
      </c>
      <c r="B597" s="3168" t="s">
        <v>3534</v>
      </c>
      <c r="C597" s="3168" t="s">
        <v>3480</v>
      </c>
      <c r="D597" s="3168">
        <v>129.38</v>
      </c>
      <c r="E597" s="3168">
        <v>45.18</v>
      </c>
    </row>
    <row r="598" spans="1:5" ht="14.25">
      <c r="A598" s="3168">
        <v>597</v>
      </c>
      <c r="B598" s="3168" t="s">
        <v>3534</v>
      </c>
      <c r="C598" s="3168" t="s">
        <v>3442</v>
      </c>
      <c r="D598" s="3168">
        <v>129.72</v>
      </c>
      <c r="E598" s="3168">
        <v>45.3</v>
      </c>
    </row>
    <row r="599" spans="1:5" ht="14.25">
      <c r="A599" s="3168">
        <v>598</v>
      </c>
      <c r="B599" s="3168" t="s">
        <v>3534</v>
      </c>
      <c r="C599" s="3168" t="s">
        <v>3482</v>
      </c>
      <c r="D599" s="3168">
        <v>129.72</v>
      </c>
      <c r="E599" s="3168">
        <v>45.3</v>
      </c>
    </row>
    <row r="600" spans="1:5" ht="14.25">
      <c r="A600" s="3168">
        <v>599</v>
      </c>
      <c r="B600" s="3168" t="s">
        <v>3534</v>
      </c>
      <c r="C600" s="3168" t="s">
        <v>3443</v>
      </c>
      <c r="D600" s="3168">
        <v>129.72</v>
      </c>
      <c r="E600" s="3168">
        <v>45.3</v>
      </c>
    </row>
    <row r="601" spans="1:5" ht="14.25">
      <c r="A601" s="3168">
        <v>600</v>
      </c>
      <c r="B601" s="3168" t="s">
        <v>3534</v>
      </c>
      <c r="C601" s="3168" t="s">
        <v>3484</v>
      </c>
      <c r="D601" s="3168">
        <v>129.38</v>
      </c>
      <c r="E601" s="3168">
        <v>45.18</v>
      </c>
    </row>
    <row r="602" spans="1:5" ht="14.25">
      <c r="A602" s="3168">
        <v>601</v>
      </c>
      <c r="B602" s="3168" t="s">
        <v>3534</v>
      </c>
      <c r="C602" s="3168" t="s">
        <v>3453</v>
      </c>
      <c r="D602" s="3168">
        <v>129.72</v>
      </c>
      <c r="E602" s="3168">
        <v>45.3</v>
      </c>
    </row>
    <row r="603" spans="1:5" ht="14.25">
      <c r="A603" s="3168">
        <v>602</v>
      </c>
      <c r="B603" s="3168" t="s">
        <v>3534</v>
      </c>
      <c r="C603" s="3168" t="s">
        <v>3485</v>
      </c>
      <c r="D603" s="3168">
        <v>129.38</v>
      </c>
      <c r="E603" s="3168">
        <v>45.18</v>
      </c>
    </row>
    <row r="604" spans="1:5" ht="14.25">
      <c r="A604" s="3168">
        <v>603</v>
      </c>
      <c r="B604" s="3168" t="s">
        <v>3534</v>
      </c>
      <c r="C604" s="3168" t="s">
        <v>3486</v>
      </c>
      <c r="D604" s="3168">
        <v>101.76</v>
      </c>
      <c r="E604" s="3168">
        <v>35.53</v>
      </c>
    </row>
    <row r="605" spans="1:5" ht="14.25">
      <c r="A605" s="3168">
        <v>604</v>
      </c>
      <c r="B605" s="3168" t="s">
        <v>3534</v>
      </c>
      <c r="C605" s="3168" t="s">
        <v>3444</v>
      </c>
      <c r="D605" s="3168">
        <v>101.43</v>
      </c>
      <c r="E605" s="3168">
        <v>35.42</v>
      </c>
    </row>
    <row r="606" spans="1:5" ht="14.25">
      <c r="A606" s="3168">
        <v>605</v>
      </c>
      <c r="B606" s="3168" t="s">
        <v>3534</v>
      </c>
      <c r="C606" s="3168" t="s">
        <v>3429</v>
      </c>
      <c r="D606" s="3168">
        <v>117.08</v>
      </c>
      <c r="E606" s="3168">
        <v>40.880000000000003</v>
      </c>
    </row>
    <row r="607" spans="1:5" ht="14.25">
      <c r="A607" s="3168">
        <v>606</v>
      </c>
      <c r="B607" s="3168" t="s">
        <v>3534</v>
      </c>
      <c r="C607" s="3168" t="s">
        <v>3462</v>
      </c>
      <c r="D607" s="3168">
        <v>117.08</v>
      </c>
      <c r="E607" s="3168">
        <v>40.880000000000003</v>
      </c>
    </row>
    <row r="608" spans="1:5" ht="14.25">
      <c r="A608" s="3168">
        <v>607</v>
      </c>
      <c r="B608" s="3168" t="s">
        <v>3534</v>
      </c>
      <c r="C608" s="3168" t="s">
        <v>3463</v>
      </c>
      <c r="D608" s="3168">
        <v>117.08</v>
      </c>
      <c r="E608" s="3168">
        <v>40.880000000000003</v>
      </c>
    </row>
    <row r="609" spans="1:5" ht="14.25">
      <c r="A609" s="3168">
        <v>608</v>
      </c>
      <c r="B609" s="3168" t="s">
        <v>3534</v>
      </c>
      <c r="C609" s="3168" t="s">
        <v>3464</v>
      </c>
      <c r="D609" s="3168">
        <v>117.08</v>
      </c>
      <c r="E609" s="3168">
        <v>40.880000000000003</v>
      </c>
    </row>
    <row r="610" spans="1:5" ht="14.25">
      <c r="A610" s="3168">
        <v>609</v>
      </c>
      <c r="B610" s="3168" t="s">
        <v>3534</v>
      </c>
      <c r="C610" s="3168" t="s">
        <v>3488</v>
      </c>
      <c r="D610" s="3168">
        <v>117.08</v>
      </c>
      <c r="E610" s="3168">
        <v>40.880000000000003</v>
      </c>
    </row>
    <row r="611" spans="1:5" ht="14.25">
      <c r="A611" s="3168">
        <v>610</v>
      </c>
      <c r="B611" s="3168" t="s">
        <v>3534</v>
      </c>
      <c r="C611" s="3168" t="s">
        <v>3519</v>
      </c>
      <c r="D611" s="3168">
        <v>117.08</v>
      </c>
      <c r="E611" s="3168">
        <v>40.880000000000003</v>
      </c>
    </row>
    <row r="612" spans="1:5" ht="14.25">
      <c r="A612" s="3168">
        <v>611</v>
      </c>
      <c r="B612" s="3168" t="s">
        <v>3534</v>
      </c>
      <c r="C612" s="3168" t="s">
        <v>3490</v>
      </c>
      <c r="D612" s="3168">
        <v>117.08</v>
      </c>
      <c r="E612" s="3168">
        <v>40.880000000000003</v>
      </c>
    </row>
    <row r="613" spans="1:5" ht="14.25">
      <c r="A613" s="3168">
        <v>612</v>
      </c>
      <c r="B613" s="3168" t="s">
        <v>3534</v>
      </c>
      <c r="C613" s="3168" t="s">
        <v>3491</v>
      </c>
      <c r="D613" s="3168">
        <v>117.08</v>
      </c>
      <c r="E613" s="3168">
        <v>40.880000000000003</v>
      </c>
    </row>
    <row r="614" spans="1:5" ht="14.25">
      <c r="A614" s="3168">
        <v>613</v>
      </c>
      <c r="B614" s="3168" t="s">
        <v>3534</v>
      </c>
      <c r="C614" s="3168" t="s">
        <v>3495</v>
      </c>
      <c r="D614" s="3168">
        <v>117.08</v>
      </c>
      <c r="E614" s="3168">
        <v>40.880000000000003</v>
      </c>
    </row>
    <row r="615" spans="1:5" ht="14.25">
      <c r="A615" s="3168">
        <v>614</v>
      </c>
      <c r="B615" s="3168" t="s">
        <v>3534</v>
      </c>
      <c r="C615" s="3168" t="s">
        <v>3496</v>
      </c>
      <c r="D615" s="3168">
        <v>117.08</v>
      </c>
      <c r="E615" s="3168">
        <v>40.880000000000003</v>
      </c>
    </row>
    <row r="616" spans="1:5" ht="14.25">
      <c r="A616" s="3168">
        <v>615</v>
      </c>
      <c r="B616" s="3168" t="s">
        <v>3534</v>
      </c>
      <c r="C616" s="3168" t="s">
        <v>3446</v>
      </c>
      <c r="D616" s="3168">
        <v>117.08</v>
      </c>
      <c r="E616" s="3168">
        <v>40.880000000000003</v>
      </c>
    </row>
    <row r="617" spans="1:5" ht="14.25">
      <c r="A617" s="3168">
        <v>616</v>
      </c>
      <c r="B617" s="3168" t="s">
        <v>3534</v>
      </c>
      <c r="C617" s="3168" t="s">
        <v>3497</v>
      </c>
      <c r="D617" s="3168">
        <v>80.13</v>
      </c>
      <c r="E617" s="3168">
        <v>27.98</v>
      </c>
    </row>
    <row r="618" spans="1:5" ht="14.25">
      <c r="A618" s="3168">
        <v>617</v>
      </c>
      <c r="B618" s="3168" t="s">
        <v>3534</v>
      </c>
      <c r="C618" s="3168" t="s">
        <v>3447</v>
      </c>
      <c r="D618" s="3168">
        <v>117.4</v>
      </c>
      <c r="E618" s="3168">
        <v>40.99</v>
      </c>
    </row>
    <row r="619" spans="1:5" ht="14.25">
      <c r="A619" s="3168">
        <v>618</v>
      </c>
      <c r="B619" s="3168" t="s">
        <v>3534</v>
      </c>
      <c r="C619" s="3168" t="s">
        <v>3498</v>
      </c>
      <c r="D619" s="3168">
        <v>117.74</v>
      </c>
      <c r="E619" s="3168">
        <v>41.11</v>
      </c>
    </row>
    <row r="620" spans="1:5" ht="14.25">
      <c r="A620" s="3168">
        <v>619</v>
      </c>
      <c r="B620" s="3168" t="s">
        <v>3534</v>
      </c>
      <c r="C620" s="3168" t="s">
        <v>3435</v>
      </c>
      <c r="D620" s="3168">
        <v>117.4</v>
      </c>
      <c r="E620" s="3168">
        <v>40.99</v>
      </c>
    </row>
    <row r="621" spans="1:5" ht="14.25">
      <c r="A621" s="3168">
        <v>620</v>
      </c>
      <c r="B621" s="3168" t="s">
        <v>3534</v>
      </c>
      <c r="C621" s="3168" t="s">
        <v>3499</v>
      </c>
      <c r="D621" s="3168">
        <v>117.74</v>
      </c>
      <c r="E621" s="3168">
        <v>41.11</v>
      </c>
    </row>
    <row r="622" spans="1:5" ht="14.25">
      <c r="A622" s="3168">
        <v>621</v>
      </c>
      <c r="B622" s="3168" t="s">
        <v>3534</v>
      </c>
      <c r="C622" s="3168" t="s">
        <v>3500</v>
      </c>
      <c r="D622" s="3168">
        <v>117.4</v>
      </c>
      <c r="E622" s="3168">
        <v>40.99</v>
      </c>
    </row>
    <row r="623" spans="1:5" ht="14.25">
      <c r="A623" s="3168">
        <v>622</v>
      </c>
      <c r="B623" s="3168" t="s">
        <v>3534</v>
      </c>
      <c r="C623" s="3168" t="s">
        <v>3448</v>
      </c>
      <c r="D623" s="3168">
        <v>117.74</v>
      </c>
      <c r="E623" s="3168">
        <v>41.11</v>
      </c>
    </row>
    <row r="624" spans="1:5" ht="14.25">
      <c r="A624" s="3168">
        <v>623</v>
      </c>
      <c r="B624" s="3168" t="s">
        <v>3534</v>
      </c>
      <c r="C624" s="3168" t="s">
        <v>3501</v>
      </c>
      <c r="D624" s="3168">
        <v>117.4</v>
      </c>
      <c r="E624" s="3168">
        <v>40.99</v>
      </c>
    </row>
    <row r="625" spans="1:5" ht="14.25">
      <c r="A625" s="3168">
        <v>624</v>
      </c>
      <c r="B625" s="3168" t="s">
        <v>3534</v>
      </c>
      <c r="C625" s="3168" t="s">
        <v>3502</v>
      </c>
      <c r="D625" s="3168">
        <v>117.74</v>
      </c>
      <c r="E625" s="3168">
        <v>41.11</v>
      </c>
    </row>
    <row r="626" spans="1:5" ht="14.25">
      <c r="A626" s="3168">
        <v>625</v>
      </c>
      <c r="B626" s="3168" t="s">
        <v>3534</v>
      </c>
      <c r="C626" s="3168" t="s">
        <v>3437</v>
      </c>
      <c r="D626" s="3168">
        <v>117.74</v>
      </c>
      <c r="E626" s="3168">
        <v>41.11</v>
      </c>
    </row>
    <row r="627" spans="1:5" ht="14.25">
      <c r="A627" s="3168">
        <v>626</v>
      </c>
      <c r="B627" s="3168" t="s">
        <v>3534</v>
      </c>
      <c r="C627" s="3168" t="s">
        <v>3503</v>
      </c>
      <c r="D627" s="3168">
        <v>117.4</v>
      </c>
      <c r="E627" s="3168">
        <v>40.99</v>
      </c>
    </row>
    <row r="628" spans="1:5" ht="14.25">
      <c r="A628" s="3168">
        <v>627</v>
      </c>
      <c r="B628" s="3168" t="s">
        <v>3534</v>
      </c>
      <c r="C628" s="3168" t="s">
        <v>3438</v>
      </c>
      <c r="D628" s="3168">
        <v>117.74</v>
      </c>
      <c r="E628" s="3168">
        <v>41.11</v>
      </c>
    </row>
    <row r="629" spans="1:5" ht="14.25">
      <c r="A629" s="3168">
        <v>628</v>
      </c>
      <c r="B629" s="3168" t="s">
        <v>3534</v>
      </c>
      <c r="C629" s="3168" t="s">
        <v>3449</v>
      </c>
      <c r="D629" s="3168">
        <v>117.4</v>
      </c>
      <c r="E629" s="3168">
        <v>40.99</v>
      </c>
    </row>
    <row r="630" spans="1:5" ht="14.25">
      <c r="A630" s="3168">
        <v>629</v>
      </c>
      <c r="B630" s="3168" t="s">
        <v>3534</v>
      </c>
      <c r="C630" s="3168" t="s">
        <v>3439</v>
      </c>
      <c r="D630" s="3168">
        <v>117.74</v>
      </c>
      <c r="E630" s="3168">
        <v>41.11</v>
      </c>
    </row>
    <row r="631" spans="1:5" ht="14.25">
      <c r="A631" s="3168">
        <v>630</v>
      </c>
      <c r="B631" s="3168" t="s">
        <v>3534</v>
      </c>
      <c r="C631" s="3168" t="s">
        <v>3504</v>
      </c>
      <c r="D631" s="3168">
        <v>117.4</v>
      </c>
      <c r="E631" s="3168">
        <v>40.99</v>
      </c>
    </row>
    <row r="632" spans="1:5" ht="14.25">
      <c r="A632" s="3168">
        <v>631</v>
      </c>
      <c r="B632" s="3168" t="s">
        <v>3534</v>
      </c>
      <c r="C632" s="3168" t="s">
        <v>3440</v>
      </c>
      <c r="D632" s="3168">
        <v>117.74</v>
      </c>
      <c r="E632" s="3168">
        <v>41.11</v>
      </c>
    </row>
    <row r="633" spans="1:5" ht="14.25">
      <c r="A633" s="3168">
        <v>632</v>
      </c>
      <c r="B633" s="3168" t="s">
        <v>3534</v>
      </c>
      <c r="C633" s="3168" t="s">
        <v>3473</v>
      </c>
      <c r="D633" s="3168">
        <v>117.4</v>
      </c>
      <c r="E633" s="3168">
        <v>40.99</v>
      </c>
    </row>
    <row r="634" spans="1:5" ht="14.25">
      <c r="A634" s="3168">
        <v>633</v>
      </c>
      <c r="B634" s="3168" t="s">
        <v>3534</v>
      </c>
      <c r="C634" s="3168" t="s">
        <v>3505</v>
      </c>
      <c r="D634" s="3168">
        <v>117.74</v>
      </c>
      <c r="E634" s="3168">
        <v>41.11</v>
      </c>
    </row>
    <row r="635" spans="1:5" ht="14.25">
      <c r="A635" s="3168">
        <v>634</v>
      </c>
      <c r="B635" s="3168" t="s">
        <v>3534</v>
      </c>
      <c r="C635" s="3168" t="s">
        <v>3506</v>
      </c>
      <c r="D635" s="3168">
        <v>117.74</v>
      </c>
      <c r="E635" s="3168">
        <v>41.11</v>
      </c>
    </row>
    <row r="636" spans="1:5" ht="14.25">
      <c r="A636" s="3168">
        <v>635</v>
      </c>
      <c r="B636" s="3168" t="s">
        <v>3534</v>
      </c>
      <c r="C636" s="3168" t="s">
        <v>3507</v>
      </c>
      <c r="D636" s="3168">
        <v>117.74</v>
      </c>
      <c r="E636" s="3168">
        <v>41.11</v>
      </c>
    </row>
    <row r="637" spans="1:5" ht="14.25">
      <c r="A637" s="3168">
        <v>636</v>
      </c>
      <c r="B637" s="3168" t="s">
        <v>3534</v>
      </c>
      <c r="C637" s="3168" t="s">
        <v>3508</v>
      </c>
      <c r="D637" s="3168">
        <v>117.74</v>
      </c>
      <c r="E637" s="3168">
        <v>41.11</v>
      </c>
    </row>
    <row r="638" spans="1:5" ht="14.25">
      <c r="A638" s="3168">
        <v>637</v>
      </c>
      <c r="B638" s="3168" t="s">
        <v>3534</v>
      </c>
      <c r="C638" s="3168" t="s">
        <v>3509</v>
      </c>
      <c r="D638" s="3168">
        <v>117.74</v>
      </c>
      <c r="E638" s="3168">
        <v>41.11</v>
      </c>
    </row>
    <row r="639" spans="1:5" ht="14.25">
      <c r="A639" s="3168">
        <v>638</v>
      </c>
      <c r="B639" s="3168" t="s">
        <v>3534</v>
      </c>
      <c r="C639" s="3168">
        <v>-101</v>
      </c>
      <c r="D639" s="3168">
        <v>13.98</v>
      </c>
      <c r="E639" s="3168">
        <v>4.88</v>
      </c>
    </row>
    <row r="640" spans="1:5" ht="14.25">
      <c r="A640" s="3168">
        <v>639</v>
      </c>
      <c r="B640" s="3168" t="s">
        <v>3534</v>
      </c>
      <c r="C640" s="3168">
        <v>-102</v>
      </c>
      <c r="D640" s="3168">
        <v>6.57</v>
      </c>
      <c r="E640" s="3168">
        <v>2.29</v>
      </c>
    </row>
    <row r="641" spans="1:5" ht="14.25">
      <c r="A641" s="3168">
        <v>640</v>
      </c>
      <c r="B641" s="3168" t="s">
        <v>3534</v>
      </c>
      <c r="C641" s="3168">
        <v>-103</v>
      </c>
      <c r="D641" s="3168">
        <v>6.84</v>
      </c>
      <c r="E641" s="3168">
        <v>2.39</v>
      </c>
    </row>
    <row r="642" spans="1:5" ht="14.25">
      <c r="A642" s="3168">
        <v>641</v>
      </c>
      <c r="B642" s="3168" t="s">
        <v>3534</v>
      </c>
      <c r="C642" s="3168">
        <v>-104</v>
      </c>
      <c r="D642" s="3168">
        <v>7.66</v>
      </c>
      <c r="E642" s="3168">
        <v>2.67</v>
      </c>
    </row>
    <row r="643" spans="1:5" ht="14.25">
      <c r="A643" s="3168">
        <v>642</v>
      </c>
      <c r="B643" s="3168" t="s">
        <v>3534</v>
      </c>
      <c r="C643" s="3168">
        <v>-105</v>
      </c>
      <c r="D643" s="3168">
        <v>7.66</v>
      </c>
      <c r="E643" s="3168">
        <v>2.67</v>
      </c>
    </row>
    <row r="644" spans="1:5" ht="14.25">
      <c r="A644" s="3168">
        <v>643</v>
      </c>
      <c r="B644" s="3168" t="s">
        <v>3534</v>
      </c>
      <c r="C644" s="3168">
        <v>-106</v>
      </c>
      <c r="D644" s="3168">
        <v>11.19</v>
      </c>
      <c r="E644" s="3168">
        <v>3.91</v>
      </c>
    </row>
    <row r="645" spans="1:5" ht="14.25">
      <c r="A645" s="3168">
        <v>644</v>
      </c>
      <c r="B645" s="3168" t="s">
        <v>3534</v>
      </c>
      <c r="C645" s="3168">
        <v>-107</v>
      </c>
      <c r="D645" s="3168">
        <v>10.6</v>
      </c>
      <c r="E645" s="3168">
        <v>3.7</v>
      </c>
    </row>
    <row r="646" spans="1:5" ht="14.25">
      <c r="A646" s="3168">
        <v>645</v>
      </c>
      <c r="B646" s="3168" t="s">
        <v>3534</v>
      </c>
      <c r="C646" s="3168">
        <v>-108</v>
      </c>
      <c r="D646" s="3168">
        <v>11.78</v>
      </c>
      <c r="E646" s="3168">
        <v>4.1100000000000003</v>
      </c>
    </row>
    <row r="647" spans="1:5" ht="14.25">
      <c r="A647" s="3168">
        <v>646</v>
      </c>
      <c r="B647" s="3168" t="s">
        <v>3534</v>
      </c>
      <c r="C647" s="3168">
        <v>-109</v>
      </c>
      <c r="D647" s="3168">
        <v>8.5399999999999991</v>
      </c>
      <c r="E647" s="3168">
        <v>2.98</v>
      </c>
    </row>
    <row r="648" spans="1:5" ht="14.25">
      <c r="A648" s="3168">
        <v>647</v>
      </c>
      <c r="B648" s="3168" t="s">
        <v>3534</v>
      </c>
      <c r="C648" s="3168">
        <v>-110</v>
      </c>
      <c r="D648" s="3168">
        <v>8.5399999999999991</v>
      </c>
      <c r="E648" s="3168">
        <v>2.98</v>
      </c>
    </row>
    <row r="649" spans="1:5" ht="14.25">
      <c r="A649" s="3168">
        <v>648</v>
      </c>
      <c r="B649" s="3168" t="s">
        <v>3534</v>
      </c>
      <c r="C649" s="3168">
        <v>-111</v>
      </c>
      <c r="D649" s="3168">
        <v>11.78</v>
      </c>
      <c r="E649" s="3168">
        <v>4.1100000000000003</v>
      </c>
    </row>
    <row r="650" spans="1:5" ht="14.25">
      <c r="A650" s="3168">
        <v>649</v>
      </c>
      <c r="B650" s="3168" t="s">
        <v>3534</v>
      </c>
      <c r="C650" s="3168">
        <v>-112</v>
      </c>
      <c r="D650" s="3168">
        <v>11.04</v>
      </c>
      <c r="E650" s="3168">
        <v>3.86</v>
      </c>
    </row>
    <row r="651" spans="1:5" ht="14.25">
      <c r="A651" s="3168">
        <v>650</v>
      </c>
      <c r="B651" s="3168" t="s">
        <v>3534</v>
      </c>
      <c r="C651" s="3168">
        <v>-113</v>
      </c>
      <c r="D651" s="3168">
        <v>8.3000000000000007</v>
      </c>
      <c r="E651" s="3168">
        <v>2.9</v>
      </c>
    </row>
    <row r="652" spans="1:5" ht="14.25">
      <c r="A652" s="3168">
        <v>651</v>
      </c>
      <c r="B652" s="3168" t="s">
        <v>3534</v>
      </c>
      <c r="C652" s="3168">
        <v>-114</v>
      </c>
      <c r="D652" s="3168">
        <v>13.6</v>
      </c>
      <c r="E652" s="3168">
        <v>4.75</v>
      </c>
    </row>
    <row r="653" spans="1:5" ht="14.25">
      <c r="A653" s="3168">
        <v>652</v>
      </c>
      <c r="B653" s="3168" t="s">
        <v>3534</v>
      </c>
      <c r="C653" s="3168">
        <v>-115</v>
      </c>
      <c r="D653" s="3168">
        <v>13.6</v>
      </c>
      <c r="E653" s="3168">
        <v>4.75</v>
      </c>
    </row>
    <row r="654" spans="1:5" ht="14.25">
      <c r="A654" s="3168">
        <v>653</v>
      </c>
      <c r="B654" s="3168" t="s">
        <v>3534</v>
      </c>
      <c r="C654" s="3168">
        <v>-116</v>
      </c>
      <c r="D654" s="3168">
        <v>6.62</v>
      </c>
      <c r="E654" s="3168">
        <v>2.31</v>
      </c>
    </row>
    <row r="655" spans="1:5" ht="14.25">
      <c r="A655" s="3168">
        <v>654</v>
      </c>
      <c r="B655" s="3168" t="s">
        <v>3534</v>
      </c>
      <c r="C655" s="3168">
        <v>-117</v>
      </c>
      <c r="D655" s="3168">
        <v>8.3000000000000007</v>
      </c>
      <c r="E655" s="3168">
        <v>2.9</v>
      </c>
    </row>
    <row r="656" spans="1:5" ht="14.25">
      <c r="A656" s="3168">
        <v>655</v>
      </c>
      <c r="B656" s="3168" t="s">
        <v>3534</v>
      </c>
      <c r="C656" s="3168">
        <v>-118</v>
      </c>
      <c r="D656" s="3168">
        <v>6.29</v>
      </c>
      <c r="E656" s="3168">
        <v>2.2000000000000002</v>
      </c>
    </row>
    <row r="657" spans="1:5" ht="14.25">
      <c r="A657" s="3168">
        <v>656</v>
      </c>
      <c r="B657" s="3168" t="s">
        <v>3534</v>
      </c>
      <c r="C657" s="3168">
        <v>-119</v>
      </c>
      <c r="D657" s="3168">
        <v>12.56</v>
      </c>
      <c r="E657" s="3168">
        <v>4.3899999999999997</v>
      </c>
    </row>
    <row r="658" spans="1:5" ht="14.25">
      <c r="A658" s="3168">
        <v>657</v>
      </c>
      <c r="B658" s="3168" t="s">
        <v>3534</v>
      </c>
      <c r="C658" s="3168">
        <v>-120</v>
      </c>
      <c r="D658" s="3168">
        <v>9.89</v>
      </c>
      <c r="E658" s="3168">
        <v>3.45</v>
      </c>
    </row>
    <row r="659" spans="1:5" ht="14.25">
      <c r="A659" s="3168">
        <v>658</v>
      </c>
      <c r="B659" s="3168" t="s">
        <v>3534</v>
      </c>
      <c r="C659" s="3168">
        <v>-121</v>
      </c>
      <c r="D659" s="3168">
        <v>6.97</v>
      </c>
      <c r="E659" s="3168">
        <v>2.4300000000000002</v>
      </c>
    </row>
    <row r="660" spans="1:5" ht="14.25">
      <c r="A660" s="3168">
        <v>659</v>
      </c>
      <c r="B660" s="3168" t="s">
        <v>3534</v>
      </c>
      <c r="C660" s="3168">
        <v>-122</v>
      </c>
      <c r="D660" s="3168">
        <v>7.4</v>
      </c>
      <c r="E660" s="3168">
        <v>2.58</v>
      </c>
    </row>
    <row r="661" spans="1:5" ht="14.25">
      <c r="A661" s="3168">
        <v>660</v>
      </c>
      <c r="B661" s="3168" t="s">
        <v>3534</v>
      </c>
      <c r="C661" s="3168">
        <v>-123</v>
      </c>
      <c r="D661" s="3168">
        <v>7.03</v>
      </c>
      <c r="E661" s="3168">
        <v>2.4500000000000002</v>
      </c>
    </row>
    <row r="662" spans="1:5" ht="14.25">
      <c r="A662" s="3168">
        <v>661</v>
      </c>
      <c r="B662" s="3168" t="s">
        <v>3534</v>
      </c>
      <c r="C662" s="3168">
        <v>-124</v>
      </c>
      <c r="D662" s="3168">
        <v>6.85</v>
      </c>
      <c r="E662" s="3168">
        <v>2.39</v>
      </c>
    </row>
    <row r="663" spans="1:5" ht="14.25">
      <c r="A663" s="3168">
        <v>662</v>
      </c>
      <c r="B663" s="3168" t="s">
        <v>3534</v>
      </c>
      <c r="C663" s="3168">
        <v>-125</v>
      </c>
      <c r="D663" s="3168">
        <v>8.23</v>
      </c>
      <c r="E663" s="3168">
        <v>2.87</v>
      </c>
    </row>
    <row r="664" spans="1:5" ht="14.25">
      <c r="A664" s="3168">
        <v>663</v>
      </c>
      <c r="B664" s="3168" t="s">
        <v>3535</v>
      </c>
      <c r="C664" s="3168" t="s">
        <v>3451</v>
      </c>
      <c r="D664" s="3168">
        <v>129.75</v>
      </c>
      <c r="E664" s="3168">
        <v>45.31</v>
      </c>
    </row>
    <row r="665" spans="1:5" ht="14.25">
      <c r="A665" s="3168">
        <v>664</v>
      </c>
      <c r="B665" s="3168" t="s">
        <v>3535</v>
      </c>
      <c r="C665" s="3168" t="s">
        <v>3452</v>
      </c>
      <c r="D665" s="3168">
        <v>129.41</v>
      </c>
      <c r="E665" s="3168">
        <v>45.19</v>
      </c>
    </row>
    <row r="666" spans="1:5" ht="14.25">
      <c r="A666" s="3168">
        <v>665</v>
      </c>
      <c r="B666" s="3168" t="s">
        <v>3535</v>
      </c>
      <c r="C666" s="3168" t="s">
        <v>3475</v>
      </c>
      <c r="D666" s="3168">
        <v>129.75</v>
      </c>
      <c r="E666" s="3168">
        <v>45.31</v>
      </c>
    </row>
    <row r="667" spans="1:5" ht="14.25">
      <c r="A667" s="3168">
        <v>666</v>
      </c>
      <c r="B667" s="3168" t="s">
        <v>3535</v>
      </c>
      <c r="C667" s="3168" t="s">
        <v>3476</v>
      </c>
      <c r="D667" s="3168">
        <v>129.41</v>
      </c>
      <c r="E667" s="3168">
        <v>45.19</v>
      </c>
    </row>
    <row r="668" spans="1:5" ht="14.25">
      <c r="A668" s="3168">
        <v>667</v>
      </c>
      <c r="B668" s="3168" t="s">
        <v>3535</v>
      </c>
      <c r="C668" s="3168" t="s">
        <v>3442</v>
      </c>
      <c r="D668" s="3168">
        <v>129.75</v>
      </c>
      <c r="E668" s="3168">
        <v>45.31</v>
      </c>
    </row>
    <row r="669" spans="1:5" ht="14.25">
      <c r="A669" s="3168">
        <v>668</v>
      </c>
      <c r="B669" s="3168" t="s">
        <v>3535</v>
      </c>
      <c r="C669" s="3168" t="s">
        <v>3453</v>
      </c>
      <c r="D669" s="3168">
        <v>129.75</v>
      </c>
      <c r="E669" s="3168">
        <v>45.31</v>
      </c>
    </row>
    <row r="670" spans="1:5" ht="14.25">
      <c r="A670" s="3168">
        <v>669</v>
      </c>
      <c r="B670" s="3168" t="s">
        <v>3535</v>
      </c>
      <c r="C670" s="3168" t="s">
        <v>3485</v>
      </c>
      <c r="D670" s="3168">
        <v>129.41</v>
      </c>
      <c r="E670" s="3168">
        <v>45.19</v>
      </c>
    </row>
    <row r="671" spans="1:5" ht="14.25">
      <c r="A671" s="3168">
        <v>670</v>
      </c>
      <c r="B671" s="3168" t="s">
        <v>3535</v>
      </c>
      <c r="C671" s="3168" t="s">
        <v>3444</v>
      </c>
      <c r="D671" s="3168">
        <v>101.45</v>
      </c>
      <c r="E671" s="3168">
        <v>35.43</v>
      </c>
    </row>
    <row r="672" spans="1:5" ht="14.25">
      <c r="A672" s="3168">
        <v>671</v>
      </c>
      <c r="B672" s="3168" t="s">
        <v>3535</v>
      </c>
      <c r="C672" s="3168" t="s">
        <v>3429</v>
      </c>
      <c r="D672" s="3168">
        <v>117.1</v>
      </c>
      <c r="E672" s="3168">
        <v>40.89</v>
      </c>
    </row>
    <row r="673" spans="1:5" ht="14.25">
      <c r="A673" s="3168">
        <v>672</v>
      </c>
      <c r="B673" s="3168" t="s">
        <v>3535</v>
      </c>
      <c r="C673" s="3168" t="s">
        <v>3462</v>
      </c>
      <c r="D673" s="3168">
        <v>117.1</v>
      </c>
      <c r="E673" s="3168">
        <v>40.89</v>
      </c>
    </row>
    <row r="674" spans="1:5" ht="14.25">
      <c r="A674" s="3168">
        <v>673</v>
      </c>
      <c r="B674" s="3168" t="s">
        <v>3535</v>
      </c>
      <c r="C674" s="3168" t="s">
        <v>3463</v>
      </c>
      <c r="D674" s="3168">
        <v>117.1</v>
      </c>
      <c r="E674" s="3168">
        <v>40.89</v>
      </c>
    </row>
    <row r="675" spans="1:5" ht="14.25">
      <c r="A675" s="3168">
        <v>674</v>
      </c>
      <c r="B675" s="3168" t="s">
        <v>3535</v>
      </c>
      <c r="C675" s="3168" t="s">
        <v>3464</v>
      </c>
      <c r="D675" s="3168">
        <v>117.1</v>
      </c>
      <c r="E675" s="3168">
        <v>40.89</v>
      </c>
    </row>
    <row r="676" spans="1:5" ht="14.25">
      <c r="A676" s="3168">
        <v>675</v>
      </c>
      <c r="B676" s="3168" t="s">
        <v>3535</v>
      </c>
      <c r="C676" s="3168" t="s">
        <v>3489</v>
      </c>
      <c r="D676" s="3168">
        <v>117.1</v>
      </c>
      <c r="E676" s="3168">
        <v>40.89</v>
      </c>
    </row>
    <row r="677" spans="1:5" ht="14.25">
      <c r="A677" s="3168">
        <v>676</v>
      </c>
      <c r="B677" s="3168" t="s">
        <v>3535</v>
      </c>
      <c r="C677" s="3168" t="s">
        <v>3519</v>
      </c>
      <c r="D677" s="3168">
        <v>117.1</v>
      </c>
      <c r="E677" s="3168">
        <v>40.89</v>
      </c>
    </row>
    <row r="678" spans="1:5" ht="14.25">
      <c r="A678" s="3168">
        <v>677</v>
      </c>
      <c r="B678" s="3168" t="s">
        <v>3535</v>
      </c>
      <c r="C678" s="3168" t="s">
        <v>3520</v>
      </c>
      <c r="D678" s="3168">
        <v>117.1</v>
      </c>
      <c r="E678" s="3168">
        <v>40.89</v>
      </c>
    </row>
    <row r="679" spans="1:5" ht="14.25">
      <c r="A679" s="3168">
        <v>678</v>
      </c>
      <c r="B679" s="3168" t="s">
        <v>3535</v>
      </c>
      <c r="C679" s="3168" t="s">
        <v>3496</v>
      </c>
      <c r="D679" s="3168">
        <v>117.1</v>
      </c>
      <c r="E679" s="3168">
        <v>40.89</v>
      </c>
    </row>
    <row r="680" spans="1:5" ht="14.25">
      <c r="A680" s="3168">
        <v>679</v>
      </c>
      <c r="B680" s="3168" t="s">
        <v>3535</v>
      </c>
      <c r="C680" s="3168" t="s">
        <v>3446</v>
      </c>
      <c r="D680" s="3168">
        <v>117.1</v>
      </c>
      <c r="E680" s="3168">
        <v>40.89</v>
      </c>
    </row>
    <row r="681" spans="1:5" ht="14.25">
      <c r="A681" s="3168">
        <v>680</v>
      </c>
      <c r="B681" s="3168" t="s">
        <v>3535</v>
      </c>
      <c r="C681" s="3168" t="s">
        <v>3447</v>
      </c>
      <c r="D681" s="3168">
        <v>117.43</v>
      </c>
      <c r="E681" s="3168">
        <v>41.01</v>
      </c>
    </row>
    <row r="682" spans="1:5" ht="14.25">
      <c r="A682" s="3168">
        <v>681</v>
      </c>
      <c r="B682" s="3168" t="s">
        <v>3535</v>
      </c>
      <c r="C682" s="3168" t="s">
        <v>3498</v>
      </c>
      <c r="D682" s="3168">
        <v>117.77</v>
      </c>
      <c r="E682" s="3168">
        <v>41.12</v>
      </c>
    </row>
    <row r="683" spans="1:5" ht="14.25">
      <c r="A683" s="3168">
        <v>682</v>
      </c>
      <c r="B683" s="3168" t="s">
        <v>3535</v>
      </c>
      <c r="C683" s="3168" t="s">
        <v>3435</v>
      </c>
      <c r="D683" s="3168">
        <v>117.43</v>
      </c>
      <c r="E683" s="3168">
        <v>41.01</v>
      </c>
    </row>
    <row r="684" spans="1:5" ht="14.25">
      <c r="A684" s="3168">
        <v>683</v>
      </c>
      <c r="B684" s="3168" t="s">
        <v>3535</v>
      </c>
      <c r="C684" s="3168" t="s">
        <v>3499</v>
      </c>
      <c r="D684" s="3168">
        <v>117.77</v>
      </c>
      <c r="E684" s="3168">
        <v>41.12</v>
      </c>
    </row>
    <row r="685" spans="1:5" ht="14.25">
      <c r="A685" s="3168">
        <v>684</v>
      </c>
      <c r="B685" s="3168" t="s">
        <v>3535</v>
      </c>
      <c r="C685" s="3168" t="s">
        <v>3502</v>
      </c>
      <c r="D685" s="3168">
        <v>117.77</v>
      </c>
      <c r="E685" s="3168">
        <v>41.12</v>
      </c>
    </row>
    <row r="686" spans="1:5" ht="14.25">
      <c r="A686" s="3168">
        <v>685</v>
      </c>
      <c r="B686" s="3168" t="s">
        <v>3535</v>
      </c>
      <c r="C686" s="3168" t="s">
        <v>3436</v>
      </c>
      <c r="D686" s="3168">
        <v>117.43</v>
      </c>
      <c r="E686" s="3168">
        <v>41.01</v>
      </c>
    </row>
    <row r="687" spans="1:5" ht="14.25">
      <c r="A687" s="3168">
        <v>686</v>
      </c>
      <c r="B687" s="3168" t="s">
        <v>3535</v>
      </c>
      <c r="C687" s="3168" t="s">
        <v>3504</v>
      </c>
      <c r="D687" s="3168">
        <v>117.43</v>
      </c>
      <c r="E687" s="3168">
        <v>41.01</v>
      </c>
    </row>
    <row r="688" spans="1:5" ht="14.25">
      <c r="A688" s="3168">
        <v>687</v>
      </c>
      <c r="B688" s="3168" t="s">
        <v>3535</v>
      </c>
      <c r="C688" s="3168" t="s">
        <v>3440</v>
      </c>
      <c r="D688" s="3168">
        <v>117.77</v>
      </c>
      <c r="E688" s="3168">
        <v>41.12</v>
      </c>
    </row>
    <row r="689" spans="1:5" ht="14.25">
      <c r="A689" s="3168">
        <v>688</v>
      </c>
      <c r="B689" s="3168" t="s">
        <v>3535</v>
      </c>
      <c r="C689" s="3168" t="s">
        <v>3473</v>
      </c>
      <c r="D689" s="3168">
        <v>117.43</v>
      </c>
      <c r="E689" s="3168">
        <v>41.01</v>
      </c>
    </row>
    <row r="690" spans="1:5" ht="14.25">
      <c r="A690" s="3168">
        <v>689</v>
      </c>
      <c r="B690" s="3168" t="s">
        <v>3535</v>
      </c>
      <c r="C690" s="3168" t="s">
        <v>3506</v>
      </c>
      <c r="D690" s="3168">
        <v>117.77</v>
      </c>
      <c r="E690" s="3168">
        <v>41.12</v>
      </c>
    </row>
    <row r="691" spans="1:5" ht="14.25">
      <c r="A691" s="3168">
        <v>690</v>
      </c>
      <c r="B691" s="3168" t="s">
        <v>3535</v>
      </c>
      <c r="C691" s="3168" t="s">
        <v>3508</v>
      </c>
      <c r="D691" s="3168">
        <v>117.77</v>
      </c>
      <c r="E691" s="3168">
        <v>41.12</v>
      </c>
    </row>
    <row r="692" spans="1:5" ht="14.25">
      <c r="A692" s="3168">
        <v>691</v>
      </c>
      <c r="B692" s="3168" t="s">
        <v>3535</v>
      </c>
      <c r="C692" s="3168" t="s">
        <v>3509</v>
      </c>
      <c r="D692" s="3168">
        <v>117.77</v>
      </c>
      <c r="E692" s="3168">
        <v>41.12</v>
      </c>
    </row>
    <row r="693" spans="1:5" ht="14.25">
      <c r="A693" s="3168">
        <v>692</v>
      </c>
      <c r="B693" s="3168" t="s">
        <v>3535</v>
      </c>
      <c r="C693" s="3168">
        <v>-101</v>
      </c>
      <c r="D693" s="3168">
        <v>6.61</v>
      </c>
      <c r="E693" s="3168">
        <v>2.31</v>
      </c>
    </row>
    <row r="694" spans="1:5" ht="14.25">
      <c r="A694" s="3168">
        <v>693</v>
      </c>
      <c r="B694" s="3168" t="s">
        <v>3535</v>
      </c>
      <c r="C694" s="3168">
        <v>-102</v>
      </c>
      <c r="D694" s="3168">
        <v>7.7</v>
      </c>
      <c r="E694" s="3168">
        <v>2.69</v>
      </c>
    </row>
    <row r="695" spans="1:5" ht="14.25">
      <c r="A695" s="3168">
        <v>694</v>
      </c>
      <c r="B695" s="3168" t="s">
        <v>3535</v>
      </c>
      <c r="C695" s="3168">
        <v>-103</v>
      </c>
      <c r="D695" s="3168">
        <v>7.7</v>
      </c>
      <c r="E695" s="3168">
        <v>2.69</v>
      </c>
    </row>
    <row r="696" spans="1:5" ht="14.25">
      <c r="A696" s="3168">
        <v>695</v>
      </c>
      <c r="B696" s="3168" t="s">
        <v>3535</v>
      </c>
      <c r="C696" s="3168">
        <v>-104</v>
      </c>
      <c r="D696" s="3168">
        <v>11.25</v>
      </c>
      <c r="E696" s="3168">
        <v>3.93</v>
      </c>
    </row>
    <row r="697" spans="1:5" ht="14.25">
      <c r="A697" s="3168">
        <v>696</v>
      </c>
      <c r="B697" s="3168" t="s">
        <v>3535</v>
      </c>
      <c r="C697" s="3168">
        <v>-105</v>
      </c>
      <c r="D697" s="3168">
        <v>10.66</v>
      </c>
      <c r="E697" s="3168">
        <v>3.72</v>
      </c>
    </row>
    <row r="698" spans="1:5" ht="14.25">
      <c r="A698" s="3168">
        <v>697</v>
      </c>
      <c r="B698" s="3168" t="s">
        <v>3535</v>
      </c>
      <c r="C698" s="3168">
        <v>-106</v>
      </c>
      <c r="D698" s="3168">
        <v>11.84</v>
      </c>
      <c r="E698" s="3168">
        <v>4.13</v>
      </c>
    </row>
    <row r="699" spans="1:5" ht="14.25">
      <c r="A699" s="3168">
        <v>698</v>
      </c>
      <c r="B699" s="3168" t="s">
        <v>3535</v>
      </c>
      <c r="C699" s="3168">
        <v>-107</v>
      </c>
      <c r="D699" s="3168">
        <v>8.59</v>
      </c>
      <c r="E699" s="3168">
        <v>3</v>
      </c>
    </row>
    <row r="700" spans="1:5" ht="14.25">
      <c r="A700" s="3168">
        <v>699</v>
      </c>
      <c r="B700" s="3168" t="s">
        <v>3535</v>
      </c>
      <c r="C700" s="3168">
        <v>-108</v>
      </c>
      <c r="D700" s="3168">
        <v>8.59</v>
      </c>
      <c r="E700" s="3168">
        <v>3</v>
      </c>
    </row>
    <row r="701" spans="1:5" ht="14.25">
      <c r="A701" s="3168">
        <v>700</v>
      </c>
      <c r="B701" s="3168" t="s">
        <v>3535</v>
      </c>
      <c r="C701" s="3168">
        <v>-109</v>
      </c>
      <c r="D701" s="3168">
        <v>11.84</v>
      </c>
      <c r="E701" s="3168">
        <v>4.13</v>
      </c>
    </row>
    <row r="702" spans="1:5" ht="14.25">
      <c r="A702" s="3168">
        <v>701</v>
      </c>
      <c r="B702" s="3168" t="s">
        <v>3535</v>
      </c>
      <c r="C702" s="3168">
        <v>-110</v>
      </c>
      <c r="D702" s="3168">
        <v>11.1</v>
      </c>
      <c r="E702" s="3168">
        <v>3.88</v>
      </c>
    </row>
    <row r="703" spans="1:5" ht="14.25">
      <c r="A703" s="3168">
        <v>702</v>
      </c>
      <c r="B703" s="3168" t="s">
        <v>3535</v>
      </c>
      <c r="C703" s="3168">
        <v>-111</v>
      </c>
      <c r="D703" s="3168">
        <v>13</v>
      </c>
      <c r="E703" s="3168">
        <v>4.54</v>
      </c>
    </row>
    <row r="704" spans="1:5" ht="14.25">
      <c r="A704" s="3168">
        <v>703</v>
      </c>
      <c r="B704" s="3168" t="s">
        <v>3535</v>
      </c>
      <c r="C704" s="3168">
        <v>-112</v>
      </c>
      <c r="D704" s="3168">
        <v>8.34</v>
      </c>
      <c r="E704" s="3168">
        <v>2.91</v>
      </c>
    </row>
    <row r="705" spans="1:5" ht="14.25">
      <c r="A705" s="3168">
        <v>704</v>
      </c>
      <c r="B705" s="3168" t="s">
        <v>3535</v>
      </c>
      <c r="C705" s="3168">
        <v>-113</v>
      </c>
      <c r="D705" s="3168">
        <v>13.67</v>
      </c>
      <c r="E705" s="3168">
        <v>4.7699999999999996</v>
      </c>
    </row>
    <row r="706" spans="1:5" ht="14.25">
      <c r="A706" s="3168">
        <v>705</v>
      </c>
      <c r="B706" s="3168" t="s">
        <v>3535</v>
      </c>
      <c r="C706" s="3168">
        <v>-114</v>
      </c>
      <c r="D706" s="3168">
        <v>13.67</v>
      </c>
      <c r="E706" s="3168">
        <v>4.7699999999999996</v>
      </c>
    </row>
    <row r="707" spans="1:5" ht="14.25">
      <c r="A707" s="3168">
        <v>706</v>
      </c>
      <c r="B707" s="3168" t="s">
        <v>3535</v>
      </c>
      <c r="C707" s="3168">
        <v>-115</v>
      </c>
      <c r="D707" s="3168">
        <v>6.66</v>
      </c>
      <c r="E707" s="3168">
        <v>2.33</v>
      </c>
    </row>
    <row r="708" spans="1:5" ht="14.25">
      <c r="A708" s="3168">
        <v>707</v>
      </c>
      <c r="B708" s="3168" t="s">
        <v>3535</v>
      </c>
      <c r="C708" s="3168">
        <v>-116</v>
      </c>
      <c r="D708" s="3168">
        <v>8.34</v>
      </c>
      <c r="E708" s="3168">
        <v>2.91</v>
      </c>
    </row>
    <row r="709" spans="1:5" ht="14.25">
      <c r="A709" s="3168">
        <v>708</v>
      </c>
      <c r="B709" s="3168" t="s">
        <v>3535</v>
      </c>
      <c r="C709" s="3168">
        <v>-117</v>
      </c>
      <c r="D709" s="3168">
        <v>6.33</v>
      </c>
      <c r="E709" s="3168">
        <v>2.21</v>
      </c>
    </row>
    <row r="710" spans="1:5" ht="14.25">
      <c r="A710" s="3168">
        <v>709</v>
      </c>
      <c r="B710" s="3168" t="s">
        <v>3535</v>
      </c>
      <c r="C710" s="3168">
        <v>-118</v>
      </c>
      <c r="D710" s="3168">
        <v>12.63</v>
      </c>
      <c r="E710" s="3168">
        <v>4.41</v>
      </c>
    </row>
    <row r="711" spans="1:5" ht="14.25">
      <c r="A711" s="3168">
        <v>710</v>
      </c>
      <c r="B711" s="3168" t="s">
        <v>3535</v>
      </c>
      <c r="C711" s="3168">
        <v>-119</v>
      </c>
      <c r="D711" s="3168">
        <v>9.4499999999999993</v>
      </c>
      <c r="E711" s="3168">
        <v>3.3</v>
      </c>
    </row>
    <row r="712" spans="1:5" ht="14.25">
      <c r="A712" s="3168">
        <v>711</v>
      </c>
      <c r="B712" s="3168" t="s">
        <v>3535</v>
      </c>
      <c r="C712" s="3168">
        <v>-120</v>
      </c>
      <c r="D712" s="3168">
        <v>16.54</v>
      </c>
      <c r="E712" s="3168">
        <v>5.78</v>
      </c>
    </row>
    <row r="713" spans="1:5" ht="14.25">
      <c r="A713" s="3168">
        <v>712</v>
      </c>
      <c r="B713" s="3168" t="s">
        <v>3535</v>
      </c>
      <c r="C713" s="3168">
        <v>-121</v>
      </c>
      <c r="D713" s="3168">
        <v>7.01</v>
      </c>
      <c r="E713" s="3168">
        <v>2.4500000000000002</v>
      </c>
    </row>
    <row r="714" spans="1:5" ht="14.25">
      <c r="A714" s="3168">
        <v>713</v>
      </c>
      <c r="B714" s="3168" t="s">
        <v>3535</v>
      </c>
      <c r="C714" s="3168">
        <v>-122</v>
      </c>
      <c r="D714" s="3168">
        <v>7.44</v>
      </c>
      <c r="E714" s="3168">
        <v>2.6</v>
      </c>
    </row>
    <row r="715" spans="1:5" ht="14.25">
      <c r="A715" s="3168">
        <v>714</v>
      </c>
      <c r="B715" s="3168" t="s">
        <v>3535</v>
      </c>
      <c r="C715" s="3168">
        <v>-123</v>
      </c>
      <c r="D715" s="3168">
        <v>7.29</v>
      </c>
      <c r="E715" s="3168">
        <v>2.5499999999999998</v>
      </c>
    </row>
    <row r="716" spans="1:5" ht="14.25">
      <c r="A716" s="3168">
        <v>715</v>
      </c>
      <c r="B716" s="3168" t="s">
        <v>3535</v>
      </c>
      <c r="C716" s="3168">
        <v>-124</v>
      </c>
      <c r="D716" s="3168">
        <v>6.74</v>
      </c>
      <c r="E716" s="3168">
        <v>2.35</v>
      </c>
    </row>
    <row r="717" spans="1:5" ht="14.25">
      <c r="A717" s="3168">
        <v>716</v>
      </c>
      <c r="B717" s="3168" t="s">
        <v>3535</v>
      </c>
      <c r="C717" s="3168">
        <v>-125</v>
      </c>
      <c r="D717" s="3168">
        <v>8.2799999999999994</v>
      </c>
      <c r="E717" s="3168">
        <v>2.89</v>
      </c>
    </row>
    <row r="718" spans="1:5" ht="14.25">
      <c r="A718" s="3168">
        <v>717</v>
      </c>
      <c r="B718" s="3168" t="s">
        <v>3536</v>
      </c>
      <c r="C718" s="3168" t="s">
        <v>3452</v>
      </c>
      <c r="D718" s="3168">
        <v>95.6</v>
      </c>
      <c r="E718" s="3168">
        <v>33.380000000000003</v>
      </c>
    </row>
    <row r="719" spans="1:5" ht="14.25">
      <c r="A719" s="3168">
        <v>718</v>
      </c>
      <c r="B719" s="3168" t="s">
        <v>3536</v>
      </c>
      <c r="C719" s="3168" t="s">
        <v>3484</v>
      </c>
      <c r="D719" s="3168">
        <v>95.6</v>
      </c>
      <c r="E719" s="3168">
        <v>33.380000000000003</v>
      </c>
    </row>
    <row r="720" spans="1:5" ht="14.25">
      <c r="A720" s="3168">
        <v>719</v>
      </c>
      <c r="B720" s="3168" t="s">
        <v>3536</v>
      </c>
      <c r="C720" s="3168" t="s">
        <v>3429</v>
      </c>
      <c r="D720" s="3168">
        <v>96.07</v>
      </c>
      <c r="E720" s="3168">
        <v>33.549999999999997</v>
      </c>
    </row>
    <row r="721" spans="1:5" ht="14.25">
      <c r="A721" s="3168">
        <v>720</v>
      </c>
      <c r="B721" s="3168" t="s">
        <v>3536</v>
      </c>
      <c r="C721" s="3168" t="s">
        <v>3488</v>
      </c>
      <c r="D721" s="3168">
        <v>96.07</v>
      </c>
      <c r="E721" s="3168">
        <v>33.549999999999997</v>
      </c>
    </row>
    <row r="722" spans="1:5" ht="14.25">
      <c r="A722" s="3168">
        <v>721</v>
      </c>
      <c r="B722" s="3168" t="s">
        <v>3536</v>
      </c>
      <c r="C722" s="3168" t="s">
        <v>3520</v>
      </c>
      <c r="D722" s="3168">
        <v>96.07</v>
      </c>
      <c r="E722" s="3168">
        <v>33.549999999999997</v>
      </c>
    </row>
    <row r="723" spans="1:5" ht="14.25">
      <c r="A723" s="3168">
        <v>722</v>
      </c>
      <c r="B723" s="3168" t="s">
        <v>3536</v>
      </c>
      <c r="C723" s="3168" t="s">
        <v>3494</v>
      </c>
      <c r="D723" s="3168">
        <v>96.07</v>
      </c>
      <c r="E723" s="3168">
        <v>33.549999999999997</v>
      </c>
    </row>
    <row r="724" spans="1:5" ht="14.25">
      <c r="A724" s="3168">
        <v>723</v>
      </c>
      <c r="B724" s="3168" t="s">
        <v>3536</v>
      </c>
      <c r="C724" s="3168" t="s">
        <v>3495</v>
      </c>
      <c r="D724" s="3168">
        <v>96.07</v>
      </c>
      <c r="E724" s="3168">
        <v>33.549999999999997</v>
      </c>
    </row>
    <row r="725" spans="1:5" ht="14.25">
      <c r="A725" s="3168">
        <v>724</v>
      </c>
      <c r="B725" s="3168" t="s">
        <v>3536</v>
      </c>
      <c r="C725" s="3168" t="s">
        <v>3446</v>
      </c>
      <c r="D725" s="3168">
        <v>71.37</v>
      </c>
      <c r="E725" s="3168">
        <v>24.92</v>
      </c>
    </row>
    <row r="726" spans="1:5" ht="14.25">
      <c r="A726" s="3168">
        <v>725</v>
      </c>
      <c r="B726" s="3168" t="s">
        <v>3536</v>
      </c>
      <c r="C726" s="3168" t="s">
        <v>3435</v>
      </c>
      <c r="D726" s="3168">
        <v>95.86</v>
      </c>
      <c r="E726" s="3168">
        <v>33.47</v>
      </c>
    </row>
    <row r="727" spans="1:5" ht="14.25">
      <c r="A727" s="3168">
        <v>726</v>
      </c>
      <c r="B727" s="3168" t="s">
        <v>3536</v>
      </c>
      <c r="C727" s="3168" t="s">
        <v>3501</v>
      </c>
      <c r="D727" s="3168">
        <v>95.86</v>
      </c>
      <c r="E727" s="3168">
        <v>33.47</v>
      </c>
    </row>
    <row r="728" spans="1:5" ht="14.25">
      <c r="A728" s="3168">
        <v>727</v>
      </c>
      <c r="B728" s="3168" t="s">
        <v>3536</v>
      </c>
      <c r="C728" s="3168" t="s">
        <v>3436</v>
      </c>
      <c r="D728" s="3168">
        <v>95.86</v>
      </c>
      <c r="E728" s="3168">
        <v>33.47</v>
      </c>
    </row>
    <row r="729" spans="1:5" ht="14.25">
      <c r="A729" s="3168">
        <v>728</v>
      </c>
      <c r="B729" s="3168" t="s">
        <v>3536</v>
      </c>
      <c r="C729" s="3168" t="s">
        <v>3437</v>
      </c>
      <c r="D729" s="3168">
        <v>96.21</v>
      </c>
      <c r="E729" s="3168">
        <v>33.6</v>
      </c>
    </row>
    <row r="730" spans="1:5" ht="14.25">
      <c r="A730" s="3168">
        <v>729</v>
      </c>
      <c r="B730" s="3168" t="s">
        <v>3536</v>
      </c>
      <c r="C730" s="3168" t="s">
        <v>3473</v>
      </c>
      <c r="D730" s="3168">
        <v>96.21</v>
      </c>
      <c r="E730" s="3168">
        <v>33.6</v>
      </c>
    </row>
    <row r="731" spans="1:5" ht="14.25">
      <c r="A731" s="3168">
        <v>730</v>
      </c>
      <c r="B731" s="3168" t="s">
        <v>3536</v>
      </c>
      <c r="C731" s="3168" t="s">
        <v>3505</v>
      </c>
      <c r="D731" s="3168">
        <v>96.21</v>
      </c>
      <c r="E731" s="3168">
        <v>33.6</v>
      </c>
    </row>
    <row r="732" spans="1:5" ht="14.25">
      <c r="A732" s="3168">
        <v>731</v>
      </c>
      <c r="B732" s="3168" t="s">
        <v>3536</v>
      </c>
      <c r="C732" s="3168" t="s">
        <v>3506</v>
      </c>
      <c r="D732" s="3168">
        <v>96.21</v>
      </c>
      <c r="E732" s="3168">
        <v>33.6</v>
      </c>
    </row>
    <row r="733" spans="1:5" ht="14.25">
      <c r="A733" s="3168">
        <v>732</v>
      </c>
      <c r="B733" s="3168" t="s">
        <v>3536</v>
      </c>
      <c r="C733" s="3168">
        <v>-101</v>
      </c>
      <c r="D733" s="3168">
        <v>16.48</v>
      </c>
      <c r="E733" s="3168">
        <v>5.75</v>
      </c>
    </row>
    <row r="734" spans="1:5" ht="14.25">
      <c r="A734" s="3168">
        <v>733</v>
      </c>
      <c r="B734" s="3168" t="s">
        <v>3536</v>
      </c>
      <c r="C734" s="3168">
        <v>-102</v>
      </c>
      <c r="D734" s="3168">
        <v>16.97</v>
      </c>
      <c r="E734" s="3168">
        <v>5.93</v>
      </c>
    </row>
    <row r="735" spans="1:5" ht="14.25">
      <c r="A735" s="3168">
        <v>734</v>
      </c>
      <c r="B735" s="3168" t="s">
        <v>3536</v>
      </c>
      <c r="C735" s="3168">
        <v>-103</v>
      </c>
      <c r="D735" s="3168">
        <v>7.09</v>
      </c>
      <c r="E735" s="3168">
        <v>2.48</v>
      </c>
    </row>
    <row r="736" spans="1:5" ht="14.25">
      <c r="A736" s="3168">
        <v>735</v>
      </c>
      <c r="B736" s="3168" t="s">
        <v>3536</v>
      </c>
      <c r="C736" s="3168">
        <v>-104</v>
      </c>
      <c r="D736" s="3168">
        <v>7.09</v>
      </c>
      <c r="E736" s="3168">
        <v>2.48</v>
      </c>
    </row>
    <row r="737" spans="1:5" ht="14.25">
      <c r="A737" s="3168">
        <v>736</v>
      </c>
      <c r="B737" s="3168" t="s">
        <v>3536</v>
      </c>
      <c r="C737" s="3168">
        <v>-105</v>
      </c>
      <c r="D737" s="3168">
        <v>16.97</v>
      </c>
      <c r="E737" s="3168">
        <v>5.93</v>
      </c>
    </row>
    <row r="738" spans="1:5" ht="14.25">
      <c r="A738" s="3168">
        <v>737</v>
      </c>
      <c r="B738" s="3168" t="s">
        <v>3537</v>
      </c>
      <c r="C738" s="3168">
        <v>-108</v>
      </c>
      <c r="D738" s="3168">
        <v>191.92</v>
      </c>
      <c r="E738" s="3168">
        <v>67.02</v>
      </c>
    </row>
    <row r="739" spans="1:5" ht="14.25">
      <c r="A739" s="3168">
        <v>738</v>
      </c>
      <c r="B739" s="3168" t="s">
        <v>3537</v>
      </c>
      <c r="C739" s="3168">
        <v>-109</v>
      </c>
      <c r="D739" s="3168">
        <v>20.58</v>
      </c>
      <c r="E739" s="3168">
        <v>7.19</v>
      </c>
    </row>
    <row r="740" spans="1:5" ht="14.25">
      <c r="A740" s="3168">
        <v>739</v>
      </c>
      <c r="B740" s="3168" t="s">
        <v>3537</v>
      </c>
      <c r="C740" s="3168">
        <v>-110</v>
      </c>
      <c r="D740" s="3168">
        <v>309.83999999999997</v>
      </c>
      <c r="E740" s="3168">
        <v>108.19</v>
      </c>
    </row>
    <row r="741" spans="1:5" ht="14.25">
      <c r="A741" s="3168">
        <v>740</v>
      </c>
      <c r="B741" s="3168" t="s">
        <v>3538</v>
      </c>
      <c r="C741" s="3168">
        <v>-1001</v>
      </c>
      <c r="D741" s="3168">
        <v>25.39</v>
      </c>
      <c r="E741" s="3168">
        <v>8.8699999999999992</v>
      </c>
    </row>
    <row r="742" spans="1:5" ht="14.25">
      <c r="A742" s="3168">
        <v>741</v>
      </c>
      <c r="B742" s="3168" t="s">
        <v>3538</v>
      </c>
      <c r="C742" s="3168">
        <v>-1002</v>
      </c>
      <c r="D742" s="3168">
        <v>25.39</v>
      </c>
      <c r="E742" s="3168">
        <v>8.8699999999999992</v>
      </c>
    </row>
    <row r="743" spans="1:5" ht="14.25">
      <c r="A743" s="3168">
        <v>742</v>
      </c>
      <c r="B743" s="3168" t="s">
        <v>3538</v>
      </c>
      <c r="C743" s="3168">
        <v>-1003</v>
      </c>
      <c r="D743" s="3168">
        <v>25.39</v>
      </c>
      <c r="E743" s="3168">
        <v>8.8699999999999992</v>
      </c>
    </row>
    <row r="744" spans="1:5" ht="14.25">
      <c r="A744" s="3168">
        <v>743</v>
      </c>
      <c r="B744" s="3168" t="s">
        <v>3538</v>
      </c>
      <c r="C744" s="3168">
        <v>-1004</v>
      </c>
      <c r="D744" s="3168">
        <v>25.39</v>
      </c>
      <c r="E744" s="3168">
        <v>8.8699999999999992</v>
      </c>
    </row>
    <row r="745" spans="1:5" ht="14.25">
      <c r="A745" s="3168">
        <v>744</v>
      </c>
      <c r="B745" s="3168" t="s">
        <v>3538</v>
      </c>
      <c r="C745" s="3168">
        <v>-1005</v>
      </c>
      <c r="D745" s="3168">
        <v>25.39</v>
      </c>
      <c r="E745" s="3168">
        <v>8.8699999999999992</v>
      </c>
    </row>
    <row r="746" spans="1:5" ht="14.25">
      <c r="A746" s="3168">
        <v>745</v>
      </c>
      <c r="B746" s="3168" t="s">
        <v>3538</v>
      </c>
      <c r="C746" s="3168">
        <v>-1006</v>
      </c>
      <c r="D746" s="3168">
        <v>25.39</v>
      </c>
      <c r="E746" s="3168">
        <v>8.8699999999999992</v>
      </c>
    </row>
    <row r="747" spans="1:5" ht="14.25">
      <c r="A747" s="3168">
        <v>746</v>
      </c>
      <c r="B747" s="3168" t="s">
        <v>3538</v>
      </c>
      <c r="C747" s="3168">
        <v>-1007</v>
      </c>
      <c r="D747" s="3168">
        <v>25.39</v>
      </c>
      <c r="E747" s="3168">
        <v>8.8699999999999992</v>
      </c>
    </row>
    <row r="748" spans="1:5" ht="14.25">
      <c r="A748" s="3168">
        <v>747</v>
      </c>
      <c r="B748" s="3168" t="s">
        <v>3538</v>
      </c>
      <c r="C748" s="3168">
        <v>-1008</v>
      </c>
      <c r="D748" s="3168">
        <v>25.39</v>
      </c>
      <c r="E748" s="3168">
        <v>8.8699999999999992</v>
      </c>
    </row>
    <row r="749" spans="1:5" ht="14.25">
      <c r="A749" s="3168">
        <v>748</v>
      </c>
      <c r="B749" s="3168" t="s">
        <v>3538</v>
      </c>
      <c r="C749" s="3168">
        <v>-1009</v>
      </c>
      <c r="D749" s="3168">
        <v>25.39</v>
      </c>
      <c r="E749" s="3168">
        <v>8.8699999999999992</v>
      </c>
    </row>
    <row r="750" spans="1:5" ht="14.25">
      <c r="A750" s="3168">
        <v>749</v>
      </c>
      <c r="B750" s="3168" t="s">
        <v>3538</v>
      </c>
      <c r="C750" s="3168">
        <v>-1010</v>
      </c>
      <c r="D750" s="3168">
        <v>25.39</v>
      </c>
      <c r="E750" s="3168">
        <v>8.8699999999999992</v>
      </c>
    </row>
    <row r="751" spans="1:5" ht="14.25">
      <c r="A751" s="3168">
        <v>750</v>
      </c>
      <c r="B751" s="3168" t="s">
        <v>3538</v>
      </c>
      <c r="C751" s="3168">
        <v>-1011</v>
      </c>
      <c r="D751" s="3168">
        <v>25.39</v>
      </c>
      <c r="E751" s="3168">
        <v>8.8699999999999992</v>
      </c>
    </row>
    <row r="752" spans="1:5" ht="14.25">
      <c r="A752" s="3168">
        <v>751</v>
      </c>
      <c r="B752" s="3168" t="s">
        <v>3538</v>
      </c>
      <c r="C752" s="3168">
        <v>-1012</v>
      </c>
      <c r="D752" s="3168">
        <v>25.39</v>
      </c>
      <c r="E752" s="3168">
        <v>8.8699999999999992</v>
      </c>
    </row>
    <row r="753" spans="1:5" ht="14.25">
      <c r="A753" s="3168">
        <v>752</v>
      </c>
      <c r="B753" s="3168" t="s">
        <v>3538</v>
      </c>
      <c r="C753" s="3168">
        <v>-1013</v>
      </c>
      <c r="D753" s="3168">
        <v>25.39</v>
      </c>
      <c r="E753" s="3168">
        <v>8.8699999999999992</v>
      </c>
    </row>
    <row r="754" spans="1:5" ht="14.25">
      <c r="A754" s="3168">
        <v>753</v>
      </c>
      <c r="B754" s="3168" t="s">
        <v>3538</v>
      </c>
      <c r="C754" s="3168">
        <v>-1014</v>
      </c>
      <c r="D754" s="3168">
        <v>25.39</v>
      </c>
      <c r="E754" s="3168">
        <v>8.8699999999999992</v>
      </c>
    </row>
    <row r="755" spans="1:5" ht="14.25">
      <c r="A755" s="3168">
        <v>754</v>
      </c>
      <c r="B755" s="3168" t="s">
        <v>3538</v>
      </c>
      <c r="C755" s="3168">
        <v>-1015</v>
      </c>
      <c r="D755" s="3168">
        <v>25.39</v>
      </c>
      <c r="E755" s="3168">
        <v>8.8699999999999992</v>
      </c>
    </row>
    <row r="756" spans="1:5" ht="14.25">
      <c r="A756" s="3168">
        <v>755</v>
      </c>
      <c r="B756" s="3168" t="s">
        <v>3538</v>
      </c>
      <c r="C756" s="3168">
        <v>-1016</v>
      </c>
      <c r="D756" s="3168">
        <v>25.39</v>
      </c>
      <c r="E756" s="3168">
        <v>8.8699999999999992</v>
      </c>
    </row>
    <row r="757" spans="1:5" ht="14.25">
      <c r="A757" s="3168">
        <v>756</v>
      </c>
      <c r="B757" s="3168" t="s">
        <v>3538</v>
      </c>
      <c r="C757" s="3168">
        <v>-1017</v>
      </c>
      <c r="D757" s="3168">
        <v>25.39</v>
      </c>
      <c r="E757" s="3168">
        <v>8.8699999999999992</v>
      </c>
    </row>
    <row r="758" spans="1:5" ht="14.25">
      <c r="A758" s="3168">
        <v>757</v>
      </c>
      <c r="B758" s="3168" t="s">
        <v>3538</v>
      </c>
      <c r="C758" s="3168">
        <v>-1018</v>
      </c>
      <c r="D758" s="3168">
        <v>25.39</v>
      </c>
      <c r="E758" s="3168">
        <v>8.8699999999999992</v>
      </c>
    </row>
    <row r="759" spans="1:5" ht="14.25">
      <c r="A759" s="3168">
        <v>758</v>
      </c>
      <c r="B759" s="3168" t="s">
        <v>3538</v>
      </c>
      <c r="C759" s="3168">
        <v>-1019</v>
      </c>
      <c r="D759" s="3168">
        <v>25.39</v>
      </c>
      <c r="E759" s="3168">
        <v>8.8699999999999992</v>
      </c>
    </row>
    <row r="760" spans="1:5" ht="14.25">
      <c r="A760" s="3168">
        <v>759</v>
      </c>
      <c r="B760" s="3168" t="s">
        <v>3538</v>
      </c>
      <c r="C760" s="3168">
        <v>-1020</v>
      </c>
      <c r="D760" s="3168">
        <v>25.39</v>
      </c>
      <c r="E760" s="3168">
        <v>8.8699999999999992</v>
      </c>
    </row>
    <row r="761" spans="1:5" ht="14.25">
      <c r="A761" s="3168">
        <v>760</v>
      </c>
      <c r="B761" s="3168" t="s">
        <v>3538</v>
      </c>
      <c r="C761" s="3168">
        <v>-1021</v>
      </c>
      <c r="D761" s="3168">
        <v>25.39</v>
      </c>
      <c r="E761" s="3168">
        <v>8.8699999999999992</v>
      </c>
    </row>
    <row r="762" spans="1:5" ht="14.25">
      <c r="A762" s="3168">
        <v>761</v>
      </c>
      <c r="B762" s="3168" t="s">
        <v>3538</v>
      </c>
      <c r="C762" s="3168">
        <v>-1022</v>
      </c>
      <c r="D762" s="3168">
        <v>25.39</v>
      </c>
      <c r="E762" s="3168">
        <v>8.8699999999999992</v>
      </c>
    </row>
    <row r="763" spans="1:5" ht="14.25">
      <c r="A763" s="3168">
        <v>762</v>
      </c>
      <c r="B763" s="3168" t="s">
        <v>3538</v>
      </c>
      <c r="C763" s="3168">
        <v>-1023</v>
      </c>
      <c r="D763" s="3168">
        <v>25.39</v>
      </c>
      <c r="E763" s="3168">
        <v>8.8699999999999992</v>
      </c>
    </row>
    <row r="764" spans="1:5" ht="14.25">
      <c r="A764" s="3168">
        <v>763</v>
      </c>
      <c r="B764" s="3168" t="s">
        <v>3538</v>
      </c>
      <c r="C764" s="3168">
        <v>-1024</v>
      </c>
      <c r="D764" s="3168">
        <v>25.39</v>
      </c>
      <c r="E764" s="3168">
        <v>8.8699999999999992</v>
      </c>
    </row>
    <row r="765" spans="1:5" ht="14.25">
      <c r="A765" s="3168">
        <v>764</v>
      </c>
      <c r="B765" s="3168" t="s">
        <v>3538</v>
      </c>
      <c r="C765" s="3168">
        <v>-1025</v>
      </c>
      <c r="D765" s="3168">
        <v>25.39</v>
      </c>
      <c r="E765" s="3168">
        <v>8.8699999999999992</v>
      </c>
    </row>
    <row r="766" spans="1:5" ht="14.25">
      <c r="A766" s="3168">
        <v>765</v>
      </c>
      <c r="B766" s="3168" t="s">
        <v>3538</v>
      </c>
      <c r="C766" s="3168">
        <v>-1026</v>
      </c>
      <c r="D766" s="3168">
        <v>25.39</v>
      </c>
      <c r="E766" s="3168">
        <v>8.8699999999999992</v>
      </c>
    </row>
    <row r="767" spans="1:5" ht="14.25">
      <c r="A767" s="3168">
        <v>766</v>
      </c>
      <c r="B767" s="3168" t="s">
        <v>3538</v>
      </c>
      <c r="C767" s="3168">
        <v>-1027</v>
      </c>
      <c r="D767" s="3168">
        <v>25.39</v>
      </c>
      <c r="E767" s="3168">
        <v>8.8699999999999992</v>
      </c>
    </row>
    <row r="768" spans="1:5" ht="14.25">
      <c r="A768" s="3168">
        <v>767</v>
      </c>
      <c r="B768" s="3168" t="s">
        <v>3538</v>
      </c>
      <c r="C768" s="3168">
        <v>-1028</v>
      </c>
      <c r="D768" s="3168">
        <v>25.39</v>
      </c>
      <c r="E768" s="3168">
        <v>8.8699999999999992</v>
      </c>
    </row>
    <row r="769" spans="1:5" ht="14.25">
      <c r="A769" s="3168">
        <v>768</v>
      </c>
      <c r="B769" s="3168" t="s">
        <v>3538</v>
      </c>
      <c r="C769" s="3168">
        <v>-1029</v>
      </c>
      <c r="D769" s="3168">
        <v>25.39</v>
      </c>
      <c r="E769" s="3168">
        <v>8.8699999999999992</v>
      </c>
    </row>
    <row r="770" spans="1:5" ht="14.25">
      <c r="A770" s="3168">
        <v>769</v>
      </c>
      <c r="B770" s="3168" t="s">
        <v>3538</v>
      </c>
      <c r="C770" s="3168">
        <v>-1030</v>
      </c>
      <c r="D770" s="3168">
        <v>25.39</v>
      </c>
      <c r="E770" s="3168">
        <v>8.8699999999999992</v>
      </c>
    </row>
    <row r="771" spans="1:5" ht="14.25">
      <c r="A771" s="3168">
        <v>770</v>
      </c>
      <c r="B771" s="3168" t="s">
        <v>3538</v>
      </c>
      <c r="C771" s="3168">
        <v>-1031</v>
      </c>
      <c r="D771" s="3168">
        <v>25.39</v>
      </c>
      <c r="E771" s="3168">
        <v>8.8699999999999992</v>
      </c>
    </row>
    <row r="772" spans="1:5" ht="14.25">
      <c r="A772" s="3168">
        <v>771</v>
      </c>
      <c r="B772" s="3168" t="s">
        <v>3538</v>
      </c>
      <c r="C772" s="3168">
        <v>-1032</v>
      </c>
      <c r="D772" s="3168">
        <v>25.39</v>
      </c>
      <c r="E772" s="3168">
        <v>8.8699999999999992</v>
      </c>
    </row>
    <row r="773" spans="1:5" ht="14.25">
      <c r="A773" s="3168">
        <v>772</v>
      </c>
      <c r="B773" s="3168" t="s">
        <v>3538</v>
      </c>
      <c r="C773" s="3168">
        <v>-1033</v>
      </c>
      <c r="D773" s="3168">
        <v>25.39</v>
      </c>
      <c r="E773" s="3168">
        <v>8.8699999999999992</v>
      </c>
    </row>
    <row r="774" spans="1:5" ht="14.25">
      <c r="A774" s="3168">
        <v>773</v>
      </c>
      <c r="B774" s="3168" t="s">
        <v>3538</v>
      </c>
      <c r="C774" s="3168">
        <v>-1034</v>
      </c>
      <c r="D774" s="3168">
        <v>25.39</v>
      </c>
      <c r="E774" s="3168">
        <v>8.8699999999999992</v>
      </c>
    </row>
    <row r="775" spans="1:5" ht="14.25">
      <c r="A775" s="3168">
        <v>774</v>
      </c>
      <c r="B775" s="3168" t="s">
        <v>3538</v>
      </c>
      <c r="C775" s="3168">
        <v>-1035</v>
      </c>
      <c r="D775" s="3168">
        <v>25.39</v>
      </c>
      <c r="E775" s="3168">
        <v>8.8699999999999992</v>
      </c>
    </row>
    <row r="776" spans="1:5" ht="14.25">
      <c r="A776" s="3168">
        <v>775</v>
      </c>
      <c r="B776" s="3168" t="s">
        <v>3538</v>
      </c>
      <c r="C776" s="3168">
        <v>-1036</v>
      </c>
      <c r="D776" s="3168">
        <v>25.39</v>
      </c>
      <c r="E776" s="3168">
        <v>8.8699999999999992</v>
      </c>
    </row>
    <row r="777" spans="1:5" ht="14.25">
      <c r="A777" s="3168">
        <v>776</v>
      </c>
      <c r="B777" s="3168" t="s">
        <v>3538</v>
      </c>
      <c r="C777" s="3168">
        <v>-1037</v>
      </c>
      <c r="D777" s="3168">
        <v>25.39</v>
      </c>
      <c r="E777" s="3168">
        <v>8.8699999999999992</v>
      </c>
    </row>
    <row r="778" spans="1:5" ht="14.25">
      <c r="A778" s="3168">
        <v>777</v>
      </c>
      <c r="B778" s="3168" t="s">
        <v>3538</v>
      </c>
      <c r="C778" s="3168">
        <v>-1038</v>
      </c>
      <c r="D778" s="3168">
        <v>25.39</v>
      </c>
      <c r="E778" s="3168">
        <v>8.8699999999999992</v>
      </c>
    </row>
    <row r="779" spans="1:5" ht="14.25">
      <c r="A779" s="3168">
        <v>778</v>
      </c>
      <c r="B779" s="3168" t="s">
        <v>3538</v>
      </c>
      <c r="C779" s="3168">
        <v>-1039</v>
      </c>
      <c r="D779" s="3168">
        <v>25.39</v>
      </c>
      <c r="E779" s="3168">
        <v>8.8699999999999992</v>
      </c>
    </row>
    <row r="780" spans="1:5" ht="14.25">
      <c r="A780" s="3168">
        <v>779</v>
      </c>
      <c r="B780" s="3168" t="s">
        <v>3538</v>
      </c>
      <c r="C780" s="3168">
        <v>-1040</v>
      </c>
      <c r="D780" s="3168">
        <v>25.39</v>
      </c>
      <c r="E780" s="3168">
        <v>8.8699999999999992</v>
      </c>
    </row>
    <row r="781" spans="1:5" ht="14.25">
      <c r="A781" s="3168">
        <v>780</v>
      </c>
      <c r="B781" s="3168" t="s">
        <v>3538</v>
      </c>
      <c r="C781" s="3168">
        <v>-1041</v>
      </c>
      <c r="D781" s="3168">
        <v>25.39</v>
      </c>
      <c r="E781" s="3168">
        <v>8.8699999999999992</v>
      </c>
    </row>
    <row r="782" spans="1:5" ht="14.25">
      <c r="A782" s="3168">
        <v>781</v>
      </c>
      <c r="B782" s="3168" t="s">
        <v>3538</v>
      </c>
      <c r="C782" s="3168">
        <v>-1042</v>
      </c>
      <c r="D782" s="3168">
        <v>25.39</v>
      </c>
      <c r="E782" s="3168">
        <v>8.8699999999999992</v>
      </c>
    </row>
    <row r="783" spans="1:5" ht="14.25">
      <c r="A783" s="3168">
        <v>782</v>
      </c>
      <c r="B783" s="3168" t="s">
        <v>3538</v>
      </c>
      <c r="C783" s="3168">
        <v>-1043</v>
      </c>
      <c r="D783" s="3168">
        <v>25.39</v>
      </c>
      <c r="E783" s="3168">
        <v>8.8699999999999992</v>
      </c>
    </row>
    <row r="784" spans="1:5" ht="14.25">
      <c r="A784" s="3168">
        <v>783</v>
      </c>
      <c r="B784" s="3168" t="s">
        <v>3538</v>
      </c>
      <c r="C784" s="3168">
        <v>-1044</v>
      </c>
      <c r="D784" s="3168">
        <v>25.39</v>
      </c>
      <c r="E784" s="3168">
        <v>8.8699999999999992</v>
      </c>
    </row>
    <row r="785" spans="1:5" ht="14.25">
      <c r="A785" s="3168">
        <v>784</v>
      </c>
      <c r="B785" s="3168" t="s">
        <v>3538</v>
      </c>
      <c r="C785" s="3168">
        <v>-1045</v>
      </c>
      <c r="D785" s="3168">
        <v>25.39</v>
      </c>
      <c r="E785" s="3168">
        <v>8.8699999999999992</v>
      </c>
    </row>
    <row r="786" spans="1:5" ht="14.25">
      <c r="A786" s="3168">
        <v>785</v>
      </c>
      <c r="B786" s="3168" t="s">
        <v>3538</v>
      </c>
      <c r="C786" s="3168">
        <v>-1046</v>
      </c>
      <c r="D786" s="3168">
        <v>25.39</v>
      </c>
      <c r="E786" s="3168">
        <v>8.8699999999999992</v>
      </c>
    </row>
    <row r="787" spans="1:5" ht="14.25">
      <c r="A787" s="3168">
        <v>786</v>
      </c>
      <c r="B787" s="3168" t="s">
        <v>3538</v>
      </c>
      <c r="C787" s="3168">
        <v>-1047</v>
      </c>
      <c r="D787" s="3168">
        <v>25.39</v>
      </c>
      <c r="E787" s="3168">
        <v>8.8699999999999992</v>
      </c>
    </row>
    <row r="788" spans="1:5" ht="14.25">
      <c r="A788" s="3168">
        <v>787</v>
      </c>
      <c r="B788" s="3168" t="s">
        <v>3538</v>
      </c>
      <c r="C788" s="3168">
        <v>-1048</v>
      </c>
      <c r="D788" s="3168">
        <v>25.39</v>
      </c>
      <c r="E788" s="3168">
        <v>8.8699999999999992</v>
      </c>
    </row>
    <row r="789" spans="1:5" ht="14.25">
      <c r="A789" s="3168">
        <v>788</v>
      </c>
      <c r="B789" s="3168" t="s">
        <v>3538</v>
      </c>
      <c r="C789" s="3168">
        <v>-1049</v>
      </c>
      <c r="D789" s="3168">
        <v>25.39</v>
      </c>
      <c r="E789" s="3168">
        <v>8.8699999999999992</v>
      </c>
    </row>
    <row r="790" spans="1:5" ht="14.25">
      <c r="A790" s="3168">
        <v>789</v>
      </c>
      <c r="B790" s="3168" t="s">
        <v>3538</v>
      </c>
      <c r="C790" s="3168">
        <v>-1050</v>
      </c>
      <c r="D790" s="3168">
        <v>25.39</v>
      </c>
      <c r="E790" s="3168">
        <v>8.8699999999999992</v>
      </c>
    </row>
    <row r="791" spans="1:5" ht="14.25">
      <c r="A791" s="3168">
        <v>790</v>
      </c>
      <c r="B791" s="3168" t="s">
        <v>3538</v>
      </c>
      <c r="C791" s="3168">
        <v>-1051</v>
      </c>
      <c r="D791" s="3168">
        <v>25.39</v>
      </c>
      <c r="E791" s="3168">
        <v>8.8699999999999992</v>
      </c>
    </row>
    <row r="792" spans="1:5" ht="14.25">
      <c r="A792" s="3168">
        <v>791</v>
      </c>
      <c r="B792" s="3168" t="s">
        <v>3538</v>
      </c>
      <c r="C792" s="3168">
        <v>-1052</v>
      </c>
      <c r="D792" s="3168">
        <v>25.39</v>
      </c>
      <c r="E792" s="3168">
        <v>8.8699999999999992</v>
      </c>
    </row>
    <row r="793" spans="1:5" ht="14.25">
      <c r="A793" s="3168">
        <v>792</v>
      </c>
      <c r="B793" s="3168" t="s">
        <v>3538</v>
      </c>
      <c r="C793" s="3168">
        <v>-1053</v>
      </c>
      <c r="D793" s="3168">
        <v>25.39</v>
      </c>
      <c r="E793" s="3168">
        <v>8.8699999999999992</v>
      </c>
    </row>
    <row r="794" spans="1:5" ht="14.25">
      <c r="A794" s="3168">
        <v>793</v>
      </c>
      <c r="B794" s="3168" t="s">
        <v>3538</v>
      </c>
      <c r="C794" s="3168">
        <v>-1054</v>
      </c>
      <c r="D794" s="3168">
        <v>25.39</v>
      </c>
      <c r="E794" s="3168">
        <v>8.8699999999999992</v>
      </c>
    </row>
    <row r="795" spans="1:5" ht="14.25">
      <c r="A795" s="3168">
        <v>794</v>
      </c>
      <c r="B795" s="3168" t="s">
        <v>3538</v>
      </c>
      <c r="C795" s="3168">
        <v>-1055</v>
      </c>
      <c r="D795" s="3168">
        <v>25.39</v>
      </c>
      <c r="E795" s="3168">
        <v>8.8699999999999992</v>
      </c>
    </row>
    <row r="796" spans="1:5" ht="14.25">
      <c r="A796" s="3168">
        <v>795</v>
      </c>
      <c r="B796" s="3168" t="s">
        <v>3538</v>
      </c>
      <c r="C796" s="3168">
        <v>-1056</v>
      </c>
      <c r="D796" s="3168">
        <v>25.39</v>
      </c>
      <c r="E796" s="3168">
        <v>8.8699999999999992</v>
      </c>
    </row>
    <row r="797" spans="1:5" ht="14.25">
      <c r="A797" s="3168">
        <v>796</v>
      </c>
      <c r="B797" s="3168" t="s">
        <v>3538</v>
      </c>
      <c r="C797" s="3168">
        <v>-1057</v>
      </c>
      <c r="D797" s="3168">
        <v>25.39</v>
      </c>
      <c r="E797" s="3168">
        <v>8.8699999999999992</v>
      </c>
    </row>
    <row r="798" spans="1:5" ht="14.25">
      <c r="A798" s="3168">
        <v>797</v>
      </c>
      <c r="B798" s="3168" t="s">
        <v>3538</v>
      </c>
      <c r="C798" s="3168">
        <v>-1058</v>
      </c>
      <c r="D798" s="3168">
        <v>25.39</v>
      </c>
      <c r="E798" s="3168">
        <v>8.8699999999999992</v>
      </c>
    </row>
    <row r="799" spans="1:5" ht="14.25">
      <c r="A799" s="3168">
        <v>798</v>
      </c>
      <c r="B799" s="3168" t="s">
        <v>3538</v>
      </c>
      <c r="C799" s="3168">
        <v>-1059</v>
      </c>
      <c r="D799" s="3168">
        <v>25.39</v>
      </c>
      <c r="E799" s="3168">
        <v>8.8699999999999992</v>
      </c>
    </row>
    <row r="800" spans="1:5" ht="14.25">
      <c r="A800" s="3168">
        <v>799</v>
      </c>
      <c r="B800" s="3168" t="s">
        <v>3538</v>
      </c>
      <c r="C800" s="3168">
        <v>-1060</v>
      </c>
      <c r="D800" s="3168">
        <v>25.39</v>
      </c>
      <c r="E800" s="3168">
        <v>8.8699999999999992</v>
      </c>
    </row>
    <row r="801" spans="1:5" ht="14.25">
      <c r="A801" s="3168">
        <v>800</v>
      </c>
      <c r="B801" s="3168" t="s">
        <v>3538</v>
      </c>
      <c r="C801" s="3168">
        <v>-1061</v>
      </c>
      <c r="D801" s="3168">
        <v>25.39</v>
      </c>
      <c r="E801" s="3168">
        <v>8.8699999999999992</v>
      </c>
    </row>
    <row r="802" spans="1:5" ht="14.25">
      <c r="A802" s="3168">
        <v>801</v>
      </c>
      <c r="B802" s="3168" t="s">
        <v>3538</v>
      </c>
      <c r="C802" s="3168">
        <v>-1062</v>
      </c>
      <c r="D802" s="3168">
        <v>25.39</v>
      </c>
      <c r="E802" s="3168">
        <v>8.8699999999999992</v>
      </c>
    </row>
    <row r="803" spans="1:5" ht="14.25">
      <c r="A803" s="3168">
        <v>802</v>
      </c>
      <c r="B803" s="3168" t="s">
        <v>3538</v>
      </c>
      <c r="C803" s="3168">
        <v>-1063</v>
      </c>
      <c r="D803" s="3168">
        <v>25.39</v>
      </c>
      <c r="E803" s="3168">
        <v>8.8699999999999992</v>
      </c>
    </row>
    <row r="804" spans="1:5" ht="14.25">
      <c r="A804" s="3168">
        <v>803</v>
      </c>
      <c r="B804" s="3168" t="s">
        <v>3538</v>
      </c>
      <c r="C804" s="3168">
        <v>-1064</v>
      </c>
      <c r="D804" s="3168">
        <v>25.39</v>
      </c>
      <c r="E804" s="3168">
        <v>8.8699999999999992</v>
      </c>
    </row>
    <row r="805" spans="1:5" ht="14.25">
      <c r="A805" s="3168">
        <v>804</v>
      </c>
      <c r="B805" s="3168" t="s">
        <v>3538</v>
      </c>
      <c r="C805" s="3168">
        <v>-1065</v>
      </c>
      <c r="D805" s="3168">
        <v>25.39</v>
      </c>
      <c r="E805" s="3168">
        <v>8.8699999999999992</v>
      </c>
    </row>
    <row r="806" spans="1:5" ht="14.25">
      <c r="A806" s="3168">
        <v>805</v>
      </c>
      <c r="B806" s="3168" t="s">
        <v>3538</v>
      </c>
      <c r="C806" s="3168">
        <v>-1066</v>
      </c>
      <c r="D806" s="3168">
        <v>25.39</v>
      </c>
      <c r="E806" s="3168">
        <v>8.8699999999999992</v>
      </c>
    </row>
    <row r="807" spans="1:5" ht="14.25">
      <c r="A807" s="3168">
        <v>806</v>
      </c>
      <c r="B807" s="3168" t="s">
        <v>3538</v>
      </c>
      <c r="C807" s="3168">
        <v>-1067</v>
      </c>
      <c r="D807" s="3168">
        <v>25.39</v>
      </c>
      <c r="E807" s="3168">
        <v>8.8699999999999992</v>
      </c>
    </row>
    <row r="808" spans="1:5" ht="14.25">
      <c r="A808" s="3168">
        <v>807</v>
      </c>
      <c r="B808" s="3168" t="s">
        <v>3538</v>
      </c>
      <c r="C808" s="3168">
        <v>-1068</v>
      </c>
      <c r="D808" s="3168">
        <v>25.39</v>
      </c>
      <c r="E808" s="3168">
        <v>8.8699999999999992</v>
      </c>
    </row>
    <row r="809" spans="1:5" ht="14.25">
      <c r="A809" s="3168">
        <v>808</v>
      </c>
      <c r="B809" s="3168" t="s">
        <v>3538</v>
      </c>
      <c r="C809" s="3168">
        <v>-1069</v>
      </c>
      <c r="D809" s="3168">
        <v>25.39</v>
      </c>
      <c r="E809" s="3168">
        <v>8.8699999999999992</v>
      </c>
    </row>
    <row r="810" spans="1:5" ht="14.25">
      <c r="A810" s="3168">
        <v>809</v>
      </c>
      <c r="B810" s="3168" t="s">
        <v>3538</v>
      </c>
      <c r="C810" s="3168">
        <v>-1070</v>
      </c>
      <c r="D810" s="3168">
        <v>25.39</v>
      </c>
      <c r="E810" s="3168">
        <v>8.8699999999999992</v>
      </c>
    </row>
    <row r="811" spans="1:5" ht="14.25">
      <c r="A811" s="3168">
        <v>810</v>
      </c>
      <c r="B811" s="3168" t="s">
        <v>3538</v>
      </c>
      <c r="C811" s="3168">
        <v>-1071</v>
      </c>
      <c r="D811" s="3168">
        <v>25.39</v>
      </c>
      <c r="E811" s="3168">
        <v>8.8699999999999992</v>
      </c>
    </row>
    <row r="812" spans="1:5" ht="14.25">
      <c r="A812" s="3168">
        <v>811</v>
      </c>
      <c r="B812" s="3168" t="s">
        <v>3538</v>
      </c>
      <c r="C812" s="3168">
        <v>-1072</v>
      </c>
      <c r="D812" s="3168">
        <v>25.39</v>
      </c>
      <c r="E812" s="3168">
        <v>8.8699999999999992</v>
      </c>
    </row>
    <row r="813" spans="1:5" ht="14.25">
      <c r="A813" s="3168">
        <v>812</v>
      </c>
      <c r="B813" s="3168" t="s">
        <v>3538</v>
      </c>
      <c r="C813" s="3168">
        <v>-1073</v>
      </c>
      <c r="D813" s="3168">
        <v>25.39</v>
      </c>
      <c r="E813" s="3168">
        <v>8.8699999999999992</v>
      </c>
    </row>
    <row r="814" spans="1:5" ht="14.25">
      <c r="A814" s="3168">
        <v>813</v>
      </c>
      <c r="B814" s="3168" t="s">
        <v>3538</v>
      </c>
      <c r="C814" s="3168">
        <v>-1074</v>
      </c>
      <c r="D814" s="3168">
        <v>25.39</v>
      </c>
      <c r="E814" s="3168">
        <v>8.8699999999999992</v>
      </c>
    </row>
    <row r="815" spans="1:5" ht="14.25">
      <c r="A815" s="3168">
        <v>814</v>
      </c>
      <c r="B815" s="3168" t="s">
        <v>3538</v>
      </c>
      <c r="C815" s="3168">
        <v>-1075</v>
      </c>
      <c r="D815" s="3168">
        <v>25.39</v>
      </c>
      <c r="E815" s="3168">
        <v>8.8699999999999992</v>
      </c>
    </row>
    <row r="816" spans="1:5" ht="14.25">
      <c r="A816" s="3168">
        <v>815</v>
      </c>
      <c r="B816" s="3168" t="s">
        <v>3538</v>
      </c>
      <c r="C816" s="3168">
        <v>-1076</v>
      </c>
      <c r="D816" s="3168">
        <v>25.39</v>
      </c>
      <c r="E816" s="3168">
        <v>8.8699999999999992</v>
      </c>
    </row>
    <row r="817" spans="1:5" ht="14.25">
      <c r="A817" s="3168">
        <v>816</v>
      </c>
      <c r="B817" s="3168" t="s">
        <v>3538</v>
      </c>
      <c r="C817" s="3168">
        <v>-1077</v>
      </c>
      <c r="D817" s="3168">
        <v>25.39</v>
      </c>
      <c r="E817" s="3168">
        <v>8.8699999999999992</v>
      </c>
    </row>
    <row r="818" spans="1:5" ht="14.25">
      <c r="A818" s="3168">
        <v>817</v>
      </c>
      <c r="B818" s="3168" t="s">
        <v>3538</v>
      </c>
      <c r="C818" s="3168">
        <v>-1078</v>
      </c>
      <c r="D818" s="3168">
        <v>25.39</v>
      </c>
      <c r="E818" s="3168">
        <v>8.8699999999999992</v>
      </c>
    </row>
    <row r="819" spans="1:5" ht="14.25">
      <c r="A819" s="3168">
        <v>818</v>
      </c>
      <c r="B819" s="3168" t="s">
        <v>3538</v>
      </c>
      <c r="C819" s="3168">
        <v>-1079</v>
      </c>
      <c r="D819" s="3168">
        <v>25.39</v>
      </c>
      <c r="E819" s="3168">
        <v>8.8699999999999992</v>
      </c>
    </row>
    <row r="820" spans="1:5" ht="14.25">
      <c r="A820" s="3168">
        <v>819</v>
      </c>
      <c r="B820" s="3168" t="s">
        <v>3538</v>
      </c>
      <c r="C820" s="3168">
        <v>-1080</v>
      </c>
      <c r="D820" s="3168">
        <v>25.39</v>
      </c>
      <c r="E820" s="3168">
        <v>8.8699999999999992</v>
      </c>
    </row>
    <row r="821" spans="1:5" ht="14.25">
      <c r="A821" s="3168">
        <v>820</v>
      </c>
      <c r="B821" s="3168" t="s">
        <v>3538</v>
      </c>
      <c r="C821" s="3168">
        <v>-1081</v>
      </c>
      <c r="D821" s="3168">
        <v>25.39</v>
      </c>
      <c r="E821" s="3168">
        <v>8.8699999999999992</v>
      </c>
    </row>
    <row r="822" spans="1:5" ht="14.25">
      <c r="A822" s="3168">
        <v>821</v>
      </c>
      <c r="B822" s="3168" t="s">
        <v>3538</v>
      </c>
      <c r="C822" s="3168">
        <v>-1082</v>
      </c>
      <c r="D822" s="3168">
        <v>25.39</v>
      </c>
      <c r="E822" s="3168">
        <v>8.8699999999999992</v>
      </c>
    </row>
    <row r="823" spans="1:5" ht="14.25">
      <c r="A823" s="3168">
        <v>822</v>
      </c>
      <c r="B823" s="3168" t="s">
        <v>3538</v>
      </c>
      <c r="C823" s="3168">
        <v>-1083</v>
      </c>
      <c r="D823" s="3168">
        <v>25.39</v>
      </c>
      <c r="E823" s="3168">
        <v>8.8699999999999992</v>
      </c>
    </row>
    <row r="824" spans="1:5" ht="14.25">
      <c r="A824" s="3168">
        <v>823</v>
      </c>
      <c r="B824" s="3168" t="s">
        <v>3538</v>
      </c>
      <c r="C824" s="3168">
        <v>-1084</v>
      </c>
      <c r="D824" s="3168">
        <v>25.39</v>
      </c>
      <c r="E824" s="3168">
        <v>8.8699999999999992</v>
      </c>
    </row>
    <row r="825" spans="1:5" ht="14.25">
      <c r="A825" s="3168">
        <v>824</v>
      </c>
      <c r="B825" s="3168" t="s">
        <v>3538</v>
      </c>
      <c r="C825" s="3168">
        <v>-1085</v>
      </c>
      <c r="D825" s="3168">
        <v>25.39</v>
      </c>
      <c r="E825" s="3168">
        <v>8.8699999999999992</v>
      </c>
    </row>
    <row r="826" spans="1:5" ht="14.25">
      <c r="A826" s="3168">
        <v>825</v>
      </c>
      <c r="B826" s="3168" t="s">
        <v>3538</v>
      </c>
      <c r="C826" s="3168">
        <v>-1086</v>
      </c>
      <c r="D826" s="3168">
        <v>25.39</v>
      </c>
      <c r="E826" s="3168">
        <v>8.8699999999999992</v>
      </c>
    </row>
    <row r="827" spans="1:5" ht="14.25">
      <c r="A827" s="3168">
        <v>826</v>
      </c>
      <c r="B827" s="3168" t="s">
        <v>3538</v>
      </c>
      <c r="C827" s="3168">
        <v>-1087</v>
      </c>
      <c r="D827" s="3168">
        <v>25.39</v>
      </c>
      <c r="E827" s="3168">
        <v>8.8699999999999992</v>
      </c>
    </row>
    <row r="828" spans="1:5" ht="14.25">
      <c r="A828" s="3168">
        <v>827</v>
      </c>
      <c r="B828" s="3168" t="s">
        <v>3538</v>
      </c>
      <c r="C828" s="3168">
        <v>-1088</v>
      </c>
      <c r="D828" s="3168">
        <v>25.39</v>
      </c>
      <c r="E828" s="3168">
        <v>8.8699999999999992</v>
      </c>
    </row>
    <row r="829" spans="1:5" ht="14.25">
      <c r="A829" s="3168">
        <v>828</v>
      </c>
      <c r="B829" s="3168" t="s">
        <v>3538</v>
      </c>
      <c r="C829" s="3168">
        <v>-1089</v>
      </c>
      <c r="D829" s="3168">
        <v>25.39</v>
      </c>
      <c r="E829" s="3168">
        <v>8.8699999999999992</v>
      </c>
    </row>
    <row r="830" spans="1:5" ht="14.25">
      <c r="A830" s="3168">
        <v>829</v>
      </c>
      <c r="B830" s="3168" t="s">
        <v>3538</v>
      </c>
      <c r="C830" s="3168">
        <v>-1090</v>
      </c>
      <c r="D830" s="3168">
        <v>25.39</v>
      </c>
      <c r="E830" s="3168">
        <v>8.8699999999999992</v>
      </c>
    </row>
    <row r="831" spans="1:5" ht="14.25">
      <c r="A831" s="3168">
        <v>830</v>
      </c>
      <c r="B831" s="3168" t="s">
        <v>3538</v>
      </c>
      <c r="C831" s="3168">
        <v>-1091</v>
      </c>
      <c r="D831" s="3168">
        <v>25.39</v>
      </c>
      <c r="E831" s="3168">
        <v>8.8699999999999992</v>
      </c>
    </row>
    <row r="832" spans="1:5" ht="14.25">
      <c r="A832" s="3168">
        <v>831</v>
      </c>
      <c r="B832" s="3168" t="s">
        <v>3538</v>
      </c>
      <c r="C832" s="3168">
        <v>-1092</v>
      </c>
      <c r="D832" s="3168">
        <v>25.39</v>
      </c>
      <c r="E832" s="3168">
        <v>8.8699999999999992</v>
      </c>
    </row>
    <row r="833" spans="1:5" ht="14.25">
      <c r="A833" s="3168">
        <v>832</v>
      </c>
      <c r="B833" s="3168" t="s">
        <v>3538</v>
      </c>
      <c r="C833" s="3168">
        <v>-1093</v>
      </c>
      <c r="D833" s="3168">
        <v>25.39</v>
      </c>
      <c r="E833" s="3168">
        <v>8.8699999999999992</v>
      </c>
    </row>
    <row r="834" spans="1:5" ht="14.25">
      <c r="A834" s="3168">
        <v>833</v>
      </c>
      <c r="B834" s="3168" t="s">
        <v>3538</v>
      </c>
      <c r="C834" s="3168">
        <v>-1094</v>
      </c>
      <c r="D834" s="3168">
        <v>25.39</v>
      </c>
      <c r="E834" s="3168">
        <v>8.8699999999999992</v>
      </c>
    </row>
    <row r="835" spans="1:5" ht="14.25">
      <c r="A835" s="3168">
        <v>834</v>
      </c>
      <c r="B835" s="3168" t="s">
        <v>3538</v>
      </c>
      <c r="C835" s="3168">
        <v>-1095</v>
      </c>
      <c r="D835" s="3168">
        <v>25.39</v>
      </c>
      <c r="E835" s="3168">
        <v>8.8699999999999992</v>
      </c>
    </row>
    <row r="836" spans="1:5" ht="14.25">
      <c r="A836" s="3168">
        <v>835</v>
      </c>
      <c r="B836" s="3168" t="s">
        <v>3538</v>
      </c>
      <c r="C836" s="3168">
        <v>-1096</v>
      </c>
      <c r="D836" s="3168">
        <v>25.39</v>
      </c>
      <c r="E836" s="3168">
        <v>8.8699999999999992</v>
      </c>
    </row>
    <row r="837" spans="1:5" ht="14.25">
      <c r="A837" s="3168">
        <v>836</v>
      </c>
      <c r="B837" s="3168" t="s">
        <v>3538</v>
      </c>
      <c r="C837" s="3168">
        <v>-1097</v>
      </c>
      <c r="D837" s="3168">
        <v>25.39</v>
      </c>
      <c r="E837" s="3168">
        <v>8.8699999999999992</v>
      </c>
    </row>
    <row r="838" spans="1:5" ht="14.25">
      <c r="A838" s="3168">
        <v>837</v>
      </c>
      <c r="B838" s="3168" t="s">
        <v>3538</v>
      </c>
      <c r="C838" s="3168">
        <v>-1098</v>
      </c>
      <c r="D838" s="3168">
        <v>25.39</v>
      </c>
      <c r="E838" s="3168">
        <v>8.8699999999999992</v>
      </c>
    </row>
    <row r="839" spans="1:5" ht="14.25">
      <c r="A839" s="3168">
        <v>838</v>
      </c>
      <c r="B839" s="3168" t="s">
        <v>3538</v>
      </c>
      <c r="C839" s="3168">
        <v>-1099</v>
      </c>
      <c r="D839" s="3168">
        <v>25.39</v>
      </c>
      <c r="E839" s="3168">
        <v>8.8699999999999992</v>
      </c>
    </row>
    <row r="840" spans="1:5" ht="14.25">
      <c r="A840" s="3168">
        <v>839</v>
      </c>
      <c r="B840" s="3168" t="s">
        <v>3538</v>
      </c>
      <c r="C840" s="3168">
        <v>-1100</v>
      </c>
      <c r="D840" s="3168">
        <v>25.39</v>
      </c>
      <c r="E840" s="3168">
        <v>8.8699999999999992</v>
      </c>
    </row>
    <row r="841" spans="1:5" ht="14.25">
      <c r="A841" s="3168">
        <v>840</v>
      </c>
      <c r="B841" s="3168" t="s">
        <v>3538</v>
      </c>
      <c r="C841" s="3168">
        <v>-1101</v>
      </c>
      <c r="D841" s="3168">
        <v>25.39</v>
      </c>
      <c r="E841" s="3168">
        <v>8.8699999999999992</v>
      </c>
    </row>
    <row r="842" spans="1:5" ht="14.25">
      <c r="A842" s="3168">
        <v>841</v>
      </c>
      <c r="B842" s="3168" t="s">
        <v>3538</v>
      </c>
      <c r="C842" s="3168">
        <v>-1102</v>
      </c>
      <c r="D842" s="3168">
        <v>25.39</v>
      </c>
      <c r="E842" s="3168">
        <v>8.8699999999999992</v>
      </c>
    </row>
    <row r="843" spans="1:5" ht="14.25">
      <c r="A843" s="3168">
        <v>842</v>
      </c>
      <c r="B843" s="3168" t="s">
        <v>3538</v>
      </c>
      <c r="C843" s="3168">
        <v>-1103</v>
      </c>
      <c r="D843" s="3168">
        <v>25.39</v>
      </c>
      <c r="E843" s="3168">
        <v>8.8699999999999992</v>
      </c>
    </row>
    <row r="844" spans="1:5" ht="14.25">
      <c r="A844" s="3168">
        <v>843</v>
      </c>
      <c r="B844" s="3168" t="s">
        <v>3538</v>
      </c>
      <c r="C844" s="3168">
        <v>-1104</v>
      </c>
      <c r="D844" s="3168">
        <v>25.39</v>
      </c>
      <c r="E844" s="3168">
        <v>8.8699999999999992</v>
      </c>
    </row>
    <row r="845" spans="1:5" ht="14.25">
      <c r="A845" s="3168">
        <v>844</v>
      </c>
      <c r="B845" s="3168" t="s">
        <v>3538</v>
      </c>
      <c r="C845" s="3168">
        <v>-1105</v>
      </c>
      <c r="D845" s="3168">
        <v>25.39</v>
      </c>
      <c r="E845" s="3168">
        <v>8.8699999999999992</v>
      </c>
    </row>
    <row r="846" spans="1:5" ht="14.25">
      <c r="A846" s="3168">
        <v>845</v>
      </c>
      <c r="B846" s="3168" t="s">
        <v>3538</v>
      </c>
      <c r="C846" s="3168">
        <v>-1106</v>
      </c>
      <c r="D846" s="3168">
        <v>25.39</v>
      </c>
      <c r="E846" s="3168">
        <v>8.8699999999999992</v>
      </c>
    </row>
    <row r="847" spans="1:5" ht="14.25">
      <c r="A847" s="3168">
        <v>846</v>
      </c>
      <c r="B847" s="3168" t="s">
        <v>3538</v>
      </c>
      <c r="C847" s="3168">
        <v>-1107</v>
      </c>
      <c r="D847" s="3168">
        <v>25.39</v>
      </c>
      <c r="E847" s="3168">
        <v>8.8699999999999992</v>
      </c>
    </row>
    <row r="848" spans="1:5" ht="14.25">
      <c r="A848" s="3168">
        <v>847</v>
      </c>
      <c r="B848" s="3168" t="s">
        <v>3538</v>
      </c>
      <c r="C848" s="3168">
        <v>-1108</v>
      </c>
      <c r="D848" s="3168">
        <v>25.39</v>
      </c>
      <c r="E848" s="3168">
        <v>8.8699999999999992</v>
      </c>
    </row>
    <row r="849" spans="1:5" ht="14.25">
      <c r="A849" s="3168">
        <v>848</v>
      </c>
      <c r="B849" s="3168" t="s">
        <v>3538</v>
      </c>
      <c r="C849" s="3168">
        <v>-1109</v>
      </c>
      <c r="D849" s="3168">
        <v>25.39</v>
      </c>
      <c r="E849" s="3168">
        <v>8.8699999999999992</v>
      </c>
    </row>
    <row r="850" spans="1:5" ht="14.25">
      <c r="A850" s="3168">
        <v>849</v>
      </c>
      <c r="B850" s="3168" t="s">
        <v>3538</v>
      </c>
      <c r="C850" s="3168">
        <v>-1110</v>
      </c>
      <c r="D850" s="3168">
        <v>25.39</v>
      </c>
      <c r="E850" s="3168">
        <v>8.8699999999999992</v>
      </c>
    </row>
    <row r="851" spans="1:5" ht="14.25">
      <c r="A851" s="3168">
        <v>850</v>
      </c>
      <c r="B851" s="3168" t="s">
        <v>3538</v>
      </c>
      <c r="C851" s="3168">
        <v>-1111</v>
      </c>
      <c r="D851" s="3168">
        <v>25.39</v>
      </c>
      <c r="E851" s="3168">
        <v>8.8699999999999992</v>
      </c>
    </row>
    <row r="852" spans="1:5" ht="14.25">
      <c r="A852" s="3168">
        <v>851</v>
      </c>
      <c r="B852" s="3168" t="s">
        <v>3538</v>
      </c>
      <c r="C852" s="3168">
        <v>-1112</v>
      </c>
      <c r="D852" s="3168">
        <v>25.39</v>
      </c>
      <c r="E852" s="3168">
        <v>8.8699999999999992</v>
      </c>
    </row>
    <row r="853" spans="1:5" ht="14.25">
      <c r="A853" s="3168">
        <v>852</v>
      </c>
      <c r="B853" s="3168" t="s">
        <v>3538</v>
      </c>
      <c r="C853" s="3168">
        <v>-1113</v>
      </c>
      <c r="D853" s="3168">
        <v>25.39</v>
      </c>
      <c r="E853" s="3168">
        <v>8.8699999999999992</v>
      </c>
    </row>
    <row r="854" spans="1:5" ht="14.25">
      <c r="A854" s="3168">
        <v>853</v>
      </c>
      <c r="B854" s="3168" t="s">
        <v>3538</v>
      </c>
      <c r="C854" s="3168">
        <v>-1114</v>
      </c>
      <c r="D854" s="3168">
        <v>25.39</v>
      </c>
      <c r="E854" s="3168">
        <v>8.8699999999999992</v>
      </c>
    </row>
    <row r="855" spans="1:5" ht="14.25">
      <c r="A855" s="3168">
        <v>854</v>
      </c>
      <c r="B855" s="3168" t="s">
        <v>3538</v>
      </c>
      <c r="C855" s="3168">
        <v>-1115</v>
      </c>
      <c r="D855" s="3168">
        <v>25.39</v>
      </c>
      <c r="E855" s="3168">
        <v>8.8699999999999992</v>
      </c>
    </row>
    <row r="856" spans="1:5" ht="14.25">
      <c r="A856" s="3168">
        <v>855</v>
      </c>
      <c r="B856" s="3168" t="s">
        <v>3538</v>
      </c>
      <c r="C856" s="3168">
        <v>-1116</v>
      </c>
      <c r="D856" s="3168">
        <v>25.39</v>
      </c>
      <c r="E856" s="3168">
        <v>8.8699999999999992</v>
      </c>
    </row>
    <row r="857" spans="1:5" ht="14.25">
      <c r="A857" s="3168">
        <v>856</v>
      </c>
      <c r="B857" s="3168" t="s">
        <v>3538</v>
      </c>
      <c r="C857" s="3168">
        <v>-1117</v>
      </c>
      <c r="D857" s="3168">
        <v>25.39</v>
      </c>
      <c r="E857" s="3168">
        <v>8.8699999999999992</v>
      </c>
    </row>
    <row r="858" spans="1:5" ht="14.25">
      <c r="A858" s="3168">
        <v>857</v>
      </c>
      <c r="B858" s="3168" t="s">
        <v>3538</v>
      </c>
      <c r="C858" s="3168">
        <v>-1118</v>
      </c>
      <c r="D858" s="3168">
        <v>25.39</v>
      </c>
      <c r="E858" s="3168">
        <v>8.8699999999999992</v>
      </c>
    </row>
    <row r="859" spans="1:5" ht="14.25">
      <c r="A859" s="3168">
        <v>858</v>
      </c>
      <c r="B859" s="3168" t="s">
        <v>3538</v>
      </c>
      <c r="C859" s="3168">
        <v>-1119</v>
      </c>
      <c r="D859" s="3168">
        <v>25.39</v>
      </c>
      <c r="E859" s="3168">
        <v>8.8699999999999992</v>
      </c>
    </row>
    <row r="860" spans="1:5" ht="14.25">
      <c r="A860" s="3168">
        <v>859</v>
      </c>
      <c r="B860" s="3168" t="s">
        <v>3538</v>
      </c>
      <c r="C860" s="3168">
        <v>-1120</v>
      </c>
      <c r="D860" s="3168">
        <v>25.39</v>
      </c>
      <c r="E860" s="3168">
        <v>8.8699999999999992</v>
      </c>
    </row>
    <row r="861" spans="1:5" ht="14.25">
      <c r="A861" s="3168">
        <v>860</v>
      </c>
      <c r="B861" s="3168" t="s">
        <v>3538</v>
      </c>
      <c r="C861" s="3168">
        <v>-1121</v>
      </c>
      <c r="D861" s="3168">
        <v>25.39</v>
      </c>
      <c r="E861" s="3168">
        <v>8.8699999999999992</v>
      </c>
    </row>
    <row r="862" spans="1:5" ht="14.25">
      <c r="A862" s="3168">
        <v>861</v>
      </c>
      <c r="B862" s="3168" t="s">
        <v>3538</v>
      </c>
      <c r="C862" s="3168">
        <v>-1122</v>
      </c>
      <c r="D862" s="3168">
        <v>25.39</v>
      </c>
      <c r="E862" s="3168">
        <v>8.8699999999999992</v>
      </c>
    </row>
    <row r="863" spans="1:5" ht="14.25">
      <c r="A863" s="3168">
        <v>862</v>
      </c>
      <c r="B863" s="3168" t="s">
        <v>3538</v>
      </c>
      <c r="C863" s="3168">
        <v>-1123</v>
      </c>
      <c r="D863" s="3168">
        <v>25.39</v>
      </c>
      <c r="E863" s="3168">
        <v>8.8699999999999992</v>
      </c>
    </row>
    <row r="864" spans="1:5" ht="14.25">
      <c r="A864" s="3168">
        <v>863</v>
      </c>
      <c r="B864" s="3168" t="s">
        <v>3538</v>
      </c>
      <c r="C864" s="3168">
        <v>-1124</v>
      </c>
      <c r="D864" s="3168">
        <v>25.39</v>
      </c>
      <c r="E864" s="3168">
        <v>8.8699999999999992</v>
      </c>
    </row>
    <row r="865" spans="1:5" ht="14.25">
      <c r="A865" s="3168">
        <v>864</v>
      </c>
      <c r="B865" s="3168" t="s">
        <v>3538</v>
      </c>
      <c r="C865" s="3168">
        <v>-1125</v>
      </c>
      <c r="D865" s="3168">
        <v>25.39</v>
      </c>
      <c r="E865" s="3168">
        <v>8.8699999999999992</v>
      </c>
    </row>
    <row r="866" spans="1:5" ht="14.25">
      <c r="A866" s="3168">
        <v>865</v>
      </c>
      <c r="B866" s="3168" t="s">
        <v>3538</v>
      </c>
      <c r="C866" s="3168">
        <v>-1126</v>
      </c>
      <c r="D866" s="3168">
        <v>25.39</v>
      </c>
      <c r="E866" s="3168">
        <v>8.8699999999999992</v>
      </c>
    </row>
    <row r="867" spans="1:5" ht="14.25">
      <c r="A867" s="3168">
        <v>866</v>
      </c>
      <c r="B867" s="3168" t="s">
        <v>3538</v>
      </c>
      <c r="C867" s="3168">
        <v>-1127</v>
      </c>
      <c r="D867" s="3168">
        <v>25.39</v>
      </c>
      <c r="E867" s="3168">
        <v>8.8699999999999992</v>
      </c>
    </row>
    <row r="868" spans="1:5" ht="14.25">
      <c r="A868" s="3168">
        <v>867</v>
      </c>
      <c r="B868" s="3168" t="s">
        <v>3538</v>
      </c>
      <c r="C868" s="3168">
        <v>-1128</v>
      </c>
      <c r="D868" s="3168">
        <v>25.39</v>
      </c>
      <c r="E868" s="3168">
        <v>8.8699999999999992</v>
      </c>
    </row>
    <row r="869" spans="1:5" ht="14.25">
      <c r="A869" s="3168">
        <v>868</v>
      </c>
      <c r="B869" s="3168" t="s">
        <v>3538</v>
      </c>
      <c r="C869" s="3168">
        <v>-1129</v>
      </c>
      <c r="D869" s="3168">
        <v>25.39</v>
      </c>
      <c r="E869" s="3168">
        <v>8.8699999999999992</v>
      </c>
    </row>
    <row r="870" spans="1:5" ht="14.25">
      <c r="A870" s="3168">
        <v>869</v>
      </c>
      <c r="B870" s="3168" t="s">
        <v>3538</v>
      </c>
      <c r="C870" s="3168">
        <v>-1130</v>
      </c>
      <c r="D870" s="3168">
        <v>25.39</v>
      </c>
      <c r="E870" s="3168">
        <v>8.8699999999999992</v>
      </c>
    </row>
    <row r="871" spans="1:5" ht="14.25">
      <c r="A871" s="3168">
        <v>870</v>
      </c>
      <c r="B871" s="3168" t="s">
        <v>3538</v>
      </c>
      <c r="C871" s="3168">
        <v>-1131</v>
      </c>
      <c r="D871" s="3168">
        <v>25.39</v>
      </c>
      <c r="E871" s="3168">
        <v>8.8699999999999992</v>
      </c>
    </row>
    <row r="872" spans="1:5" ht="14.25">
      <c r="A872" s="3168">
        <v>871</v>
      </c>
      <c r="B872" s="3168" t="s">
        <v>3538</v>
      </c>
      <c r="C872" s="3168">
        <v>-1132</v>
      </c>
      <c r="D872" s="3168">
        <v>25.39</v>
      </c>
      <c r="E872" s="3168">
        <v>8.8699999999999992</v>
      </c>
    </row>
    <row r="873" spans="1:5" ht="14.25">
      <c r="A873" s="3168">
        <v>872</v>
      </c>
      <c r="B873" s="3168" t="s">
        <v>3538</v>
      </c>
      <c r="C873" s="3168">
        <v>-1133</v>
      </c>
      <c r="D873" s="3168">
        <v>25.39</v>
      </c>
      <c r="E873" s="3168">
        <v>8.8699999999999992</v>
      </c>
    </row>
    <row r="874" spans="1:5" ht="14.25">
      <c r="A874" s="3168">
        <v>873</v>
      </c>
      <c r="B874" s="3168" t="s">
        <v>3538</v>
      </c>
      <c r="C874" s="3168">
        <v>-1134</v>
      </c>
      <c r="D874" s="3168">
        <v>25.39</v>
      </c>
      <c r="E874" s="3168">
        <v>8.8699999999999992</v>
      </c>
    </row>
    <row r="875" spans="1:5" ht="14.25">
      <c r="A875" s="3168">
        <v>874</v>
      </c>
      <c r="B875" s="3168" t="s">
        <v>3538</v>
      </c>
      <c r="C875" s="3168">
        <v>-1135</v>
      </c>
      <c r="D875" s="3168">
        <v>25.39</v>
      </c>
      <c r="E875" s="3168">
        <v>8.8699999999999992</v>
      </c>
    </row>
    <row r="876" spans="1:5" ht="14.25">
      <c r="A876" s="3168">
        <v>875</v>
      </c>
      <c r="B876" s="3168" t="s">
        <v>3538</v>
      </c>
      <c r="C876" s="3168">
        <v>-1136</v>
      </c>
      <c r="D876" s="3168">
        <v>25.39</v>
      </c>
      <c r="E876" s="3168">
        <v>8.8699999999999992</v>
      </c>
    </row>
    <row r="877" spans="1:5" ht="14.25">
      <c r="A877" s="3168">
        <v>876</v>
      </c>
      <c r="B877" s="3168" t="s">
        <v>3538</v>
      </c>
      <c r="C877" s="3168">
        <v>-1137</v>
      </c>
      <c r="D877" s="3168">
        <v>25.39</v>
      </c>
      <c r="E877" s="3168">
        <v>8.8699999999999992</v>
      </c>
    </row>
    <row r="878" spans="1:5" ht="14.25">
      <c r="A878" s="3168">
        <v>877</v>
      </c>
      <c r="B878" s="3168" t="s">
        <v>3538</v>
      </c>
      <c r="C878" s="3168">
        <v>-1138</v>
      </c>
      <c r="D878" s="3168">
        <v>25.39</v>
      </c>
      <c r="E878" s="3168">
        <v>8.8699999999999992</v>
      </c>
    </row>
    <row r="879" spans="1:5" ht="14.25">
      <c r="A879" s="3168">
        <v>878</v>
      </c>
      <c r="B879" s="3168" t="s">
        <v>3538</v>
      </c>
      <c r="C879" s="3168">
        <v>-1139</v>
      </c>
      <c r="D879" s="3168">
        <v>25.39</v>
      </c>
      <c r="E879" s="3168">
        <v>8.8699999999999992</v>
      </c>
    </row>
    <row r="880" spans="1:5" ht="14.25">
      <c r="A880" s="3168">
        <v>879</v>
      </c>
      <c r="B880" s="3168" t="s">
        <v>3538</v>
      </c>
      <c r="C880" s="3168">
        <v>-1140</v>
      </c>
      <c r="D880" s="3168">
        <v>25.39</v>
      </c>
      <c r="E880" s="3168">
        <v>8.8699999999999992</v>
      </c>
    </row>
    <row r="881" spans="1:5" ht="14.25">
      <c r="A881" s="3168">
        <v>880</v>
      </c>
      <c r="B881" s="3168" t="s">
        <v>3538</v>
      </c>
      <c r="C881" s="3168">
        <v>-1141</v>
      </c>
      <c r="D881" s="3168">
        <v>25.39</v>
      </c>
      <c r="E881" s="3168">
        <v>8.8699999999999992</v>
      </c>
    </row>
    <row r="882" spans="1:5" ht="14.25">
      <c r="A882" s="3168">
        <v>881</v>
      </c>
      <c r="B882" s="3168" t="s">
        <v>3538</v>
      </c>
      <c r="C882" s="3168">
        <v>-1142</v>
      </c>
      <c r="D882" s="3168">
        <v>25.39</v>
      </c>
      <c r="E882" s="3168">
        <v>8.8699999999999992</v>
      </c>
    </row>
    <row r="883" spans="1:5" ht="14.25">
      <c r="A883" s="3168">
        <v>882</v>
      </c>
      <c r="B883" s="3168" t="s">
        <v>3538</v>
      </c>
      <c r="C883" s="3168">
        <v>-1143</v>
      </c>
      <c r="D883" s="3168">
        <v>25.39</v>
      </c>
      <c r="E883" s="3168">
        <v>8.8699999999999992</v>
      </c>
    </row>
    <row r="884" spans="1:5" ht="14.25">
      <c r="A884" s="3168">
        <v>883</v>
      </c>
      <c r="B884" s="3168" t="s">
        <v>3538</v>
      </c>
      <c r="C884" s="3168">
        <v>-1144</v>
      </c>
      <c r="D884" s="3168">
        <v>25.39</v>
      </c>
      <c r="E884" s="3168">
        <v>8.8699999999999992</v>
      </c>
    </row>
    <row r="885" spans="1:5" ht="14.25">
      <c r="A885" s="3168">
        <v>884</v>
      </c>
      <c r="B885" s="3168" t="s">
        <v>3538</v>
      </c>
      <c r="C885" s="3168">
        <v>-1145</v>
      </c>
      <c r="D885" s="3168">
        <v>25.39</v>
      </c>
      <c r="E885" s="3168">
        <v>8.8699999999999992</v>
      </c>
    </row>
    <row r="886" spans="1:5" ht="14.25">
      <c r="A886" s="3168">
        <v>885</v>
      </c>
      <c r="B886" s="3168" t="s">
        <v>3538</v>
      </c>
      <c r="C886" s="3168">
        <v>-1146</v>
      </c>
      <c r="D886" s="3168">
        <v>25.39</v>
      </c>
      <c r="E886" s="3168">
        <v>8.8699999999999992</v>
      </c>
    </row>
    <row r="887" spans="1:5" ht="14.25">
      <c r="A887" s="3168">
        <v>886</v>
      </c>
      <c r="B887" s="3168" t="s">
        <v>3538</v>
      </c>
      <c r="C887" s="3168">
        <v>-1147</v>
      </c>
      <c r="D887" s="3168">
        <v>25.39</v>
      </c>
      <c r="E887" s="3168">
        <v>8.8699999999999992</v>
      </c>
    </row>
    <row r="888" spans="1:5" ht="14.25">
      <c r="A888" s="3168">
        <v>887</v>
      </c>
      <c r="B888" s="3168" t="s">
        <v>3538</v>
      </c>
      <c r="C888" s="3168">
        <v>-1148</v>
      </c>
      <c r="D888" s="3168">
        <v>25.39</v>
      </c>
      <c r="E888" s="3168">
        <v>8.8699999999999992</v>
      </c>
    </row>
    <row r="889" spans="1:5" ht="14.25">
      <c r="A889" s="3168">
        <v>888</v>
      </c>
      <c r="B889" s="3168" t="s">
        <v>3538</v>
      </c>
      <c r="C889" s="3168">
        <v>-1149</v>
      </c>
      <c r="D889" s="3168">
        <v>25.39</v>
      </c>
      <c r="E889" s="3168">
        <v>8.8699999999999992</v>
      </c>
    </row>
    <row r="890" spans="1:5" ht="14.25">
      <c r="A890" s="3168">
        <v>889</v>
      </c>
      <c r="B890" s="3168" t="s">
        <v>3538</v>
      </c>
      <c r="C890" s="3168">
        <v>-1150</v>
      </c>
      <c r="D890" s="3168">
        <v>25.39</v>
      </c>
      <c r="E890" s="3168">
        <v>8.8699999999999992</v>
      </c>
    </row>
    <row r="891" spans="1:5" ht="14.25">
      <c r="A891" s="3168">
        <v>890</v>
      </c>
      <c r="B891" s="3168" t="s">
        <v>3538</v>
      </c>
      <c r="C891" s="3168">
        <v>-1151</v>
      </c>
      <c r="D891" s="3168">
        <v>25.39</v>
      </c>
      <c r="E891" s="3168">
        <v>8.8699999999999992</v>
      </c>
    </row>
    <row r="892" spans="1:5" ht="14.25">
      <c r="A892" s="3168">
        <v>891</v>
      </c>
      <c r="B892" s="3168" t="s">
        <v>3538</v>
      </c>
      <c r="C892" s="3168">
        <v>-1152</v>
      </c>
      <c r="D892" s="3168">
        <v>25.39</v>
      </c>
      <c r="E892" s="3168">
        <v>8.8699999999999992</v>
      </c>
    </row>
    <row r="893" spans="1:5" ht="14.25">
      <c r="A893" s="3168">
        <v>892</v>
      </c>
      <c r="B893" s="3168" t="s">
        <v>3538</v>
      </c>
      <c r="C893" s="3168">
        <v>-1153</v>
      </c>
      <c r="D893" s="3168">
        <v>25.39</v>
      </c>
      <c r="E893" s="3168">
        <v>8.8699999999999992</v>
      </c>
    </row>
    <row r="894" spans="1:5" ht="14.25">
      <c r="A894" s="3168">
        <v>893</v>
      </c>
      <c r="B894" s="3168" t="s">
        <v>3538</v>
      </c>
      <c r="C894" s="3168">
        <v>-1154</v>
      </c>
      <c r="D894" s="3168">
        <v>25.39</v>
      </c>
      <c r="E894" s="3168">
        <v>8.8699999999999992</v>
      </c>
    </row>
    <row r="895" spans="1:5" ht="14.25">
      <c r="A895" s="3168">
        <v>894</v>
      </c>
      <c r="B895" s="3168" t="s">
        <v>3538</v>
      </c>
      <c r="C895" s="3168">
        <v>-1155</v>
      </c>
      <c r="D895" s="3168">
        <v>25.39</v>
      </c>
      <c r="E895" s="3168">
        <v>8.8699999999999992</v>
      </c>
    </row>
    <row r="896" spans="1:5" ht="14.25">
      <c r="A896" s="3168">
        <v>895</v>
      </c>
      <c r="B896" s="3168" t="s">
        <v>3538</v>
      </c>
      <c r="C896" s="3168">
        <v>-1156</v>
      </c>
      <c r="D896" s="3168">
        <v>25.39</v>
      </c>
      <c r="E896" s="3168">
        <v>8.8699999999999992</v>
      </c>
    </row>
    <row r="897" spans="1:5" ht="14.25">
      <c r="A897" s="3168">
        <v>896</v>
      </c>
      <c r="B897" s="3168" t="s">
        <v>3538</v>
      </c>
      <c r="C897" s="3168">
        <v>-1157</v>
      </c>
      <c r="D897" s="3168">
        <v>25.39</v>
      </c>
      <c r="E897" s="3168">
        <v>8.8699999999999992</v>
      </c>
    </row>
    <row r="898" spans="1:5" ht="14.25">
      <c r="A898" s="3168">
        <v>897</v>
      </c>
      <c r="B898" s="3168" t="s">
        <v>3538</v>
      </c>
      <c r="C898" s="3168">
        <v>-1158</v>
      </c>
      <c r="D898" s="3168">
        <v>25.39</v>
      </c>
      <c r="E898" s="3168">
        <v>8.8699999999999992</v>
      </c>
    </row>
    <row r="899" spans="1:5" ht="14.25">
      <c r="A899" s="3168">
        <v>898</v>
      </c>
      <c r="B899" s="3168" t="s">
        <v>3538</v>
      </c>
      <c r="C899" s="3168">
        <v>-1159</v>
      </c>
      <c r="D899" s="3168">
        <v>25.39</v>
      </c>
      <c r="E899" s="3168">
        <v>8.8699999999999992</v>
      </c>
    </row>
    <row r="900" spans="1:5" ht="14.25">
      <c r="A900" s="3168">
        <v>899</v>
      </c>
      <c r="B900" s="3168" t="s">
        <v>3538</v>
      </c>
      <c r="C900" s="3168">
        <v>-1160</v>
      </c>
      <c r="D900" s="3168">
        <v>25.39</v>
      </c>
      <c r="E900" s="3168">
        <v>8.8699999999999992</v>
      </c>
    </row>
    <row r="901" spans="1:5" ht="14.25">
      <c r="A901" s="3168">
        <v>900</v>
      </c>
      <c r="B901" s="3168" t="s">
        <v>3538</v>
      </c>
      <c r="C901" s="3168">
        <v>-1161</v>
      </c>
      <c r="D901" s="3168">
        <v>25.39</v>
      </c>
      <c r="E901" s="3168">
        <v>8.8699999999999992</v>
      </c>
    </row>
    <row r="902" spans="1:5" ht="14.25">
      <c r="A902" s="3168">
        <v>901</v>
      </c>
      <c r="B902" s="3168" t="s">
        <v>3538</v>
      </c>
      <c r="C902" s="3168">
        <v>-1162</v>
      </c>
      <c r="D902" s="3168">
        <v>25.39</v>
      </c>
      <c r="E902" s="3168">
        <v>8.8699999999999992</v>
      </c>
    </row>
    <row r="903" spans="1:5" ht="14.25">
      <c r="A903" s="3168">
        <v>902</v>
      </c>
      <c r="B903" s="3168" t="s">
        <v>3538</v>
      </c>
      <c r="C903" s="3168">
        <v>-1163</v>
      </c>
      <c r="D903" s="3168">
        <v>25.39</v>
      </c>
      <c r="E903" s="3168">
        <v>8.8699999999999992</v>
      </c>
    </row>
    <row r="904" spans="1:5" ht="14.25">
      <c r="A904" s="3168">
        <v>903</v>
      </c>
      <c r="B904" s="3168" t="s">
        <v>3538</v>
      </c>
      <c r="C904" s="3168">
        <v>-1164</v>
      </c>
      <c r="D904" s="3168">
        <v>25.39</v>
      </c>
      <c r="E904" s="3168">
        <v>8.8699999999999992</v>
      </c>
    </row>
    <row r="905" spans="1:5" ht="14.25">
      <c r="A905" s="3168">
        <v>904</v>
      </c>
      <c r="B905" s="3168" t="s">
        <v>3538</v>
      </c>
      <c r="C905" s="3168">
        <v>-1165</v>
      </c>
      <c r="D905" s="3168">
        <v>25.39</v>
      </c>
      <c r="E905" s="3168">
        <v>8.8699999999999992</v>
      </c>
    </row>
    <row r="906" spans="1:5" ht="14.25">
      <c r="A906" s="3168">
        <v>905</v>
      </c>
      <c r="B906" s="3168" t="s">
        <v>3538</v>
      </c>
      <c r="C906" s="3168">
        <v>-1166</v>
      </c>
      <c r="D906" s="3168">
        <v>25.39</v>
      </c>
      <c r="E906" s="3168">
        <v>8.8699999999999992</v>
      </c>
    </row>
    <row r="907" spans="1:5" ht="14.25">
      <c r="A907" s="3168">
        <v>906</v>
      </c>
      <c r="B907" s="3168" t="s">
        <v>3538</v>
      </c>
      <c r="C907" s="3168">
        <v>-1167</v>
      </c>
      <c r="D907" s="3168">
        <v>25.39</v>
      </c>
      <c r="E907" s="3168">
        <v>8.8699999999999992</v>
      </c>
    </row>
    <row r="908" spans="1:5" ht="14.25">
      <c r="A908" s="3168">
        <v>907</v>
      </c>
      <c r="B908" s="3168" t="s">
        <v>3538</v>
      </c>
      <c r="C908" s="3168">
        <v>-1168</v>
      </c>
      <c r="D908" s="3168">
        <v>25.39</v>
      </c>
      <c r="E908" s="3168">
        <v>8.8699999999999992</v>
      </c>
    </row>
    <row r="909" spans="1:5" ht="14.25">
      <c r="A909" s="3168">
        <v>908</v>
      </c>
      <c r="B909" s="3168" t="s">
        <v>3538</v>
      </c>
      <c r="C909" s="3168">
        <v>-1169</v>
      </c>
      <c r="D909" s="3168">
        <v>25.39</v>
      </c>
      <c r="E909" s="3168">
        <v>8.8699999999999992</v>
      </c>
    </row>
    <row r="910" spans="1:5" ht="14.25">
      <c r="A910" s="3168">
        <v>909</v>
      </c>
      <c r="B910" s="3168" t="s">
        <v>3538</v>
      </c>
      <c r="C910" s="3168">
        <v>-1170</v>
      </c>
      <c r="D910" s="3168">
        <v>25.39</v>
      </c>
      <c r="E910" s="3168">
        <v>8.8699999999999992</v>
      </c>
    </row>
    <row r="911" spans="1:5" ht="14.25">
      <c r="A911" s="3168">
        <v>910</v>
      </c>
      <c r="B911" s="3168" t="s">
        <v>3538</v>
      </c>
      <c r="C911" s="3168">
        <v>-1171</v>
      </c>
      <c r="D911" s="3168">
        <v>25.39</v>
      </c>
      <c r="E911" s="3168">
        <v>8.8699999999999992</v>
      </c>
    </row>
    <row r="912" spans="1:5" ht="14.25">
      <c r="A912" s="3168">
        <v>911</v>
      </c>
      <c r="B912" s="3168" t="s">
        <v>3538</v>
      </c>
      <c r="C912" s="3168">
        <v>-1172</v>
      </c>
      <c r="D912" s="3168">
        <v>25.39</v>
      </c>
      <c r="E912" s="3168">
        <v>8.8699999999999992</v>
      </c>
    </row>
    <row r="913" spans="1:5" ht="14.25">
      <c r="A913" s="3168">
        <v>912</v>
      </c>
      <c r="B913" s="3168" t="s">
        <v>3538</v>
      </c>
      <c r="C913" s="3168">
        <v>-1173</v>
      </c>
      <c r="D913" s="3168">
        <v>25.39</v>
      </c>
      <c r="E913" s="3168">
        <v>8.8699999999999992</v>
      </c>
    </row>
    <row r="914" spans="1:5" ht="14.25">
      <c r="A914" s="3168">
        <v>913</v>
      </c>
      <c r="B914" s="3168" t="s">
        <v>3538</v>
      </c>
      <c r="C914" s="3168">
        <v>-1174</v>
      </c>
      <c r="D914" s="3168">
        <v>25.39</v>
      </c>
      <c r="E914" s="3168">
        <v>8.8699999999999992</v>
      </c>
    </row>
    <row r="915" spans="1:5" ht="14.25">
      <c r="A915" s="3168">
        <v>914</v>
      </c>
      <c r="B915" s="3168" t="s">
        <v>3538</v>
      </c>
      <c r="C915" s="3168">
        <v>-1175</v>
      </c>
      <c r="D915" s="3168">
        <v>25.39</v>
      </c>
      <c r="E915" s="3168">
        <v>8.8699999999999992</v>
      </c>
    </row>
    <row r="916" spans="1:5" ht="14.25">
      <c r="A916" s="3168">
        <v>915</v>
      </c>
      <c r="B916" s="3168" t="s">
        <v>3538</v>
      </c>
      <c r="C916" s="3168">
        <v>-1176</v>
      </c>
      <c r="D916" s="3168">
        <v>25.39</v>
      </c>
      <c r="E916" s="3168">
        <v>8.8699999999999992</v>
      </c>
    </row>
    <row r="917" spans="1:5" ht="14.25">
      <c r="A917" s="3168">
        <v>916</v>
      </c>
      <c r="B917" s="3168" t="s">
        <v>3538</v>
      </c>
      <c r="C917" s="3168">
        <v>-1177</v>
      </c>
      <c r="D917" s="3168">
        <v>25.39</v>
      </c>
      <c r="E917" s="3168">
        <v>8.8699999999999992</v>
      </c>
    </row>
    <row r="918" spans="1:5" ht="14.25">
      <c r="A918" s="3168">
        <v>917</v>
      </c>
      <c r="B918" s="3168" t="s">
        <v>3538</v>
      </c>
      <c r="C918" s="3168">
        <v>-1178</v>
      </c>
      <c r="D918" s="3168">
        <v>25.39</v>
      </c>
      <c r="E918" s="3168">
        <v>8.8699999999999992</v>
      </c>
    </row>
    <row r="919" spans="1:5" ht="14.25">
      <c r="A919" s="3168">
        <v>918</v>
      </c>
      <c r="B919" s="3168" t="s">
        <v>3538</v>
      </c>
      <c r="C919" s="3168">
        <v>-1179</v>
      </c>
      <c r="D919" s="3168">
        <v>25.39</v>
      </c>
      <c r="E919" s="3168">
        <v>8.8699999999999992</v>
      </c>
    </row>
    <row r="920" spans="1:5" ht="14.25">
      <c r="A920" s="3168">
        <v>919</v>
      </c>
      <c r="B920" s="3168" t="s">
        <v>3538</v>
      </c>
      <c r="C920" s="3168">
        <v>-1180</v>
      </c>
      <c r="D920" s="3168">
        <v>25.39</v>
      </c>
      <c r="E920" s="3168">
        <v>8.8699999999999992</v>
      </c>
    </row>
    <row r="921" spans="1:5" ht="14.25">
      <c r="A921" s="3168">
        <v>920</v>
      </c>
      <c r="B921" s="3168" t="s">
        <v>3538</v>
      </c>
      <c r="C921" s="3168">
        <v>-1181</v>
      </c>
      <c r="D921" s="3168">
        <v>25.39</v>
      </c>
      <c r="E921" s="3168">
        <v>8.8699999999999992</v>
      </c>
    </row>
    <row r="922" spans="1:5" ht="14.25">
      <c r="A922" s="3168">
        <v>921</v>
      </c>
      <c r="B922" s="3168" t="s">
        <v>3538</v>
      </c>
      <c r="C922" s="3168">
        <v>-1182</v>
      </c>
      <c r="D922" s="3168">
        <v>25.39</v>
      </c>
      <c r="E922" s="3168">
        <v>8.8699999999999992</v>
      </c>
    </row>
    <row r="923" spans="1:5" ht="14.25">
      <c r="A923" s="3168">
        <v>922</v>
      </c>
      <c r="B923" s="3168" t="s">
        <v>3538</v>
      </c>
      <c r="C923" s="3168">
        <v>-1183</v>
      </c>
      <c r="D923" s="3168">
        <v>25.39</v>
      </c>
      <c r="E923" s="3168">
        <v>8.8699999999999992</v>
      </c>
    </row>
    <row r="924" spans="1:5" ht="14.25">
      <c r="A924" s="3168">
        <v>923</v>
      </c>
      <c r="B924" s="3168" t="s">
        <v>3538</v>
      </c>
      <c r="C924" s="3168">
        <v>-1184</v>
      </c>
      <c r="D924" s="3168">
        <v>25.39</v>
      </c>
      <c r="E924" s="3168">
        <v>8.8699999999999992</v>
      </c>
    </row>
    <row r="925" spans="1:5" ht="14.25">
      <c r="A925" s="3168">
        <v>924</v>
      </c>
      <c r="B925" s="3168" t="s">
        <v>3538</v>
      </c>
      <c r="C925" s="3168">
        <v>-1185</v>
      </c>
      <c r="D925" s="3168">
        <v>25.39</v>
      </c>
      <c r="E925" s="3168">
        <v>8.8699999999999992</v>
      </c>
    </row>
    <row r="926" spans="1:5" ht="14.25">
      <c r="A926" s="3168">
        <v>925</v>
      </c>
      <c r="B926" s="3168" t="s">
        <v>3538</v>
      </c>
      <c r="C926" s="3168">
        <v>-1186</v>
      </c>
      <c r="D926" s="3168">
        <v>25.39</v>
      </c>
      <c r="E926" s="3168">
        <v>8.8699999999999992</v>
      </c>
    </row>
    <row r="927" spans="1:5" ht="14.25">
      <c r="A927" s="3168">
        <v>926</v>
      </c>
      <c r="B927" s="3168" t="s">
        <v>3538</v>
      </c>
      <c r="C927" s="3168">
        <v>-1187</v>
      </c>
      <c r="D927" s="3168">
        <v>25.39</v>
      </c>
      <c r="E927" s="3168">
        <v>8.8699999999999992</v>
      </c>
    </row>
    <row r="928" spans="1:5" ht="14.25">
      <c r="A928" s="3168">
        <v>927</v>
      </c>
      <c r="B928" s="3168" t="s">
        <v>3538</v>
      </c>
      <c r="C928" s="3168">
        <v>-1188</v>
      </c>
      <c r="D928" s="3168">
        <v>25.39</v>
      </c>
      <c r="E928" s="3168">
        <v>8.8699999999999992</v>
      </c>
    </row>
    <row r="929" spans="1:5" ht="14.25">
      <c r="A929" s="3168">
        <v>928</v>
      </c>
      <c r="B929" s="3168" t="s">
        <v>3538</v>
      </c>
      <c r="C929" s="3168">
        <v>-1189</v>
      </c>
      <c r="D929" s="3168">
        <v>25.39</v>
      </c>
      <c r="E929" s="3168">
        <v>8.8699999999999992</v>
      </c>
    </row>
    <row r="930" spans="1:5" ht="14.25">
      <c r="A930" s="3168">
        <v>929</v>
      </c>
      <c r="B930" s="3168" t="s">
        <v>3538</v>
      </c>
      <c r="C930" s="3168">
        <v>-1190</v>
      </c>
      <c r="D930" s="3168">
        <v>25.39</v>
      </c>
      <c r="E930" s="3168">
        <v>8.8699999999999992</v>
      </c>
    </row>
    <row r="931" spans="1:5" ht="14.25">
      <c r="A931" s="3168">
        <v>930</v>
      </c>
      <c r="B931" s="3168" t="s">
        <v>3538</v>
      </c>
      <c r="C931" s="3168">
        <v>-1191</v>
      </c>
      <c r="D931" s="3168">
        <v>25.39</v>
      </c>
      <c r="E931" s="3168">
        <v>8.8699999999999992</v>
      </c>
    </row>
    <row r="932" spans="1:5" ht="14.25">
      <c r="A932" s="3168">
        <v>931</v>
      </c>
      <c r="B932" s="3168" t="s">
        <v>3538</v>
      </c>
      <c r="C932" s="3168">
        <v>-1192</v>
      </c>
      <c r="D932" s="3168">
        <v>25.39</v>
      </c>
      <c r="E932" s="3168">
        <v>8.8699999999999992</v>
      </c>
    </row>
    <row r="933" spans="1:5" ht="14.25">
      <c r="A933" s="3168">
        <v>932</v>
      </c>
      <c r="B933" s="3168" t="s">
        <v>3538</v>
      </c>
      <c r="C933" s="3168">
        <v>-1193</v>
      </c>
      <c r="D933" s="3168">
        <v>25.39</v>
      </c>
      <c r="E933" s="3168">
        <v>8.8699999999999992</v>
      </c>
    </row>
    <row r="934" spans="1:5" ht="14.25">
      <c r="A934" s="3168">
        <v>933</v>
      </c>
      <c r="B934" s="3168" t="s">
        <v>3538</v>
      </c>
      <c r="C934" s="3168">
        <v>-1194</v>
      </c>
      <c r="D934" s="3168">
        <v>25.39</v>
      </c>
      <c r="E934" s="3168">
        <v>8.8699999999999992</v>
      </c>
    </row>
    <row r="935" spans="1:5" ht="14.25">
      <c r="A935" s="3168">
        <v>934</v>
      </c>
      <c r="B935" s="3168" t="s">
        <v>3538</v>
      </c>
      <c r="C935" s="3168">
        <v>-1195</v>
      </c>
      <c r="D935" s="3168">
        <v>25.39</v>
      </c>
      <c r="E935" s="3168">
        <v>8.8699999999999992</v>
      </c>
    </row>
    <row r="936" spans="1:5" ht="14.25">
      <c r="A936" s="3168">
        <v>935</v>
      </c>
      <c r="B936" s="3168" t="s">
        <v>3538</v>
      </c>
      <c r="C936" s="3168">
        <v>-1196</v>
      </c>
      <c r="D936" s="3168">
        <v>25.39</v>
      </c>
      <c r="E936" s="3168">
        <v>8.8699999999999992</v>
      </c>
    </row>
    <row r="937" spans="1:5" ht="14.25">
      <c r="A937" s="3168">
        <v>936</v>
      </c>
      <c r="B937" s="3168" t="s">
        <v>3538</v>
      </c>
      <c r="C937" s="3168">
        <v>-1197</v>
      </c>
      <c r="D937" s="3168">
        <v>25.39</v>
      </c>
      <c r="E937" s="3168">
        <v>8.8699999999999992</v>
      </c>
    </row>
    <row r="938" spans="1:5" ht="14.25">
      <c r="A938" s="3168">
        <v>937</v>
      </c>
      <c r="B938" s="3168" t="s">
        <v>3538</v>
      </c>
      <c r="C938" s="3168">
        <v>-1198</v>
      </c>
      <c r="D938" s="3168">
        <v>25.39</v>
      </c>
      <c r="E938" s="3168">
        <v>8.8699999999999992</v>
      </c>
    </row>
    <row r="939" spans="1:5" ht="14.25">
      <c r="A939" s="3168">
        <v>938</v>
      </c>
      <c r="B939" s="3168" t="s">
        <v>3538</v>
      </c>
      <c r="C939" s="3168">
        <v>-1199</v>
      </c>
      <c r="D939" s="3168">
        <v>25.39</v>
      </c>
      <c r="E939" s="3168">
        <v>8.8699999999999992</v>
      </c>
    </row>
    <row r="940" spans="1:5" ht="14.25">
      <c r="A940" s="3168">
        <v>939</v>
      </c>
      <c r="B940" s="3168" t="s">
        <v>3538</v>
      </c>
      <c r="C940" s="3168">
        <v>-1200</v>
      </c>
      <c r="D940" s="3168">
        <v>25.39</v>
      </c>
      <c r="E940" s="3168">
        <v>8.8699999999999992</v>
      </c>
    </row>
    <row r="941" spans="1:5" ht="14.25">
      <c r="A941" s="3168">
        <v>940</v>
      </c>
      <c r="B941" s="3168" t="s">
        <v>3538</v>
      </c>
      <c r="C941" s="3168">
        <v>-1201</v>
      </c>
      <c r="D941" s="3168">
        <v>25.39</v>
      </c>
      <c r="E941" s="3168">
        <v>8.8699999999999992</v>
      </c>
    </row>
    <row r="942" spans="1:5" ht="14.25">
      <c r="A942" s="3168">
        <v>941</v>
      </c>
      <c r="B942" s="3168" t="s">
        <v>3538</v>
      </c>
      <c r="C942" s="3168">
        <v>-1202</v>
      </c>
      <c r="D942" s="3168">
        <v>25.39</v>
      </c>
      <c r="E942" s="3168">
        <v>8.8699999999999992</v>
      </c>
    </row>
    <row r="943" spans="1:5" ht="14.25">
      <c r="A943" s="3168">
        <v>942</v>
      </c>
      <c r="B943" s="3168" t="s">
        <v>3538</v>
      </c>
      <c r="C943" s="3168">
        <v>-1203</v>
      </c>
      <c r="D943" s="3168">
        <v>25.39</v>
      </c>
      <c r="E943" s="3168">
        <v>8.8699999999999992</v>
      </c>
    </row>
    <row r="944" spans="1:5" ht="14.25">
      <c r="A944" s="3168">
        <v>943</v>
      </c>
      <c r="B944" s="3168" t="s">
        <v>3538</v>
      </c>
      <c r="C944" s="3168">
        <v>-1204</v>
      </c>
      <c r="D944" s="3168">
        <v>25.39</v>
      </c>
      <c r="E944" s="3168">
        <v>8.8699999999999992</v>
      </c>
    </row>
    <row r="945" spans="1:5" ht="14.25">
      <c r="A945" s="3168">
        <v>944</v>
      </c>
      <c r="B945" s="3168" t="s">
        <v>3538</v>
      </c>
      <c r="C945" s="3168">
        <v>-1205</v>
      </c>
      <c r="D945" s="3168">
        <v>25.39</v>
      </c>
      <c r="E945" s="3168">
        <v>8.8699999999999992</v>
      </c>
    </row>
    <row r="946" spans="1:5" ht="14.25">
      <c r="A946" s="3168">
        <v>945</v>
      </c>
      <c r="B946" s="3168" t="s">
        <v>3538</v>
      </c>
      <c r="C946" s="3168">
        <v>-1206</v>
      </c>
      <c r="D946" s="3168">
        <v>25.39</v>
      </c>
      <c r="E946" s="3168">
        <v>8.8699999999999992</v>
      </c>
    </row>
    <row r="947" spans="1:5" ht="14.25">
      <c r="A947" s="3168">
        <v>946</v>
      </c>
      <c r="B947" s="3168" t="s">
        <v>3538</v>
      </c>
      <c r="C947" s="3168">
        <v>-1207</v>
      </c>
      <c r="D947" s="3168">
        <v>25.39</v>
      </c>
      <c r="E947" s="3168">
        <v>8.8699999999999992</v>
      </c>
    </row>
    <row r="948" spans="1:5" ht="14.25">
      <c r="A948" s="3168">
        <v>947</v>
      </c>
      <c r="B948" s="3168" t="s">
        <v>3538</v>
      </c>
      <c r="C948" s="3168">
        <v>-1208</v>
      </c>
      <c r="D948" s="3168">
        <v>25.39</v>
      </c>
      <c r="E948" s="3168">
        <v>8.8699999999999992</v>
      </c>
    </row>
    <row r="949" spans="1:5" ht="14.25">
      <c r="A949" s="3168">
        <v>948</v>
      </c>
      <c r="B949" s="3168" t="s">
        <v>3538</v>
      </c>
      <c r="C949" s="3168">
        <v>-1209</v>
      </c>
      <c r="D949" s="3168">
        <v>25.39</v>
      </c>
      <c r="E949" s="3168">
        <v>8.8699999999999992</v>
      </c>
    </row>
    <row r="950" spans="1:5" ht="14.25">
      <c r="A950" s="3168">
        <v>949</v>
      </c>
      <c r="B950" s="3168" t="s">
        <v>3538</v>
      </c>
      <c r="C950" s="3168">
        <v>-1210</v>
      </c>
      <c r="D950" s="3168">
        <v>25.39</v>
      </c>
      <c r="E950" s="3168">
        <v>8.8699999999999992</v>
      </c>
    </row>
    <row r="951" spans="1:5" ht="14.25">
      <c r="A951" s="3168">
        <v>950</v>
      </c>
      <c r="B951" s="3168" t="s">
        <v>3538</v>
      </c>
      <c r="C951" s="3168">
        <v>-1211</v>
      </c>
      <c r="D951" s="3168">
        <v>25.39</v>
      </c>
      <c r="E951" s="3168">
        <v>8.8699999999999992</v>
      </c>
    </row>
    <row r="952" spans="1:5" ht="14.25">
      <c r="A952" s="3168">
        <v>951</v>
      </c>
      <c r="B952" s="3168" t="s">
        <v>3538</v>
      </c>
      <c r="C952" s="3168">
        <v>-1212</v>
      </c>
      <c r="D952" s="3168">
        <v>25.39</v>
      </c>
      <c r="E952" s="3168">
        <v>8.8699999999999992</v>
      </c>
    </row>
    <row r="953" spans="1:5" ht="14.25">
      <c r="A953" s="3168">
        <v>952</v>
      </c>
      <c r="B953" s="3168" t="s">
        <v>3538</v>
      </c>
      <c r="C953" s="3168">
        <v>-1213</v>
      </c>
      <c r="D953" s="3168">
        <v>25.39</v>
      </c>
      <c r="E953" s="3168">
        <v>8.8699999999999992</v>
      </c>
    </row>
    <row r="954" spans="1:5" ht="14.25">
      <c r="A954" s="3168">
        <v>953</v>
      </c>
      <c r="B954" s="3168" t="s">
        <v>3538</v>
      </c>
      <c r="C954" s="3168">
        <v>-1214</v>
      </c>
      <c r="D954" s="3168">
        <v>25.39</v>
      </c>
      <c r="E954" s="3168">
        <v>8.8699999999999992</v>
      </c>
    </row>
    <row r="955" spans="1:5" ht="14.25">
      <c r="A955" s="3168">
        <v>954</v>
      </c>
      <c r="B955" s="3168" t="s">
        <v>3538</v>
      </c>
      <c r="C955" s="3168">
        <v>-1215</v>
      </c>
      <c r="D955" s="3168">
        <v>25.39</v>
      </c>
      <c r="E955" s="3168">
        <v>8.8699999999999992</v>
      </c>
    </row>
    <row r="956" spans="1:5" ht="14.25">
      <c r="A956" s="3168">
        <v>955</v>
      </c>
      <c r="B956" s="3168" t="s">
        <v>3538</v>
      </c>
      <c r="C956" s="3168">
        <v>-1216</v>
      </c>
      <c r="D956" s="3168">
        <v>25.39</v>
      </c>
      <c r="E956" s="3168">
        <v>8.8699999999999992</v>
      </c>
    </row>
    <row r="957" spans="1:5" ht="14.25">
      <c r="A957" s="3168">
        <v>956</v>
      </c>
      <c r="B957" s="3168" t="s">
        <v>3538</v>
      </c>
      <c r="C957" s="3168">
        <v>-1217</v>
      </c>
      <c r="D957" s="3168">
        <v>25.39</v>
      </c>
      <c r="E957" s="3168">
        <v>8.8699999999999992</v>
      </c>
    </row>
    <row r="958" spans="1:5" ht="14.25">
      <c r="A958" s="3168">
        <v>957</v>
      </c>
      <c r="B958" s="3168" t="s">
        <v>3538</v>
      </c>
      <c r="C958" s="3168">
        <v>-1218</v>
      </c>
      <c r="D958" s="3168">
        <v>25.39</v>
      </c>
      <c r="E958" s="3168">
        <v>8.8699999999999992</v>
      </c>
    </row>
    <row r="959" spans="1:5" ht="14.25">
      <c r="A959" s="3168">
        <v>958</v>
      </c>
      <c r="B959" s="3168" t="s">
        <v>3538</v>
      </c>
      <c r="C959" s="3168">
        <v>-1219</v>
      </c>
      <c r="D959" s="3168">
        <v>25.39</v>
      </c>
      <c r="E959" s="3168">
        <v>8.8699999999999992</v>
      </c>
    </row>
    <row r="960" spans="1:5" ht="14.25">
      <c r="A960" s="3168">
        <v>959</v>
      </c>
      <c r="B960" s="3168" t="s">
        <v>3538</v>
      </c>
      <c r="C960" s="3168">
        <v>-1220</v>
      </c>
      <c r="D960" s="3168">
        <v>38.08</v>
      </c>
      <c r="E960" s="3168">
        <v>13.3</v>
      </c>
    </row>
    <row r="961" spans="1:5" ht="14.25">
      <c r="A961" s="3168">
        <v>960</v>
      </c>
      <c r="B961" s="3168" t="s">
        <v>3538</v>
      </c>
      <c r="C961" s="3168">
        <v>-1221</v>
      </c>
      <c r="D961" s="3168">
        <v>25.39</v>
      </c>
      <c r="E961" s="3168">
        <v>8.8699999999999992</v>
      </c>
    </row>
    <row r="962" spans="1:5" ht="14.25">
      <c r="A962" s="3168">
        <v>961</v>
      </c>
      <c r="B962" s="3168" t="s">
        <v>3538</v>
      </c>
      <c r="C962" s="3168">
        <v>-1222</v>
      </c>
      <c r="D962" s="3168">
        <v>25.39</v>
      </c>
      <c r="E962" s="3168">
        <v>8.8699999999999992</v>
      </c>
    </row>
    <row r="963" spans="1:5" ht="14.25">
      <c r="A963" s="3168">
        <v>962</v>
      </c>
      <c r="B963" s="3168" t="s">
        <v>3538</v>
      </c>
      <c r="C963" s="3168">
        <v>-1223</v>
      </c>
      <c r="D963" s="3168">
        <v>25.39</v>
      </c>
      <c r="E963" s="3168">
        <v>8.8699999999999992</v>
      </c>
    </row>
    <row r="964" spans="1:5" ht="14.25">
      <c r="A964" s="3168">
        <v>963</v>
      </c>
      <c r="B964" s="3168" t="s">
        <v>3538</v>
      </c>
      <c r="C964" s="3168">
        <v>-1224</v>
      </c>
      <c r="D964" s="3168">
        <v>25.39</v>
      </c>
      <c r="E964" s="3168">
        <v>8.8699999999999992</v>
      </c>
    </row>
    <row r="965" spans="1:5" ht="14.25">
      <c r="A965" s="3168">
        <v>964</v>
      </c>
      <c r="B965" s="3168" t="s">
        <v>3538</v>
      </c>
      <c r="C965" s="3168">
        <v>-1225</v>
      </c>
      <c r="D965" s="3168">
        <v>25.39</v>
      </c>
      <c r="E965" s="3168">
        <v>8.8699999999999992</v>
      </c>
    </row>
    <row r="966" spans="1:5" ht="14.25">
      <c r="A966" s="3168">
        <v>965</v>
      </c>
      <c r="B966" s="3168" t="s">
        <v>3538</v>
      </c>
      <c r="C966" s="3168">
        <v>-1226</v>
      </c>
      <c r="D966" s="3168">
        <v>25.39</v>
      </c>
      <c r="E966" s="3168">
        <v>8.8699999999999992</v>
      </c>
    </row>
    <row r="967" spans="1:5" ht="14.25">
      <c r="A967" s="3168">
        <v>966</v>
      </c>
      <c r="B967" s="3168" t="s">
        <v>3538</v>
      </c>
      <c r="C967" s="3168">
        <v>-1227</v>
      </c>
      <c r="D967" s="3168">
        <v>25.39</v>
      </c>
      <c r="E967" s="3168">
        <v>8.8699999999999992</v>
      </c>
    </row>
    <row r="968" spans="1:5" ht="14.25">
      <c r="A968" s="3168">
        <v>967</v>
      </c>
      <c r="B968" s="3168" t="s">
        <v>3538</v>
      </c>
      <c r="C968" s="3168">
        <v>-1228</v>
      </c>
      <c r="D968" s="3168">
        <v>25.39</v>
      </c>
      <c r="E968" s="3168">
        <v>8.8699999999999992</v>
      </c>
    </row>
    <row r="969" spans="1:5" ht="14.25">
      <c r="A969" s="3168">
        <v>968</v>
      </c>
      <c r="B969" s="3168" t="s">
        <v>3538</v>
      </c>
      <c r="C969" s="3168">
        <v>-1229</v>
      </c>
      <c r="D969" s="3168">
        <v>25.39</v>
      </c>
      <c r="E969" s="3168">
        <v>8.8699999999999992</v>
      </c>
    </row>
    <row r="970" spans="1:5" ht="14.25">
      <c r="A970" s="3168">
        <v>969</v>
      </c>
      <c r="B970" s="3168" t="s">
        <v>3538</v>
      </c>
      <c r="C970" s="3168">
        <v>-1230</v>
      </c>
      <c r="D970" s="3168">
        <v>25.39</v>
      </c>
      <c r="E970" s="3168">
        <v>8.8699999999999992</v>
      </c>
    </row>
    <row r="971" spans="1:5" ht="14.25">
      <c r="A971" s="3168">
        <v>970</v>
      </c>
      <c r="B971" s="3168" t="s">
        <v>3538</v>
      </c>
      <c r="C971" s="3168">
        <v>-1231</v>
      </c>
      <c r="D971" s="3168">
        <v>25.39</v>
      </c>
      <c r="E971" s="3168">
        <v>8.8699999999999992</v>
      </c>
    </row>
    <row r="972" spans="1:5" ht="14.25">
      <c r="A972" s="3168">
        <v>971</v>
      </c>
      <c r="B972" s="3168" t="s">
        <v>3538</v>
      </c>
      <c r="C972" s="3168">
        <v>-1232</v>
      </c>
      <c r="D972" s="3168">
        <v>25.39</v>
      </c>
      <c r="E972" s="3168">
        <v>8.8699999999999992</v>
      </c>
    </row>
    <row r="973" spans="1:5" ht="14.25">
      <c r="A973" s="3168">
        <v>972</v>
      </c>
      <c r="B973" s="3168" t="s">
        <v>3538</v>
      </c>
      <c r="C973" s="3168">
        <v>-1233</v>
      </c>
      <c r="D973" s="3168">
        <v>25.39</v>
      </c>
      <c r="E973" s="3168">
        <v>8.8699999999999992</v>
      </c>
    </row>
    <row r="974" spans="1:5" ht="14.25">
      <c r="A974" s="3168">
        <v>973</v>
      </c>
      <c r="B974" s="3168" t="s">
        <v>3538</v>
      </c>
      <c r="C974" s="3168">
        <v>-1234</v>
      </c>
      <c r="D974" s="3168">
        <v>25.39</v>
      </c>
      <c r="E974" s="3168">
        <v>8.8699999999999992</v>
      </c>
    </row>
    <row r="975" spans="1:5" ht="14.25">
      <c r="A975" s="3168">
        <v>974</v>
      </c>
      <c r="B975" s="3168" t="s">
        <v>3538</v>
      </c>
      <c r="C975" s="3168">
        <v>-1235</v>
      </c>
      <c r="D975" s="3168">
        <v>25.39</v>
      </c>
      <c r="E975" s="3168">
        <v>8.8699999999999992</v>
      </c>
    </row>
    <row r="976" spans="1:5" ht="14.25">
      <c r="A976" s="3168">
        <v>975</v>
      </c>
      <c r="B976" s="3168" t="s">
        <v>3538</v>
      </c>
      <c r="C976" s="3168">
        <v>-1236</v>
      </c>
      <c r="D976" s="3168">
        <v>38.08</v>
      </c>
      <c r="E976" s="3168">
        <v>13.3</v>
      </c>
    </row>
    <row r="977" spans="1:5" ht="14.25">
      <c r="A977" s="3168">
        <v>976</v>
      </c>
      <c r="B977" s="3168" t="s">
        <v>3538</v>
      </c>
      <c r="C977" s="3168">
        <v>-1237</v>
      </c>
      <c r="D977" s="3168">
        <v>38.08</v>
      </c>
      <c r="E977" s="3168">
        <v>13.3</v>
      </c>
    </row>
    <row r="978" spans="1:5" ht="14.25">
      <c r="A978" s="3168">
        <v>977</v>
      </c>
      <c r="B978" s="3168" t="s">
        <v>3538</v>
      </c>
      <c r="C978" s="3168">
        <v>-1238</v>
      </c>
      <c r="D978" s="3168">
        <v>25.39</v>
      </c>
      <c r="E978" s="3168">
        <v>8.8699999999999992</v>
      </c>
    </row>
    <row r="979" spans="1:5" ht="14.25">
      <c r="A979" s="3168">
        <v>978</v>
      </c>
      <c r="B979" s="3168" t="s">
        <v>3538</v>
      </c>
      <c r="C979" s="3168">
        <v>-1239</v>
      </c>
      <c r="D979" s="3168">
        <v>25.39</v>
      </c>
      <c r="E979" s="3168">
        <v>8.8699999999999992</v>
      </c>
    </row>
    <row r="980" spans="1:5" ht="14.25">
      <c r="A980" s="3168">
        <v>979</v>
      </c>
      <c r="B980" s="3168" t="s">
        <v>3538</v>
      </c>
      <c r="C980" s="3168">
        <v>-1240</v>
      </c>
      <c r="D980" s="3168">
        <v>25.39</v>
      </c>
      <c r="E980" s="3168">
        <v>8.8699999999999992</v>
      </c>
    </row>
    <row r="981" spans="1:5" ht="14.25">
      <c r="A981" s="3168">
        <v>980</v>
      </c>
      <c r="B981" s="3168" t="s">
        <v>3538</v>
      </c>
      <c r="C981" s="3168">
        <v>-1241</v>
      </c>
      <c r="D981" s="3168">
        <v>25.39</v>
      </c>
      <c r="E981" s="3168">
        <v>8.8699999999999992</v>
      </c>
    </row>
    <row r="982" spans="1:5" ht="14.25">
      <c r="A982" s="3168">
        <v>981</v>
      </c>
      <c r="B982" s="3168" t="s">
        <v>3538</v>
      </c>
      <c r="C982" s="3168">
        <v>-1242</v>
      </c>
      <c r="D982" s="3168">
        <v>25.39</v>
      </c>
      <c r="E982" s="3168">
        <v>8.8699999999999992</v>
      </c>
    </row>
    <row r="983" spans="1:5" ht="14.25">
      <c r="A983" s="3168">
        <v>982</v>
      </c>
      <c r="B983" s="3168" t="s">
        <v>3538</v>
      </c>
      <c r="C983" s="3168">
        <v>-1243</v>
      </c>
      <c r="D983" s="3168">
        <v>25.39</v>
      </c>
      <c r="E983" s="3168">
        <v>8.8699999999999992</v>
      </c>
    </row>
    <row r="984" spans="1:5" ht="14.25">
      <c r="A984" s="3168">
        <v>983</v>
      </c>
      <c r="B984" s="3168" t="s">
        <v>3538</v>
      </c>
      <c r="C984" s="3168">
        <v>-1244</v>
      </c>
      <c r="D984" s="3168">
        <v>25.39</v>
      </c>
      <c r="E984" s="3168">
        <v>8.8699999999999992</v>
      </c>
    </row>
    <row r="985" spans="1:5" ht="14.25">
      <c r="A985" s="3168">
        <v>984</v>
      </c>
      <c r="B985" s="3168" t="s">
        <v>3538</v>
      </c>
      <c r="C985" s="3168">
        <v>-1245</v>
      </c>
      <c r="D985" s="3168">
        <v>25.39</v>
      </c>
      <c r="E985" s="3168">
        <v>8.8699999999999992</v>
      </c>
    </row>
    <row r="986" spans="1:5" ht="14.25">
      <c r="A986" s="3168">
        <v>985</v>
      </c>
      <c r="B986" s="3168" t="s">
        <v>3538</v>
      </c>
      <c r="C986" s="3168">
        <v>-1246</v>
      </c>
      <c r="D986" s="3168">
        <v>25.39</v>
      </c>
      <c r="E986" s="3168">
        <v>8.8699999999999992</v>
      </c>
    </row>
    <row r="987" spans="1:5" ht="14.25">
      <c r="A987" s="3168">
        <v>986</v>
      </c>
      <c r="B987" s="3168" t="s">
        <v>3538</v>
      </c>
      <c r="C987" s="3168">
        <v>-1247</v>
      </c>
      <c r="D987" s="3168">
        <v>25.39</v>
      </c>
      <c r="E987" s="3168">
        <v>8.8699999999999992</v>
      </c>
    </row>
    <row r="988" spans="1:5" ht="14.25">
      <c r="A988" s="3168">
        <v>987</v>
      </c>
      <c r="B988" s="3168" t="s">
        <v>3538</v>
      </c>
      <c r="C988" s="3168">
        <v>-1248</v>
      </c>
      <c r="D988" s="3168">
        <v>25.39</v>
      </c>
      <c r="E988" s="3168">
        <v>8.8699999999999992</v>
      </c>
    </row>
    <row r="989" spans="1:5" ht="14.25">
      <c r="A989" s="3168">
        <v>988</v>
      </c>
      <c r="B989" s="3168" t="s">
        <v>3538</v>
      </c>
      <c r="C989" s="3168">
        <v>-1249</v>
      </c>
      <c r="D989" s="3168">
        <v>25.39</v>
      </c>
      <c r="E989" s="3168">
        <v>8.8699999999999992</v>
      </c>
    </row>
    <row r="990" spans="1:5" ht="14.25">
      <c r="A990" s="3168">
        <v>989</v>
      </c>
      <c r="B990" s="3168" t="s">
        <v>3538</v>
      </c>
      <c r="C990" s="3168">
        <v>-1250</v>
      </c>
      <c r="D990" s="3168">
        <v>25.39</v>
      </c>
      <c r="E990" s="3168">
        <v>8.8699999999999992</v>
      </c>
    </row>
    <row r="991" spans="1:5" ht="14.25">
      <c r="A991" s="3168">
        <v>990</v>
      </c>
      <c r="B991" s="3168" t="s">
        <v>3538</v>
      </c>
      <c r="C991" s="3168">
        <v>-1251</v>
      </c>
      <c r="D991" s="3168">
        <v>25.39</v>
      </c>
      <c r="E991" s="3168">
        <v>8.8699999999999992</v>
      </c>
    </row>
    <row r="992" spans="1:5" ht="14.25">
      <c r="A992" s="3168">
        <v>991</v>
      </c>
      <c r="B992" s="3168" t="s">
        <v>3538</v>
      </c>
      <c r="C992" s="3168">
        <v>-1252</v>
      </c>
      <c r="D992" s="3168">
        <v>25.39</v>
      </c>
      <c r="E992" s="3168">
        <v>8.8699999999999992</v>
      </c>
    </row>
    <row r="993" spans="1:5" ht="14.25">
      <c r="A993" s="3168">
        <v>992</v>
      </c>
      <c r="B993" s="3168" t="s">
        <v>3538</v>
      </c>
      <c r="C993" s="3168">
        <v>-1253</v>
      </c>
      <c r="D993" s="3168">
        <v>25.39</v>
      </c>
      <c r="E993" s="3168">
        <v>8.8699999999999992</v>
      </c>
    </row>
    <row r="994" spans="1:5" ht="14.25">
      <c r="A994" s="3168">
        <v>993</v>
      </c>
      <c r="B994" s="3168" t="s">
        <v>3538</v>
      </c>
      <c r="C994" s="3168">
        <v>-1254</v>
      </c>
      <c r="D994" s="3168">
        <v>25.39</v>
      </c>
      <c r="E994" s="3168">
        <v>8.8699999999999992</v>
      </c>
    </row>
    <row r="995" spans="1:5" ht="14.25">
      <c r="A995" s="3168">
        <v>994</v>
      </c>
      <c r="B995" s="3168" t="s">
        <v>3538</v>
      </c>
      <c r="C995" s="3168">
        <v>-1255</v>
      </c>
      <c r="D995" s="3168">
        <v>25.39</v>
      </c>
      <c r="E995" s="3168">
        <v>8.8699999999999992</v>
      </c>
    </row>
    <row r="996" spans="1:5" ht="14.25">
      <c r="A996" s="3168">
        <v>995</v>
      </c>
      <c r="B996" s="3168" t="s">
        <v>3538</v>
      </c>
      <c r="C996" s="3168">
        <v>-1256</v>
      </c>
      <c r="D996" s="3168">
        <v>25.39</v>
      </c>
      <c r="E996" s="3168">
        <v>8.8699999999999992</v>
      </c>
    </row>
    <row r="997" spans="1:5" ht="14.25">
      <c r="A997" s="3168">
        <v>996</v>
      </c>
      <c r="B997" s="3168" t="s">
        <v>3538</v>
      </c>
      <c r="C997" s="3168">
        <v>-1257</v>
      </c>
      <c r="D997" s="3168">
        <v>25.39</v>
      </c>
      <c r="E997" s="3168">
        <v>8.8699999999999992</v>
      </c>
    </row>
    <row r="998" spans="1:5" ht="14.25">
      <c r="A998" s="3168">
        <v>997</v>
      </c>
      <c r="B998" s="3168" t="s">
        <v>3538</v>
      </c>
      <c r="C998" s="3168">
        <v>-1258</v>
      </c>
      <c r="D998" s="3168">
        <v>25.39</v>
      </c>
      <c r="E998" s="3168">
        <v>8.8699999999999992</v>
      </c>
    </row>
    <row r="999" spans="1:5" ht="14.25">
      <c r="A999" s="3168">
        <v>998</v>
      </c>
      <c r="B999" s="3168" t="s">
        <v>3538</v>
      </c>
      <c r="C999" s="3168">
        <v>-1259</v>
      </c>
      <c r="D999" s="3168">
        <v>25.39</v>
      </c>
      <c r="E999" s="3168">
        <v>8.8699999999999992</v>
      </c>
    </row>
    <row r="1000" spans="1:5" ht="14.25">
      <c r="A1000" s="3168">
        <v>999</v>
      </c>
      <c r="B1000" s="3168" t="s">
        <v>3538</v>
      </c>
      <c r="C1000" s="3168">
        <v>-1260</v>
      </c>
      <c r="D1000" s="3168">
        <v>25.39</v>
      </c>
      <c r="E1000" s="3168">
        <v>8.8699999999999992</v>
      </c>
    </row>
    <row r="1001" spans="1:5" ht="14.25">
      <c r="A1001" s="3168">
        <v>1000</v>
      </c>
      <c r="B1001" s="3168" t="s">
        <v>3538</v>
      </c>
      <c r="C1001" s="3168">
        <v>-1261</v>
      </c>
      <c r="D1001" s="3168">
        <v>25.39</v>
      </c>
      <c r="E1001" s="3168">
        <v>8.8699999999999992</v>
      </c>
    </row>
    <row r="1002" spans="1:5" ht="14.25">
      <c r="A1002" s="3168">
        <v>1001</v>
      </c>
      <c r="B1002" s="3168" t="s">
        <v>3538</v>
      </c>
      <c r="C1002" s="3168">
        <v>-1262</v>
      </c>
      <c r="D1002" s="3168">
        <v>25.39</v>
      </c>
      <c r="E1002" s="3168">
        <v>8.8699999999999992</v>
      </c>
    </row>
    <row r="1003" spans="1:5" ht="14.25">
      <c r="A1003" s="3168">
        <v>1002</v>
      </c>
      <c r="B1003" s="3168" t="s">
        <v>3538</v>
      </c>
      <c r="C1003" s="3168">
        <v>-1263</v>
      </c>
      <c r="D1003" s="3168">
        <v>25.39</v>
      </c>
      <c r="E1003" s="3168">
        <v>8.8699999999999992</v>
      </c>
    </row>
    <row r="1004" spans="1:5" ht="14.25">
      <c r="A1004" s="3168">
        <v>1003</v>
      </c>
      <c r="B1004" s="3168" t="s">
        <v>3538</v>
      </c>
      <c r="C1004" s="3168">
        <v>-1264</v>
      </c>
      <c r="D1004" s="3168">
        <v>25.39</v>
      </c>
      <c r="E1004" s="3168">
        <v>8.8699999999999992</v>
      </c>
    </row>
    <row r="1005" spans="1:5" ht="14.25">
      <c r="A1005" s="3168">
        <v>1004</v>
      </c>
      <c r="B1005" s="3168" t="s">
        <v>3538</v>
      </c>
      <c r="C1005" s="3168">
        <v>-1265</v>
      </c>
      <c r="D1005" s="3168">
        <v>25.39</v>
      </c>
      <c r="E1005" s="3168">
        <v>8.8699999999999992</v>
      </c>
    </row>
    <row r="1006" spans="1:5" ht="14.25">
      <c r="A1006" s="3168">
        <v>1005</v>
      </c>
      <c r="B1006" s="3168" t="s">
        <v>3538</v>
      </c>
      <c r="C1006" s="3168">
        <v>-1266</v>
      </c>
      <c r="D1006" s="3168">
        <v>25.39</v>
      </c>
      <c r="E1006" s="3168">
        <v>8.8699999999999992</v>
      </c>
    </row>
    <row r="1007" spans="1:5" ht="14.25">
      <c r="A1007" s="3168">
        <v>1006</v>
      </c>
      <c r="B1007" s="3168" t="s">
        <v>3538</v>
      </c>
      <c r="C1007" s="3168">
        <v>-1267</v>
      </c>
      <c r="D1007" s="3168">
        <v>25.39</v>
      </c>
      <c r="E1007" s="3168">
        <v>8.8699999999999992</v>
      </c>
    </row>
    <row r="1008" spans="1:5" ht="14.25">
      <c r="A1008" s="3168">
        <v>1007</v>
      </c>
      <c r="B1008" s="3168" t="s">
        <v>3538</v>
      </c>
      <c r="C1008" s="3168">
        <v>-1268</v>
      </c>
      <c r="D1008" s="3168">
        <v>25.39</v>
      </c>
      <c r="E1008" s="3168">
        <v>8.8699999999999992</v>
      </c>
    </row>
    <row r="1009" spans="1:5" ht="14.25">
      <c r="A1009" s="3168">
        <v>1008</v>
      </c>
      <c r="B1009" s="3168" t="s">
        <v>3538</v>
      </c>
      <c r="C1009" s="3168">
        <v>-1269</v>
      </c>
      <c r="D1009" s="3168">
        <v>25.39</v>
      </c>
      <c r="E1009" s="3168">
        <v>8.8699999999999992</v>
      </c>
    </row>
    <row r="1010" spans="1:5" ht="14.25">
      <c r="A1010" s="3168">
        <v>1009</v>
      </c>
      <c r="B1010" s="3168" t="s">
        <v>3538</v>
      </c>
      <c r="C1010" s="3168">
        <v>-1270</v>
      </c>
      <c r="D1010" s="3168">
        <v>25.39</v>
      </c>
      <c r="E1010" s="3168">
        <v>8.8699999999999992</v>
      </c>
    </row>
    <row r="1011" spans="1:5" ht="14.25">
      <c r="A1011" s="3168">
        <v>1010</v>
      </c>
      <c r="B1011" s="3168" t="s">
        <v>3538</v>
      </c>
      <c r="C1011" s="3168">
        <v>-1271</v>
      </c>
      <c r="D1011" s="3168">
        <v>25.39</v>
      </c>
      <c r="E1011" s="3168">
        <v>8.8699999999999992</v>
      </c>
    </row>
    <row r="1012" spans="1:5" ht="14.25">
      <c r="A1012" s="3168">
        <v>1011</v>
      </c>
      <c r="B1012" s="3168" t="s">
        <v>3538</v>
      </c>
      <c r="C1012" s="3168">
        <v>-1272</v>
      </c>
      <c r="D1012" s="3168">
        <v>25.39</v>
      </c>
      <c r="E1012" s="3168">
        <v>8.8699999999999992</v>
      </c>
    </row>
    <row r="1013" spans="1:5" ht="14.25">
      <c r="A1013" s="3168">
        <v>1012</v>
      </c>
      <c r="B1013" s="3168" t="s">
        <v>3538</v>
      </c>
      <c r="C1013" s="3168">
        <v>-1273</v>
      </c>
      <c r="D1013" s="3168">
        <v>25.39</v>
      </c>
      <c r="E1013" s="3168">
        <v>8.8699999999999992</v>
      </c>
    </row>
    <row r="1014" spans="1:5" ht="14.25">
      <c r="A1014" s="3168">
        <v>1013</v>
      </c>
      <c r="B1014" s="3168" t="s">
        <v>3538</v>
      </c>
      <c r="C1014" s="3168">
        <v>-1274</v>
      </c>
      <c r="D1014" s="3168">
        <v>25.39</v>
      </c>
      <c r="E1014" s="3168">
        <v>8.8699999999999992</v>
      </c>
    </row>
    <row r="1015" spans="1:5" ht="14.25">
      <c r="A1015" s="3168">
        <v>1014</v>
      </c>
      <c r="B1015" s="3168" t="s">
        <v>3538</v>
      </c>
      <c r="C1015" s="3168">
        <v>-1275</v>
      </c>
      <c r="D1015" s="3168">
        <v>25.39</v>
      </c>
      <c r="E1015" s="3168">
        <v>8.8699999999999992</v>
      </c>
    </row>
    <row r="1016" spans="1:5" ht="14.25">
      <c r="A1016" s="3168">
        <v>1015</v>
      </c>
      <c r="B1016" s="3168" t="s">
        <v>3538</v>
      </c>
      <c r="C1016" s="3168">
        <v>-1276</v>
      </c>
      <c r="D1016" s="3168">
        <v>25.39</v>
      </c>
      <c r="E1016" s="3168">
        <v>8.8699999999999992</v>
      </c>
    </row>
    <row r="1017" spans="1:5" ht="14.25">
      <c r="A1017" s="3168">
        <v>1016</v>
      </c>
      <c r="B1017" s="3168" t="s">
        <v>3538</v>
      </c>
      <c r="C1017" s="3168">
        <v>-1277</v>
      </c>
      <c r="D1017" s="3168">
        <v>25.39</v>
      </c>
      <c r="E1017" s="3168">
        <v>8.8699999999999992</v>
      </c>
    </row>
    <row r="1018" spans="1:5" ht="14.25">
      <c r="A1018" s="3168">
        <v>1017</v>
      </c>
      <c r="B1018" s="3168" t="s">
        <v>3538</v>
      </c>
      <c r="C1018" s="3168">
        <v>-1278</v>
      </c>
      <c r="D1018" s="3168">
        <v>25.39</v>
      </c>
      <c r="E1018" s="3168">
        <v>8.8699999999999992</v>
      </c>
    </row>
    <row r="1019" spans="1:5" ht="14.25">
      <c r="A1019" s="3168">
        <v>1018</v>
      </c>
      <c r="B1019" s="3168" t="s">
        <v>3538</v>
      </c>
      <c r="C1019" s="3168">
        <v>-1279</v>
      </c>
      <c r="D1019" s="3168">
        <v>25.39</v>
      </c>
      <c r="E1019" s="3168">
        <v>8.8699999999999992</v>
      </c>
    </row>
    <row r="1020" spans="1:5" ht="14.25">
      <c r="A1020" s="3168">
        <v>1019</v>
      </c>
      <c r="B1020" s="3168" t="s">
        <v>3538</v>
      </c>
      <c r="C1020" s="3168">
        <v>-1280</v>
      </c>
      <c r="D1020" s="3168">
        <v>25.39</v>
      </c>
      <c r="E1020" s="3168">
        <v>8.8699999999999992</v>
      </c>
    </row>
    <row r="1021" spans="1:5" ht="14.25">
      <c r="A1021" s="3168">
        <v>1020</v>
      </c>
      <c r="B1021" s="3168" t="s">
        <v>3538</v>
      </c>
      <c r="C1021" s="3168">
        <v>-1281</v>
      </c>
      <c r="D1021" s="3168">
        <v>25.39</v>
      </c>
      <c r="E1021" s="3168">
        <v>8.8699999999999992</v>
      </c>
    </row>
    <row r="1022" spans="1:5" ht="14.25">
      <c r="A1022" s="3168">
        <v>1021</v>
      </c>
      <c r="B1022" s="3168" t="s">
        <v>3538</v>
      </c>
      <c r="C1022" s="3168">
        <v>-1282</v>
      </c>
      <c r="D1022" s="3168">
        <v>25.39</v>
      </c>
      <c r="E1022" s="3168">
        <v>8.8699999999999992</v>
      </c>
    </row>
    <row r="1023" spans="1:5" ht="14.25">
      <c r="A1023" s="3168">
        <v>1022</v>
      </c>
      <c r="B1023" s="3168" t="s">
        <v>3538</v>
      </c>
      <c r="C1023" s="3168">
        <v>-1283</v>
      </c>
      <c r="D1023" s="3168">
        <v>25.39</v>
      </c>
      <c r="E1023" s="3168">
        <v>8.8699999999999992</v>
      </c>
    </row>
    <row r="1024" spans="1:5" ht="14.25">
      <c r="A1024" s="3168">
        <v>1023</v>
      </c>
      <c r="B1024" s="3168" t="s">
        <v>3538</v>
      </c>
      <c r="C1024" s="3168">
        <v>-1284</v>
      </c>
      <c r="D1024" s="3168">
        <v>25.39</v>
      </c>
      <c r="E1024" s="3168">
        <v>8.8699999999999992</v>
      </c>
    </row>
    <row r="1025" spans="1:5" ht="14.25">
      <c r="A1025" s="3168">
        <v>1024</v>
      </c>
      <c r="B1025" s="3168" t="s">
        <v>3538</v>
      </c>
      <c r="C1025" s="3168">
        <v>-1285</v>
      </c>
      <c r="D1025" s="3168">
        <v>25.39</v>
      </c>
      <c r="E1025" s="3168">
        <v>8.8699999999999992</v>
      </c>
    </row>
    <row r="1026" spans="1:5" ht="14.25">
      <c r="A1026" s="3168">
        <v>1025</v>
      </c>
      <c r="B1026" s="3168" t="s">
        <v>3538</v>
      </c>
      <c r="C1026" s="3168">
        <v>-1286</v>
      </c>
      <c r="D1026" s="3168">
        <v>25.39</v>
      </c>
      <c r="E1026" s="3168">
        <v>8.8699999999999992</v>
      </c>
    </row>
    <row r="1027" spans="1:5" ht="14.25">
      <c r="A1027" s="3168">
        <v>1026</v>
      </c>
      <c r="B1027" s="3168" t="s">
        <v>3538</v>
      </c>
      <c r="C1027" s="3168">
        <v>-1287</v>
      </c>
      <c r="D1027" s="3168">
        <v>25.39</v>
      </c>
      <c r="E1027" s="3168">
        <v>8.8699999999999992</v>
      </c>
    </row>
    <row r="1028" spans="1:5" ht="14.25">
      <c r="A1028" s="3168">
        <v>1027</v>
      </c>
      <c r="B1028" s="3168" t="s">
        <v>3538</v>
      </c>
      <c r="C1028" s="3168">
        <v>-1288</v>
      </c>
      <c r="D1028" s="3168">
        <v>25.39</v>
      </c>
      <c r="E1028" s="3168">
        <v>8.8699999999999992</v>
      </c>
    </row>
    <row r="1029" spans="1:5" ht="14.25">
      <c r="A1029" s="3168">
        <v>1028</v>
      </c>
      <c r="B1029" s="3168" t="s">
        <v>3538</v>
      </c>
      <c r="C1029" s="3168">
        <v>-1289</v>
      </c>
      <c r="D1029" s="3168">
        <v>25.39</v>
      </c>
      <c r="E1029" s="3168">
        <v>8.8699999999999992</v>
      </c>
    </row>
    <row r="1030" spans="1:5" ht="14.25">
      <c r="A1030" s="3168">
        <v>1029</v>
      </c>
      <c r="B1030" s="3168" t="s">
        <v>3538</v>
      </c>
      <c r="C1030" s="3168">
        <v>-1290</v>
      </c>
      <c r="D1030" s="3168">
        <v>25.39</v>
      </c>
      <c r="E1030" s="3168">
        <v>8.8699999999999992</v>
      </c>
    </row>
    <row r="1031" spans="1:5" ht="14.25">
      <c r="A1031" s="3168">
        <v>1030</v>
      </c>
      <c r="B1031" s="3168" t="s">
        <v>3538</v>
      </c>
      <c r="C1031" s="3168">
        <v>-1291</v>
      </c>
      <c r="D1031" s="3168">
        <v>25.39</v>
      </c>
      <c r="E1031" s="3168">
        <v>8.8699999999999992</v>
      </c>
    </row>
    <row r="1032" spans="1:5" ht="14.25">
      <c r="A1032" s="3168">
        <v>1031</v>
      </c>
      <c r="B1032" s="3168" t="s">
        <v>3538</v>
      </c>
      <c r="C1032" s="3168">
        <v>-1292</v>
      </c>
      <c r="D1032" s="3168">
        <v>25.39</v>
      </c>
      <c r="E1032" s="3168">
        <v>8.8699999999999992</v>
      </c>
    </row>
    <row r="1033" spans="1:5" ht="14.25">
      <c r="A1033" s="3168">
        <v>1032</v>
      </c>
      <c r="B1033" s="3168" t="s">
        <v>3538</v>
      </c>
      <c r="C1033" s="3168">
        <v>-1293</v>
      </c>
      <c r="D1033" s="3168">
        <v>25.39</v>
      </c>
      <c r="E1033" s="3168">
        <v>8.8699999999999992</v>
      </c>
    </row>
    <row r="1034" spans="1:5" ht="14.25">
      <c r="A1034" s="3168">
        <v>1033</v>
      </c>
      <c r="B1034" s="3168" t="s">
        <v>3538</v>
      </c>
      <c r="C1034" s="3168">
        <v>-1294</v>
      </c>
      <c r="D1034" s="3168">
        <v>25.39</v>
      </c>
      <c r="E1034" s="3168">
        <v>8.8699999999999992</v>
      </c>
    </row>
    <row r="1035" spans="1:5" ht="14.25">
      <c r="A1035" s="3168">
        <v>1034</v>
      </c>
      <c r="B1035" s="3168" t="s">
        <v>3538</v>
      </c>
      <c r="C1035" s="3168">
        <v>-1295</v>
      </c>
      <c r="D1035" s="3168">
        <v>25.39</v>
      </c>
      <c r="E1035" s="3168">
        <v>8.8699999999999992</v>
      </c>
    </row>
    <row r="1036" spans="1:5" ht="14.25">
      <c r="A1036" s="3168">
        <v>1035</v>
      </c>
      <c r="B1036" s="3168" t="s">
        <v>3538</v>
      </c>
      <c r="C1036" s="3168">
        <v>-1296</v>
      </c>
      <c r="D1036" s="3168">
        <v>25.39</v>
      </c>
      <c r="E1036" s="3168">
        <v>8.8699999999999992</v>
      </c>
    </row>
    <row r="1037" spans="1:5" ht="14.25">
      <c r="A1037" s="3168">
        <v>1036</v>
      </c>
      <c r="B1037" s="3168" t="s">
        <v>3538</v>
      </c>
      <c r="C1037" s="3168">
        <v>-1297</v>
      </c>
      <c r="D1037" s="3168">
        <v>25.39</v>
      </c>
      <c r="E1037" s="3168">
        <v>8.8699999999999992</v>
      </c>
    </row>
    <row r="1038" spans="1:5" ht="14.25">
      <c r="A1038" s="3168">
        <v>1037</v>
      </c>
      <c r="B1038" s="3168" t="s">
        <v>3538</v>
      </c>
      <c r="C1038" s="3168">
        <v>-1298</v>
      </c>
      <c r="D1038" s="3168">
        <v>25.39</v>
      </c>
      <c r="E1038" s="3168">
        <v>8.8699999999999992</v>
      </c>
    </row>
    <row r="1039" spans="1:5" ht="14.25">
      <c r="A1039" s="3168">
        <v>1038</v>
      </c>
      <c r="B1039" s="3168" t="s">
        <v>3538</v>
      </c>
      <c r="C1039" s="3168">
        <v>-1299</v>
      </c>
      <c r="D1039" s="3168">
        <v>25.39</v>
      </c>
      <c r="E1039" s="3168">
        <v>8.8699999999999992</v>
      </c>
    </row>
    <row r="1040" spans="1:5" ht="14.25">
      <c r="A1040" s="3168">
        <v>1039</v>
      </c>
      <c r="B1040" s="3168" t="s">
        <v>3538</v>
      </c>
      <c r="C1040" s="3168">
        <v>-1300</v>
      </c>
      <c r="D1040" s="3168">
        <v>25.39</v>
      </c>
      <c r="E1040" s="3168">
        <v>8.8699999999999992</v>
      </c>
    </row>
    <row r="1041" spans="1:5" ht="14.25">
      <c r="A1041" s="3168">
        <v>1040</v>
      </c>
      <c r="B1041" s="3168" t="s">
        <v>3538</v>
      </c>
      <c r="C1041" s="3168">
        <v>-1301</v>
      </c>
      <c r="D1041" s="3168">
        <v>25.39</v>
      </c>
      <c r="E1041" s="3168">
        <v>8.8699999999999992</v>
      </c>
    </row>
    <row r="1042" spans="1:5" ht="14.25">
      <c r="A1042" s="3168">
        <v>1041</v>
      </c>
      <c r="B1042" s="3168" t="s">
        <v>3538</v>
      </c>
      <c r="C1042" s="3168">
        <v>-1302</v>
      </c>
      <c r="D1042" s="3168">
        <v>25.39</v>
      </c>
      <c r="E1042" s="3168">
        <v>8.8699999999999992</v>
      </c>
    </row>
    <row r="1043" spans="1:5" ht="14.25">
      <c r="A1043" s="3168">
        <v>1042</v>
      </c>
      <c r="B1043" s="3168" t="s">
        <v>3538</v>
      </c>
      <c r="C1043" s="3168">
        <v>-1303</v>
      </c>
      <c r="D1043" s="3168">
        <v>25.39</v>
      </c>
      <c r="E1043" s="3168">
        <v>8.8699999999999992</v>
      </c>
    </row>
    <row r="1044" spans="1:5" ht="14.25">
      <c r="A1044" s="3168">
        <v>1043</v>
      </c>
      <c r="B1044" s="3168" t="s">
        <v>3538</v>
      </c>
      <c r="C1044" s="3168">
        <v>-1304</v>
      </c>
      <c r="D1044" s="3168">
        <v>25.39</v>
      </c>
      <c r="E1044" s="3168">
        <v>8.8699999999999992</v>
      </c>
    </row>
    <row r="1045" spans="1:5" ht="14.25">
      <c r="A1045" s="3168">
        <v>1044</v>
      </c>
      <c r="B1045" s="3168" t="s">
        <v>3538</v>
      </c>
      <c r="C1045" s="3168">
        <v>-1305</v>
      </c>
      <c r="D1045" s="3168">
        <v>25.39</v>
      </c>
      <c r="E1045" s="3168">
        <v>8.8699999999999992</v>
      </c>
    </row>
    <row r="1046" spans="1:5" ht="14.25">
      <c r="A1046" s="3168">
        <v>1045</v>
      </c>
      <c r="B1046" s="3168" t="s">
        <v>3538</v>
      </c>
      <c r="C1046" s="3168">
        <v>-1306</v>
      </c>
      <c r="D1046" s="3168">
        <v>25.39</v>
      </c>
      <c r="E1046" s="3168">
        <v>8.8699999999999992</v>
      </c>
    </row>
    <row r="1047" spans="1:5" ht="14.25">
      <c r="A1047" s="3168">
        <v>1046</v>
      </c>
      <c r="B1047" s="3168" t="s">
        <v>3538</v>
      </c>
      <c r="C1047" s="3168">
        <v>-1307</v>
      </c>
      <c r="D1047" s="3168">
        <v>25.39</v>
      </c>
      <c r="E1047" s="3168">
        <v>8.8699999999999992</v>
      </c>
    </row>
    <row r="1048" spans="1:5" ht="14.25">
      <c r="A1048" s="3168">
        <v>1047</v>
      </c>
      <c r="B1048" s="3168" t="s">
        <v>3538</v>
      </c>
      <c r="C1048" s="3168">
        <v>-1308</v>
      </c>
      <c r="D1048" s="3168">
        <v>25.39</v>
      </c>
      <c r="E1048" s="3168">
        <v>8.8699999999999992</v>
      </c>
    </row>
    <row r="1049" spans="1:5" ht="14.25">
      <c r="A1049" s="3168">
        <v>1048</v>
      </c>
      <c r="B1049" s="3168" t="s">
        <v>3538</v>
      </c>
      <c r="C1049" s="3168">
        <v>-1309</v>
      </c>
      <c r="D1049" s="3168">
        <v>25.39</v>
      </c>
      <c r="E1049" s="3168">
        <v>8.8699999999999992</v>
      </c>
    </row>
    <row r="1050" spans="1:5" ht="14.25">
      <c r="A1050" s="3168">
        <v>1049</v>
      </c>
      <c r="B1050" s="3168" t="s">
        <v>3538</v>
      </c>
      <c r="C1050" s="3168">
        <v>-1310</v>
      </c>
      <c r="D1050" s="3168">
        <v>25.39</v>
      </c>
      <c r="E1050" s="3168">
        <v>8.8699999999999992</v>
      </c>
    </row>
    <row r="1051" spans="1:5" ht="14.25">
      <c r="A1051" s="3168">
        <v>1050</v>
      </c>
      <c r="B1051" s="3168" t="s">
        <v>3538</v>
      </c>
      <c r="C1051" s="3168">
        <v>-1311</v>
      </c>
      <c r="D1051" s="3168">
        <v>25.39</v>
      </c>
      <c r="E1051" s="3168">
        <v>8.8699999999999992</v>
      </c>
    </row>
    <row r="1052" spans="1:5" ht="14.25">
      <c r="A1052" s="3168">
        <v>1051</v>
      </c>
      <c r="B1052" s="3168" t="s">
        <v>3538</v>
      </c>
      <c r="C1052" s="3168">
        <v>-1312</v>
      </c>
      <c r="D1052" s="3168">
        <v>25.39</v>
      </c>
      <c r="E1052" s="3168">
        <v>8.8699999999999992</v>
      </c>
    </row>
    <row r="1053" spans="1:5" ht="14.25">
      <c r="A1053" s="3168">
        <v>1052</v>
      </c>
      <c r="B1053" s="3168" t="s">
        <v>3538</v>
      </c>
      <c r="C1053" s="3168">
        <v>-1313</v>
      </c>
      <c r="D1053" s="3168">
        <v>25.39</v>
      </c>
      <c r="E1053" s="3168">
        <v>8.8699999999999992</v>
      </c>
    </row>
    <row r="1054" spans="1:5" ht="14.25">
      <c r="A1054" s="3168">
        <v>1053</v>
      </c>
      <c r="B1054" s="3168" t="s">
        <v>3538</v>
      </c>
      <c r="C1054" s="3168">
        <v>-1314</v>
      </c>
      <c r="D1054" s="3168">
        <v>25.39</v>
      </c>
      <c r="E1054" s="3168">
        <v>8.8699999999999992</v>
      </c>
    </row>
    <row r="1055" spans="1:5" ht="14.25">
      <c r="A1055" s="3168">
        <v>1054</v>
      </c>
      <c r="B1055" s="3168" t="s">
        <v>3538</v>
      </c>
      <c r="C1055" s="3168">
        <v>-1315</v>
      </c>
      <c r="D1055" s="3168">
        <v>25.39</v>
      </c>
      <c r="E1055" s="3168">
        <v>8.8699999999999992</v>
      </c>
    </row>
    <row r="1056" spans="1:5" ht="14.25">
      <c r="A1056" s="3168">
        <v>1055</v>
      </c>
      <c r="B1056" s="3168" t="s">
        <v>3538</v>
      </c>
      <c r="C1056" s="3168">
        <v>-1316</v>
      </c>
      <c r="D1056" s="3168">
        <v>25.39</v>
      </c>
      <c r="E1056" s="3168">
        <v>8.8699999999999992</v>
      </c>
    </row>
    <row r="1057" spans="1:5" ht="14.25">
      <c r="A1057" s="3168">
        <v>1056</v>
      </c>
      <c r="B1057" s="3168" t="s">
        <v>3538</v>
      </c>
      <c r="C1057" s="3168">
        <v>-1317</v>
      </c>
      <c r="D1057" s="3168">
        <v>25.39</v>
      </c>
      <c r="E1057" s="3168">
        <v>8.8699999999999992</v>
      </c>
    </row>
    <row r="1058" spans="1:5" ht="14.25">
      <c r="A1058" s="3168">
        <v>1057</v>
      </c>
      <c r="B1058" s="3168" t="s">
        <v>3538</v>
      </c>
      <c r="C1058" s="3168">
        <v>-1318</v>
      </c>
      <c r="D1058" s="3168">
        <v>25.39</v>
      </c>
      <c r="E1058" s="3168">
        <v>8.8699999999999992</v>
      </c>
    </row>
    <row r="1059" spans="1:5" ht="14.25">
      <c r="A1059" s="3168">
        <v>1058</v>
      </c>
      <c r="B1059" s="3168" t="s">
        <v>3538</v>
      </c>
      <c r="C1059" s="3168">
        <v>-1319</v>
      </c>
      <c r="D1059" s="3168">
        <v>25.39</v>
      </c>
      <c r="E1059" s="3168">
        <v>8.8699999999999992</v>
      </c>
    </row>
    <row r="1060" spans="1:5" ht="14.25">
      <c r="A1060" s="3168">
        <v>1059</v>
      </c>
      <c r="B1060" s="3168" t="s">
        <v>3538</v>
      </c>
      <c r="C1060" s="3168">
        <v>-1320</v>
      </c>
      <c r="D1060" s="3168">
        <v>25.39</v>
      </c>
      <c r="E1060" s="3168">
        <v>8.8699999999999992</v>
      </c>
    </row>
    <row r="1061" spans="1:5" ht="14.25">
      <c r="A1061" s="3168">
        <v>1060</v>
      </c>
      <c r="B1061" s="3168" t="s">
        <v>3538</v>
      </c>
      <c r="C1061" s="3168">
        <v>-1321</v>
      </c>
      <c r="D1061" s="3168">
        <v>25.39</v>
      </c>
      <c r="E1061" s="3168">
        <v>8.8699999999999992</v>
      </c>
    </row>
    <row r="1062" spans="1:5" ht="14.25">
      <c r="A1062" s="3168">
        <v>1061</v>
      </c>
      <c r="B1062" s="3168" t="s">
        <v>3538</v>
      </c>
      <c r="C1062" s="3168">
        <v>-1322</v>
      </c>
      <c r="D1062" s="3168">
        <v>25.39</v>
      </c>
      <c r="E1062" s="3168">
        <v>8.8699999999999992</v>
      </c>
    </row>
    <row r="1063" spans="1:5" ht="14.25">
      <c r="A1063" s="3168">
        <v>1062</v>
      </c>
      <c r="B1063" s="3168" t="s">
        <v>3538</v>
      </c>
      <c r="C1063" s="3168">
        <v>-1323</v>
      </c>
      <c r="D1063" s="3168">
        <v>25.39</v>
      </c>
      <c r="E1063" s="3168">
        <v>8.8699999999999992</v>
      </c>
    </row>
    <row r="1064" spans="1:5" ht="14.25">
      <c r="A1064" s="3168">
        <v>1063</v>
      </c>
      <c r="B1064" s="3168" t="s">
        <v>3538</v>
      </c>
      <c r="C1064" s="3168">
        <v>-1324</v>
      </c>
      <c r="D1064" s="3168">
        <v>25.39</v>
      </c>
      <c r="E1064" s="3168">
        <v>8.8699999999999992</v>
      </c>
    </row>
    <row r="1065" spans="1:5" ht="14.25">
      <c r="A1065" s="3168">
        <v>1064</v>
      </c>
      <c r="B1065" s="3168" t="s">
        <v>3538</v>
      </c>
      <c r="C1065" s="3168">
        <v>-1325</v>
      </c>
      <c r="D1065" s="3168">
        <v>25.39</v>
      </c>
      <c r="E1065" s="3168">
        <v>8.8699999999999992</v>
      </c>
    </row>
    <row r="1066" spans="1:5" ht="14.25">
      <c r="A1066" s="3168">
        <v>1065</v>
      </c>
      <c r="B1066" s="3168" t="s">
        <v>3538</v>
      </c>
      <c r="C1066" s="3168">
        <v>-1326</v>
      </c>
      <c r="D1066" s="3168">
        <v>25.39</v>
      </c>
      <c r="E1066" s="3168">
        <v>8.8699999999999992</v>
      </c>
    </row>
    <row r="1067" spans="1:5" ht="14.25">
      <c r="A1067" s="3168">
        <v>1066</v>
      </c>
      <c r="B1067" s="3168" t="s">
        <v>3538</v>
      </c>
      <c r="C1067" s="3168">
        <v>-1327</v>
      </c>
      <c r="D1067" s="3168">
        <v>25.39</v>
      </c>
      <c r="E1067" s="3168">
        <v>8.8699999999999992</v>
      </c>
    </row>
    <row r="1068" spans="1:5" ht="14.25">
      <c r="A1068" s="3168">
        <v>1067</v>
      </c>
      <c r="B1068" s="3168" t="s">
        <v>3538</v>
      </c>
      <c r="C1068" s="3168">
        <v>-1328</v>
      </c>
      <c r="D1068" s="3168">
        <v>25.39</v>
      </c>
      <c r="E1068" s="3168">
        <v>8.8699999999999992</v>
      </c>
    </row>
    <row r="1069" spans="1:5" ht="14.25">
      <c r="A1069" s="3168">
        <v>1068</v>
      </c>
      <c r="B1069" s="3168" t="s">
        <v>3538</v>
      </c>
      <c r="C1069" s="3168">
        <v>-1329</v>
      </c>
      <c r="D1069" s="3168">
        <v>25.39</v>
      </c>
      <c r="E1069" s="3168">
        <v>8.8699999999999992</v>
      </c>
    </row>
    <row r="1070" spans="1:5" ht="14.25">
      <c r="A1070" s="3168">
        <v>1069</v>
      </c>
      <c r="B1070" s="3168" t="s">
        <v>3538</v>
      </c>
      <c r="C1070" s="3168">
        <v>-1330</v>
      </c>
      <c r="D1070" s="3168">
        <v>25.39</v>
      </c>
      <c r="E1070" s="3168">
        <v>8.8699999999999992</v>
      </c>
    </row>
    <row r="1071" spans="1:5" ht="14.25">
      <c r="A1071" s="3168">
        <v>1070</v>
      </c>
      <c r="B1071" s="3168" t="s">
        <v>3538</v>
      </c>
      <c r="C1071" s="3168">
        <v>-1331</v>
      </c>
      <c r="D1071" s="3168">
        <v>25.39</v>
      </c>
      <c r="E1071" s="3168">
        <v>8.8699999999999992</v>
      </c>
    </row>
    <row r="1072" spans="1:5" ht="14.25">
      <c r="A1072" s="3168">
        <v>1071</v>
      </c>
      <c r="B1072" s="3168" t="s">
        <v>3538</v>
      </c>
      <c r="C1072" s="3168">
        <v>-1332</v>
      </c>
      <c r="D1072" s="3168">
        <v>25.39</v>
      </c>
      <c r="E1072" s="3168">
        <v>8.8699999999999992</v>
      </c>
    </row>
    <row r="1073" spans="1:5" ht="14.25">
      <c r="A1073" s="3168">
        <v>1072</v>
      </c>
      <c r="B1073" s="3168" t="s">
        <v>3538</v>
      </c>
      <c r="C1073" s="3168">
        <v>-1333</v>
      </c>
      <c r="D1073" s="3168">
        <v>25.39</v>
      </c>
      <c r="E1073" s="3168">
        <v>8.8699999999999992</v>
      </c>
    </row>
    <row r="1074" spans="1:5" ht="14.25">
      <c r="A1074" s="3168">
        <v>1073</v>
      </c>
      <c r="B1074" s="3168" t="s">
        <v>3538</v>
      </c>
      <c r="C1074" s="3168">
        <v>-1334</v>
      </c>
      <c r="D1074" s="3168">
        <v>25.39</v>
      </c>
      <c r="E1074" s="3168">
        <v>8.8699999999999992</v>
      </c>
    </row>
    <row r="1075" spans="1:5" ht="14.25">
      <c r="A1075" s="3168">
        <v>1074</v>
      </c>
      <c r="B1075" s="3168" t="s">
        <v>3538</v>
      </c>
      <c r="C1075" s="3168">
        <v>-1335</v>
      </c>
      <c r="D1075" s="3168">
        <v>25.39</v>
      </c>
      <c r="E1075" s="3168">
        <v>8.8699999999999992</v>
      </c>
    </row>
    <row r="1076" spans="1:5" ht="14.25">
      <c r="A1076" s="3168">
        <v>1075</v>
      </c>
      <c r="B1076" s="3168" t="s">
        <v>3538</v>
      </c>
      <c r="C1076" s="3168">
        <v>-1336</v>
      </c>
      <c r="D1076" s="3168">
        <v>25.39</v>
      </c>
      <c r="E1076" s="3168">
        <v>8.8699999999999992</v>
      </c>
    </row>
    <row r="1077" spans="1:5" ht="14.25">
      <c r="A1077" s="3168">
        <v>1076</v>
      </c>
      <c r="B1077" s="3168" t="s">
        <v>3538</v>
      </c>
      <c r="C1077" s="3168">
        <v>-1337</v>
      </c>
      <c r="D1077" s="3168">
        <v>25.39</v>
      </c>
      <c r="E1077" s="3168">
        <v>8.8699999999999992</v>
      </c>
    </row>
    <row r="1078" spans="1:5" ht="14.25">
      <c r="A1078" s="3168">
        <v>1077</v>
      </c>
      <c r="B1078" s="3168" t="s">
        <v>3538</v>
      </c>
      <c r="C1078" s="3168">
        <v>-1338</v>
      </c>
      <c r="D1078" s="3168">
        <v>25.39</v>
      </c>
      <c r="E1078" s="3168">
        <v>8.8699999999999992</v>
      </c>
    </row>
    <row r="1079" spans="1:5" ht="14.25">
      <c r="A1079" s="3168">
        <v>1078</v>
      </c>
      <c r="B1079" s="3168" t="s">
        <v>3538</v>
      </c>
      <c r="C1079" s="3168">
        <v>-1339</v>
      </c>
      <c r="D1079" s="3168">
        <v>25.39</v>
      </c>
      <c r="E1079" s="3168">
        <v>8.8699999999999992</v>
      </c>
    </row>
    <row r="1080" spans="1:5" ht="14.25">
      <c r="A1080" s="3168">
        <v>1079</v>
      </c>
      <c r="B1080" s="3168" t="s">
        <v>3538</v>
      </c>
      <c r="C1080" s="3168">
        <v>-1340</v>
      </c>
      <c r="D1080" s="3168">
        <v>25.39</v>
      </c>
      <c r="E1080" s="3168">
        <v>8.8699999999999992</v>
      </c>
    </row>
    <row r="1081" spans="1:5" ht="14.25">
      <c r="A1081" s="3168">
        <v>1080</v>
      </c>
      <c r="B1081" s="3168" t="s">
        <v>3538</v>
      </c>
      <c r="C1081" s="3168">
        <v>-1341</v>
      </c>
      <c r="D1081" s="3168">
        <v>25.39</v>
      </c>
      <c r="E1081" s="3168">
        <v>8.8699999999999992</v>
      </c>
    </row>
    <row r="1082" spans="1:5" ht="14.25">
      <c r="A1082" s="3168">
        <v>1081</v>
      </c>
      <c r="B1082" s="3168" t="s">
        <v>3538</v>
      </c>
      <c r="C1082" s="3168">
        <v>-1342</v>
      </c>
      <c r="D1082" s="3168">
        <v>25.39</v>
      </c>
      <c r="E1082" s="3168">
        <v>8.8699999999999992</v>
      </c>
    </row>
    <row r="1083" spans="1:5" ht="14.25">
      <c r="A1083" s="3168">
        <v>1082</v>
      </c>
      <c r="B1083" s="3168" t="s">
        <v>3538</v>
      </c>
      <c r="C1083" s="3168">
        <v>-1343</v>
      </c>
      <c r="D1083" s="3168">
        <v>25.39</v>
      </c>
      <c r="E1083" s="3168">
        <v>8.8699999999999992</v>
      </c>
    </row>
    <row r="1084" spans="1:5" ht="14.25">
      <c r="A1084" s="3168">
        <v>1083</v>
      </c>
      <c r="B1084" s="3168" t="s">
        <v>3538</v>
      </c>
      <c r="C1084" s="3168">
        <v>-1344</v>
      </c>
      <c r="D1084" s="3168">
        <v>25.39</v>
      </c>
      <c r="E1084" s="3168">
        <v>8.8699999999999992</v>
      </c>
    </row>
    <row r="1085" spans="1:5" ht="14.25">
      <c r="A1085" s="3168">
        <v>1084</v>
      </c>
      <c r="B1085" s="3168" t="s">
        <v>3538</v>
      </c>
      <c r="C1085" s="3168">
        <v>-1345</v>
      </c>
      <c r="D1085" s="3168">
        <v>25.39</v>
      </c>
      <c r="E1085" s="3168">
        <v>8.8699999999999992</v>
      </c>
    </row>
    <row r="1086" spans="1:5" ht="14.25">
      <c r="A1086" s="3168">
        <v>1085</v>
      </c>
      <c r="B1086" s="3168" t="s">
        <v>3538</v>
      </c>
      <c r="C1086" s="3168">
        <v>-1346</v>
      </c>
      <c r="D1086" s="3168">
        <v>25.39</v>
      </c>
      <c r="E1086" s="3168">
        <v>8.8699999999999992</v>
      </c>
    </row>
    <row r="1087" spans="1:5" ht="14.25">
      <c r="A1087" s="3168">
        <v>1086</v>
      </c>
      <c r="B1087" s="3168" t="s">
        <v>3538</v>
      </c>
      <c r="C1087" s="3168">
        <v>-1347</v>
      </c>
      <c r="D1087" s="3168">
        <v>25.39</v>
      </c>
      <c r="E1087" s="3168">
        <v>8.8699999999999992</v>
      </c>
    </row>
    <row r="1088" spans="1:5" ht="14.25">
      <c r="A1088" s="3168">
        <v>1087</v>
      </c>
      <c r="B1088" s="3168" t="s">
        <v>3538</v>
      </c>
      <c r="C1088" s="3168">
        <v>-1348</v>
      </c>
      <c r="D1088" s="3168">
        <v>25.39</v>
      </c>
      <c r="E1088" s="3168">
        <v>8.8699999999999992</v>
      </c>
    </row>
    <row r="1089" spans="1:5" ht="14.25">
      <c r="A1089" s="3168">
        <v>1088</v>
      </c>
      <c r="B1089" s="3168" t="s">
        <v>3538</v>
      </c>
      <c r="C1089" s="3168">
        <v>-1349</v>
      </c>
      <c r="D1089" s="3168">
        <v>25.39</v>
      </c>
      <c r="E1089" s="3168">
        <v>8.8699999999999992</v>
      </c>
    </row>
    <row r="1090" spans="1:5" ht="14.25">
      <c r="A1090" s="3168">
        <v>1089</v>
      </c>
      <c r="B1090" s="3168" t="s">
        <v>3538</v>
      </c>
      <c r="C1090" s="3168">
        <v>-1350</v>
      </c>
      <c r="D1090" s="3168">
        <v>25.39</v>
      </c>
      <c r="E1090" s="3168">
        <v>8.8699999999999992</v>
      </c>
    </row>
    <row r="1091" spans="1:5" ht="14.25">
      <c r="A1091" s="3168">
        <v>1090</v>
      </c>
      <c r="B1091" s="3168" t="s">
        <v>3538</v>
      </c>
      <c r="C1091" s="3168">
        <v>-1351</v>
      </c>
      <c r="D1091" s="3168">
        <v>25.39</v>
      </c>
      <c r="E1091" s="3168">
        <v>8.8699999999999992</v>
      </c>
    </row>
    <row r="1092" spans="1:5" ht="14.25">
      <c r="A1092" s="3168">
        <v>1091</v>
      </c>
      <c r="B1092" s="3168" t="s">
        <v>3538</v>
      </c>
      <c r="C1092" s="3168">
        <v>-1352</v>
      </c>
      <c r="D1092" s="3168">
        <v>25.39</v>
      </c>
      <c r="E1092" s="3168">
        <v>8.8699999999999992</v>
      </c>
    </row>
    <row r="1093" spans="1:5" ht="14.25">
      <c r="A1093" s="3168">
        <v>1092</v>
      </c>
      <c r="B1093" s="3168" t="s">
        <v>3538</v>
      </c>
      <c r="C1093" s="3168">
        <v>-1353</v>
      </c>
      <c r="D1093" s="3168">
        <v>25.39</v>
      </c>
      <c r="E1093" s="3168">
        <v>8.8699999999999992</v>
      </c>
    </row>
    <row r="1094" spans="1:5" ht="14.25">
      <c r="A1094" s="3168">
        <v>1093</v>
      </c>
      <c r="B1094" s="3168" t="s">
        <v>3538</v>
      </c>
      <c r="C1094" s="3168">
        <v>-1354</v>
      </c>
      <c r="D1094" s="3168">
        <v>25.39</v>
      </c>
      <c r="E1094" s="3168">
        <v>8.8699999999999992</v>
      </c>
    </row>
    <row r="1095" spans="1:5" ht="14.25">
      <c r="A1095" s="3168">
        <v>1094</v>
      </c>
      <c r="B1095" s="3168" t="s">
        <v>3538</v>
      </c>
      <c r="C1095" s="3168">
        <v>-1355</v>
      </c>
      <c r="D1095" s="3168">
        <v>25.39</v>
      </c>
      <c r="E1095" s="3168">
        <v>8.8699999999999992</v>
      </c>
    </row>
    <row r="1096" spans="1:5" ht="14.25">
      <c r="A1096" s="3168">
        <v>1095</v>
      </c>
      <c r="B1096" s="3168" t="s">
        <v>3538</v>
      </c>
      <c r="C1096" s="3168">
        <v>-1356</v>
      </c>
      <c r="D1096" s="3168">
        <v>25.39</v>
      </c>
      <c r="E1096" s="3168">
        <v>8.8699999999999992</v>
      </c>
    </row>
    <row r="1097" spans="1:5" ht="14.25">
      <c r="A1097" s="3168">
        <v>1096</v>
      </c>
      <c r="B1097" s="3168" t="s">
        <v>3538</v>
      </c>
      <c r="C1097" s="3168">
        <v>-1357</v>
      </c>
      <c r="D1097" s="3168">
        <v>25.39</v>
      </c>
      <c r="E1097" s="3168">
        <v>8.8699999999999992</v>
      </c>
    </row>
    <row r="1098" spans="1:5" ht="14.25">
      <c r="A1098" s="3168">
        <v>1097</v>
      </c>
      <c r="B1098" s="3168" t="s">
        <v>3538</v>
      </c>
      <c r="C1098" s="3168">
        <v>-1358</v>
      </c>
      <c r="D1098" s="3168">
        <v>25.39</v>
      </c>
      <c r="E1098" s="3168">
        <v>8.8699999999999992</v>
      </c>
    </row>
    <row r="1099" spans="1:5" ht="14.25">
      <c r="A1099" s="3168">
        <v>1098</v>
      </c>
      <c r="B1099" s="3168" t="s">
        <v>3538</v>
      </c>
      <c r="C1099" s="3168">
        <v>-1359</v>
      </c>
      <c r="D1099" s="3168">
        <v>25.39</v>
      </c>
      <c r="E1099" s="3168">
        <v>8.8699999999999992</v>
      </c>
    </row>
    <row r="1100" spans="1:5" ht="14.25">
      <c r="A1100" s="3168">
        <v>1099</v>
      </c>
      <c r="B1100" s="3168" t="s">
        <v>3538</v>
      </c>
      <c r="C1100" s="3168">
        <v>-1360</v>
      </c>
      <c r="D1100" s="3168">
        <v>25.39</v>
      </c>
      <c r="E1100" s="3168">
        <v>8.8699999999999992</v>
      </c>
    </row>
    <row r="1101" spans="1:5" ht="14.25">
      <c r="A1101" s="3168">
        <v>1100</v>
      </c>
      <c r="B1101" s="3168" t="s">
        <v>3538</v>
      </c>
      <c r="C1101" s="3168">
        <v>-1361</v>
      </c>
      <c r="D1101" s="3168">
        <v>25.39</v>
      </c>
      <c r="E1101" s="3168">
        <v>8.8699999999999992</v>
      </c>
    </row>
    <row r="1102" spans="1:5" ht="14.25">
      <c r="A1102" s="3168">
        <v>1101</v>
      </c>
      <c r="B1102" s="3168" t="s">
        <v>3538</v>
      </c>
      <c r="C1102" s="3168">
        <v>-1362</v>
      </c>
      <c r="D1102" s="3168">
        <v>25.39</v>
      </c>
      <c r="E1102" s="3168">
        <v>8.8699999999999992</v>
      </c>
    </row>
    <row r="1103" spans="1:5" ht="14.25">
      <c r="A1103" s="3168">
        <v>1102</v>
      </c>
      <c r="B1103" s="3168" t="s">
        <v>3538</v>
      </c>
      <c r="C1103" s="3168">
        <v>-1363</v>
      </c>
      <c r="D1103" s="3168">
        <v>25.39</v>
      </c>
      <c r="E1103" s="3168">
        <v>8.8699999999999992</v>
      </c>
    </row>
    <row r="1104" spans="1:5" ht="14.25">
      <c r="A1104" s="3168">
        <v>1103</v>
      </c>
      <c r="B1104" s="3168" t="s">
        <v>3538</v>
      </c>
      <c r="C1104" s="3168">
        <v>-1364</v>
      </c>
      <c r="D1104" s="3168">
        <v>25.39</v>
      </c>
      <c r="E1104" s="3168">
        <v>8.8699999999999992</v>
      </c>
    </row>
    <row r="1105" spans="1:5" ht="14.25">
      <c r="A1105" s="3168">
        <v>1104</v>
      </c>
      <c r="B1105" s="3168" t="s">
        <v>3538</v>
      </c>
      <c r="C1105" s="3168">
        <v>-1365</v>
      </c>
      <c r="D1105" s="3168">
        <v>25.39</v>
      </c>
      <c r="E1105" s="3168">
        <v>8.8699999999999992</v>
      </c>
    </row>
    <row r="1106" spans="1:5" ht="14.25">
      <c r="A1106" s="3168">
        <v>1105</v>
      </c>
      <c r="B1106" s="3168" t="s">
        <v>3538</v>
      </c>
      <c r="C1106" s="3168">
        <v>-1366</v>
      </c>
      <c r="D1106" s="3168">
        <v>25.39</v>
      </c>
      <c r="E1106" s="3168">
        <v>8.8699999999999992</v>
      </c>
    </row>
    <row r="1107" spans="1:5" ht="14.25">
      <c r="A1107" s="3168">
        <v>1106</v>
      </c>
      <c r="B1107" s="3168" t="s">
        <v>3538</v>
      </c>
      <c r="C1107" s="3168">
        <v>-1367</v>
      </c>
      <c r="D1107" s="3168">
        <v>25.39</v>
      </c>
      <c r="E1107" s="3168">
        <v>8.8699999999999992</v>
      </c>
    </row>
    <row r="1108" spans="1:5" ht="14.25">
      <c r="A1108" s="3168">
        <v>1107</v>
      </c>
      <c r="B1108" s="3168" t="s">
        <v>3538</v>
      </c>
      <c r="C1108" s="3168">
        <v>-1368</v>
      </c>
      <c r="D1108" s="3168">
        <v>25.39</v>
      </c>
      <c r="E1108" s="3168">
        <v>8.8699999999999992</v>
      </c>
    </row>
    <row r="1109" spans="1:5" ht="14.25">
      <c r="A1109" s="3168">
        <v>1108</v>
      </c>
      <c r="B1109" s="3168" t="s">
        <v>3538</v>
      </c>
      <c r="C1109" s="3168">
        <v>-1369</v>
      </c>
      <c r="D1109" s="3168">
        <v>25.39</v>
      </c>
      <c r="E1109" s="3168">
        <v>8.8699999999999992</v>
      </c>
    </row>
    <row r="1110" spans="1:5" ht="14.25">
      <c r="A1110" s="3168">
        <v>1109</v>
      </c>
      <c r="B1110" s="3168" t="s">
        <v>3538</v>
      </c>
      <c r="C1110" s="3168">
        <v>-1370</v>
      </c>
      <c r="D1110" s="3168">
        <v>25.39</v>
      </c>
      <c r="E1110" s="3168">
        <v>8.8699999999999992</v>
      </c>
    </row>
    <row r="1111" spans="1:5" ht="14.25">
      <c r="A1111" s="3168">
        <v>1110</v>
      </c>
      <c r="B1111" s="3168" t="s">
        <v>3538</v>
      </c>
      <c r="C1111" s="3168">
        <v>-1371</v>
      </c>
      <c r="D1111" s="3168">
        <v>25.39</v>
      </c>
      <c r="E1111" s="3168">
        <v>8.8699999999999992</v>
      </c>
    </row>
    <row r="1112" spans="1:5" ht="14.25">
      <c r="A1112" s="3168">
        <v>1111</v>
      </c>
      <c r="B1112" s="3168" t="s">
        <v>3538</v>
      </c>
      <c r="C1112" s="3168">
        <v>-1372</v>
      </c>
      <c r="D1112" s="3168">
        <v>25.39</v>
      </c>
      <c r="E1112" s="3168">
        <v>8.8699999999999992</v>
      </c>
    </row>
    <row r="1113" spans="1:5" ht="14.25">
      <c r="A1113" s="3168">
        <v>1112</v>
      </c>
      <c r="B1113" s="3168" t="s">
        <v>3538</v>
      </c>
      <c r="C1113" s="3168">
        <v>-1373</v>
      </c>
      <c r="D1113" s="3168">
        <v>25.39</v>
      </c>
      <c r="E1113" s="3168">
        <v>8.8699999999999992</v>
      </c>
    </row>
    <row r="1114" spans="1:5" ht="14.25">
      <c r="A1114" s="3168">
        <v>1113</v>
      </c>
      <c r="B1114" s="3168" t="s">
        <v>3538</v>
      </c>
      <c r="C1114" s="3168">
        <v>-1374</v>
      </c>
      <c r="D1114" s="3168">
        <v>25.39</v>
      </c>
      <c r="E1114" s="3168">
        <v>8.8699999999999992</v>
      </c>
    </row>
    <row r="1115" spans="1:5" ht="14.25">
      <c r="A1115" s="3168">
        <v>1114</v>
      </c>
      <c r="B1115" s="3168" t="s">
        <v>3538</v>
      </c>
      <c r="C1115" s="3168">
        <v>-1375</v>
      </c>
      <c r="D1115" s="3168">
        <v>25.39</v>
      </c>
      <c r="E1115" s="3168">
        <v>8.8699999999999992</v>
      </c>
    </row>
    <row r="1116" spans="1:5" ht="14.25">
      <c r="A1116" s="3168">
        <v>1115</v>
      </c>
      <c r="B1116" s="3168" t="s">
        <v>3538</v>
      </c>
      <c r="C1116" s="3168">
        <v>-1376</v>
      </c>
      <c r="D1116" s="3168">
        <v>25.39</v>
      </c>
      <c r="E1116" s="3168">
        <v>8.8699999999999992</v>
      </c>
    </row>
    <row r="1117" spans="1:5" ht="14.25">
      <c r="A1117" s="3168">
        <v>1116</v>
      </c>
      <c r="B1117" s="3168" t="s">
        <v>3538</v>
      </c>
      <c r="C1117" s="3168">
        <v>-1377</v>
      </c>
      <c r="D1117" s="3168">
        <v>25.39</v>
      </c>
      <c r="E1117" s="3168">
        <v>8.8699999999999992</v>
      </c>
    </row>
    <row r="1118" spans="1:5" ht="14.25">
      <c r="A1118" s="3168">
        <v>1117</v>
      </c>
      <c r="B1118" s="3168" t="s">
        <v>3538</v>
      </c>
      <c r="C1118" s="3168">
        <v>-1378</v>
      </c>
      <c r="D1118" s="3168">
        <v>25.39</v>
      </c>
      <c r="E1118" s="3168">
        <v>8.8699999999999992</v>
      </c>
    </row>
    <row r="1119" spans="1:5" ht="14.25">
      <c r="A1119" s="3168">
        <v>1118</v>
      </c>
      <c r="B1119" s="3168" t="s">
        <v>3538</v>
      </c>
      <c r="C1119" s="3168">
        <v>-1379</v>
      </c>
      <c r="D1119" s="3168">
        <v>25.39</v>
      </c>
      <c r="E1119" s="3168">
        <v>8.8699999999999992</v>
      </c>
    </row>
    <row r="1120" spans="1:5" ht="14.25">
      <c r="A1120" s="3168">
        <v>1119</v>
      </c>
      <c r="B1120" s="3168" t="s">
        <v>3538</v>
      </c>
      <c r="C1120" s="3168">
        <v>-1380</v>
      </c>
      <c r="D1120" s="3168">
        <v>25.39</v>
      </c>
      <c r="E1120" s="3168">
        <v>8.8699999999999992</v>
      </c>
    </row>
    <row r="1121" spans="1:5" ht="14.25">
      <c r="A1121" s="3168">
        <v>1120</v>
      </c>
      <c r="B1121" s="3168" t="s">
        <v>3538</v>
      </c>
      <c r="C1121" s="3168">
        <v>-1381</v>
      </c>
      <c r="D1121" s="3168">
        <v>25.39</v>
      </c>
      <c r="E1121" s="3168">
        <v>8.8699999999999992</v>
      </c>
    </row>
    <row r="1122" spans="1:5" ht="14.25">
      <c r="A1122" s="3168">
        <v>1121</v>
      </c>
      <c r="B1122" s="3168" t="s">
        <v>3538</v>
      </c>
      <c r="C1122" s="3168">
        <v>-1382</v>
      </c>
      <c r="D1122" s="3168">
        <v>25.39</v>
      </c>
      <c r="E1122" s="3168">
        <v>8.8699999999999992</v>
      </c>
    </row>
    <row r="1123" spans="1:5" ht="14.25">
      <c r="A1123" s="3168">
        <v>1122</v>
      </c>
      <c r="B1123" s="3168" t="s">
        <v>3538</v>
      </c>
      <c r="C1123" s="3168">
        <v>-1383</v>
      </c>
      <c r="D1123" s="3168">
        <v>25.39</v>
      </c>
      <c r="E1123" s="3168">
        <v>8.8699999999999992</v>
      </c>
    </row>
    <row r="1124" spans="1:5" ht="14.25">
      <c r="A1124" s="3168">
        <v>1123</v>
      </c>
      <c r="B1124" s="3168" t="s">
        <v>3538</v>
      </c>
      <c r="C1124" s="3168">
        <v>-1384</v>
      </c>
      <c r="D1124" s="3168">
        <v>25.39</v>
      </c>
      <c r="E1124" s="3168">
        <v>8.8699999999999992</v>
      </c>
    </row>
    <row r="1125" spans="1:5" ht="14.25">
      <c r="A1125" s="3168">
        <v>1124</v>
      </c>
      <c r="B1125" s="3168" t="s">
        <v>3538</v>
      </c>
      <c r="C1125" s="3168">
        <v>-1385</v>
      </c>
      <c r="D1125" s="3168">
        <v>25.39</v>
      </c>
      <c r="E1125" s="3168">
        <v>8.8699999999999992</v>
      </c>
    </row>
    <row r="1126" spans="1:5" ht="14.25">
      <c r="A1126" s="3168">
        <v>1125</v>
      </c>
      <c r="B1126" s="3168" t="s">
        <v>3538</v>
      </c>
      <c r="C1126" s="3168">
        <v>-1386</v>
      </c>
      <c r="D1126" s="3168">
        <v>25.39</v>
      </c>
      <c r="E1126" s="3168">
        <v>8.8699999999999992</v>
      </c>
    </row>
    <row r="1127" spans="1:5" ht="14.25">
      <c r="A1127" s="3168">
        <v>1126</v>
      </c>
      <c r="B1127" s="3168" t="s">
        <v>3538</v>
      </c>
      <c r="C1127" s="3168">
        <v>-1387</v>
      </c>
      <c r="D1127" s="3168">
        <v>25.39</v>
      </c>
      <c r="E1127" s="3168">
        <v>8.8699999999999992</v>
      </c>
    </row>
    <row r="1128" spans="1:5" ht="14.25">
      <c r="A1128" s="3168">
        <v>1127</v>
      </c>
      <c r="B1128" s="3168" t="s">
        <v>3538</v>
      </c>
      <c r="C1128" s="3168">
        <v>-1388</v>
      </c>
      <c r="D1128" s="3168">
        <v>25.39</v>
      </c>
      <c r="E1128" s="3168">
        <v>8.8699999999999992</v>
      </c>
    </row>
    <row r="1129" spans="1:5" ht="14.25">
      <c r="A1129" s="3168">
        <v>1128</v>
      </c>
      <c r="B1129" s="3168" t="s">
        <v>3538</v>
      </c>
      <c r="C1129" s="3168">
        <v>-1389</v>
      </c>
      <c r="D1129" s="3168">
        <v>25.39</v>
      </c>
      <c r="E1129" s="3168">
        <v>8.8699999999999992</v>
      </c>
    </row>
    <row r="1130" spans="1:5" ht="14.25">
      <c r="A1130" s="3168">
        <v>1129</v>
      </c>
      <c r="B1130" s="3168" t="s">
        <v>3538</v>
      </c>
      <c r="C1130" s="3168">
        <v>-1390</v>
      </c>
      <c r="D1130" s="3168">
        <v>25.39</v>
      </c>
      <c r="E1130" s="3168">
        <v>8.8699999999999992</v>
      </c>
    </row>
    <row r="1131" spans="1:5" ht="14.25">
      <c r="A1131" s="3168">
        <v>1130</v>
      </c>
      <c r="B1131" s="3168" t="s">
        <v>3538</v>
      </c>
      <c r="C1131" s="3168">
        <v>-1391</v>
      </c>
      <c r="D1131" s="3168">
        <v>25.39</v>
      </c>
      <c r="E1131" s="3168">
        <v>8.8699999999999992</v>
      </c>
    </row>
    <row r="1132" spans="1:5" ht="14.25">
      <c r="A1132" s="3168">
        <v>1131</v>
      </c>
      <c r="B1132" s="3168" t="s">
        <v>3538</v>
      </c>
      <c r="C1132" s="3168">
        <v>-1392</v>
      </c>
      <c r="D1132" s="3168">
        <v>25.39</v>
      </c>
      <c r="E1132" s="3168">
        <v>8.8699999999999992</v>
      </c>
    </row>
    <row r="1133" spans="1:5" ht="14.25">
      <c r="A1133" s="3168">
        <v>1132</v>
      </c>
      <c r="B1133" s="3168" t="s">
        <v>3538</v>
      </c>
      <c r="C1133" s="3168">
        <v>-1393</v>
      </c>
      <c r="D1133" s="3168">
        <v>25.39</v>
      </c>
      <c r="E1133" s="3168">
        <v>8.8699999999999992</v>
      </c>
    </row>
    <row r="1134" spans="1:5" ht="14.25">
      <c r="A1134" s="3168">
        <v>1133</v>
      </c>
      <c r="B1134" s="3168" t="s">
        <v>3538</v>
      </c>
      <c r="C1134" s="3168">
        <v>-1394</v>
      </c>
      <c r="D1134" s="3168">
        <v>25.39</v>
      </c>
      <c r="E1134" s="3168">
        <v>8.8699999999999992</v>
      </c>
    </row>
    <row r="1135" spans="1:5" ht="14.25">
      <c r="A1135" s="3168">
        <v>1134</v>
      </c>
      <c r="B1135" s="3168" t="s">
        <v>3538</v>
      </c>
      <c r="C1135" s="3168">
        <v>-1395</v>
      </c>
      <c r="D1135" s="3168">
        <v>25.39</v>
      </c>
      <c r="E1135" s="3168">
        <v>8.8699999999999992</v>
      </c>
    </row>
    <row r="1136" spans="1:5" ht="14.25">
      <c r="A1136" s="3168">
        <v>1135</v>
      </c>
      <c r="B1136" s="3168" t="s">
        <v>3538</v>
      </c>
      <c r="C1136" s="3168">
        <v>-1396</v>
      </c>
      <c r="D1136" s="3168">
        <v>25.39</v>
      </c>
      <c r="E1136" s="3168">
        <v>8.8699999999999992</v>
      </c>
    </row>
    <row r="1137" spans="1:5" ht="14.25">
      <c r="A1137" s="3168">
        <v>1136</v>
      </c>
      <c r="B1137" s="3168" t="s">
        <v>3538</v>
      </c>
      <c r="C1137" s="3168">
        <v>-1397</v>
      </c>
      <c r="D1137" s="3168">
        <v>25.39</v>
      </c>
      <c r="E1137" s="3168">
        <v>8.8699999999999992</v>
      </c>
    </row>
    <row r="1138" spans="1:5" ht="14.25">
      <c r="A1138" s="3168">
        <v>1137</v>
      </c>
      <c r="B1138" s="3168" t="s">
        <v>3538</v>
      </c>
      <c r="C1138" s="3168">
        <v>-1398</v>
      </c>
      <c r="D1138" s="3168">
        <v>25.39</v>
      </c>
      <c r="E1138" s="3168">
        <v>8.8699999999999992</v>
      </c>
    </row>
    <row r="1139" spans="1:5" ht="14.25">
      <c r="A1139" s="3168">
        <v>1138</v>
      </c>
      <c r="B1139" s="3168" t="s">
        <v>3538</v>
      </c>
      <c r="C1139" s="3168">
        <v>-1399</v>
      </c>
      <c r="D1139" s="3168">
        <v>25.39</v>
      </c>
      <c r="E1139" s="3168">
        <v>8.8699999999999992</v>
      </c>
    </row>
    <row r="1140" spans="1:5" ht="14.25">
      <c r="A1140" s="3168">
        <v>1139</v>
      </c>
      <c r="B1140" s="3168" t="s">
        <v>3538</v>
      </c>
      <c r="C1140" s="3168">
        <v>-1400</v>
      </c>
      <c r="D1140" s="3168">
        <v>25.39</v>
      </c>
      <c r="E1140" s="3168">
        <v>8.8699999999999992</v>
      </c>
    </row>
    <row r="1141" spans="1:5" ht="14.25">
      <c r="A1141" s="3168">
        <v>1140</v>
      </c>
      <c r="B1141" s="3168" t="s">
        <v>3538</v>
      </c>
      <c r="C1141" s="3168">
        <v>-1401</v>
      </c>
      <c r="D1141" s="3168">
        <v>25.39</v>
      </c>
      <c r="E1141" s="3168">
        <v>8.8699999999999992</v>
      </c>
    </row>
    <row r="1142" spans="1:5" ht="14.25">
      <c r="A1142" s="3168">
        <v>1141</v>
      </c>
      <c r="B1142" s="3168" t="s">
        <v>3538</v>
      </c>
      <c r="C1142" s="3168">
        <v>-1402</v>
      </c>
      <c r="D1142" s="3168">
        <v>25.39</v>
      </c>
      <c r="E1142" s="3168">
        <v>8.8699999999999992</v>
      </c>
    </row>
    <row r="1143" spans="1:5" ht="14.25">
      <c r="A1143" s="3168">
        <v>1142</v>
      </c>
      <c r="B1143" s="3168" t="s">
        <v>3538</v>
      </c>
      <c r="C1143" s="3168">
        <v>-1403</v>
      </c>
      <c r="D1143" s="3168">
        <v>25.39</v>
      </c>
      <c r="E1143" s="3168">
        <v>8.8699999999999992</v>
      </c>
    </row>
    <row r="1144" spans="1:5" ht="14.25">
      <c r="A1144" s="3168">
        <v>1143</v>
      </c>
      <c r="B1144" s="3168" t="s">
        <v>3538</v>
      </c>
      <c r="C1144" s="3168">
        <v>-1404</v>
      </c>
      <c r="D1144" s="3168">
        <v>25.39</v>
      </c>
      <c r="E1144" s="3168">
        <v>8.8699999999999992</v>
      </c>
    </row>
    <row r="1145" spans="1:5" ht="14.25">
      <c r="A1145" s="3168">
        <v>1144</v>
      </c>
      <c r="B1145" s="3168" t="s">
        <v>3538</v>
      </c>
      <c r="C1145" s="3168">
        <v>-1405</v>
      </c>
      <c r="D1145" s="3168">
        <v>25.39</v>
      </c>
      <c r="E1145" s="3168">
        <v>8.8699999999999992</v>
      </c>
    </row>
    <row r="1146" spans="1:5" ht="14.25">
      <c r="A1146" s="3168">
        <v>1145</v>
      </c>
      <c r="B1146" s="3168" t="s">
        <v>3538</v>
      </c>
      <c r="C1146" s="3168">
        <v>-1406</v>
      </c>
      <c r="D1146" s="3168">
        <v>25.39</v>
      </c>
      <c r="E1146" s="3168">
        <v>8.8699999999999992</v>
      </c>
    </row>
    <row r="1147" spans="1:5" ht="14.25">
      <c r="A1147" s="3168">
        <v>1146</v>
      </c>
      <c r="B1147" s="3168" t="s">
        <v>3538</v>
      </c>
      <c r="C1147" s="3168">
        <v>-1407</v>
      </c>
      <c r="D1147" s="3168">
        <v>25.39</v>
      </c>
      <c r="E1147" s="3168">
        <v>8.8699999999999992</v>
      </c>
    </row>
    <row r="1148" spans="1:5" ht="14.25">
      <c r="A1148" s="3168">
        <v>1147</v>
      </c>
      <c r="B1148" s="3168" t="s">
        <v>3538</v>
      </c>
      <c r="C1148" s="3168">
        <v>-1408</v>
      </c>
      <c r="D1148" s="3168">
        <v>25.39</v>
      </c>
      <c r="E1148" s="3168">
        <v>8.8699999999999992</v>
      </c>
    </row>
    <row r="1149" spans="1:5" ht="14.25">
      <c r="A1149" s="3168">
        <v>1148</v>
      </c>
      <c r="B1149" s="3168" t="s">
        <v>3538</v>
      </c>
      <c r="C1149" s="3168">
        <v>-1409</v>
      </c>
      <c r="D1149" s="3168">
        <v>25.39</v>
      </c>
      <c r="E1149" s="3168">
        <v>8.8699999999999992</v>
      </c>
    </row>
    <row r="1150" spans="1:5" ht="14.25">
      <c r="A1150" s="3168">
        <v>1149</v>
      </c>
      <c r="B1150" s="3168" t="s">
        <v>3538</v>
      </c>
      <c r="C1150" s="3168">
        <v>-1410</v>
      </c>
      <c r="D1150" s="3168">
        <v>25.39</v>
      </c>
      <c r="E1150" s="3168">
        <v>8.8699999999999992</v>
      </c>
    </row>
    <row r="1151" spans="1:5" ht="14.25">
      <c r="A1151" s="3168">
        <v>1150</v>
      </c>
      <c r="B1151" s="3168" t="s">
        <v>3538</v>
      </c>
      <c r="C1151" s="3168">
        <v>-1411</v>
      </c>
      <c r="D1151" s="3168">
        <v>25.39</v>
      </c>
      <c r="E1151" s="3168">
        <v>8.8699999999999992</v>
      </c>
    </row>
    <row r="1152" spans="1:5" ht="14.25">
      <c r="A1152" s="3168">
        <v>1151</v>
      </c>
      <c r="B1152" s="3168" t="s">
        <v>3538</v>
      </c>
      <c r="C1152" s="3168">
        <v>-1412</v>
      </c>
      <c r="D1152" s="3168">
        <v>25.39</v>
      </c>
      <c r="E1152" s="3168">
        <v>8.8699999999999992</v>
      </c>
    </row>
    <row r="1153" spans="1:5" ht="14.25">
      <c r="A1153" s="3168">
        <v>1152</v>
      </c>
      <c r="B1153" s="3168" t="s">
        <v>3538</v>
      </c>
      <c r="C1153" s="3168">
        <v>-1413</v>
      </c>
      <c r="D1153" s="3168">
        <v>25.39</v>
      </c>
      <c r="E1153" s="3168">
        <v>8.8699999999999992</v>
      </c>
    </row>
    <row r="1154" spans="1:5" ht="14.25">
      <c r="A1154" s="3168">
        <v>1153</v>
      </c>
      <c r="B1154" s="3168" t="s">
        <v>3538</v>
      </c>
      <c r="C1154" s="3168">
        <v>-1414</v>
      </c>
      <c r="D1154" s="3168">
        <v>25.39</v>
      </c>
      <c r="E1154" s="3168">
        <v>8.8699999999999992</v>
      </c>
    </row>
    <row r="1155" spans="1:5" ht="14.25">
      <c r="A1155" s="3168">
        <v>1154</v>
      </c>
      <c r="B1155" s="3168" t="s">
        <v>3538</v>
      </c>
      <c r="C1155" s="3168">
        <v>-1415</v>
      </c>
      <c r="D1155" s="3168">
        <v>25.39</v>
      </c>
      <c r="E1155" s="3168">
        <v>8.8699999999999992</v>
      </c>
    </row>
    <row r="1156" spans="1:5" ht="14.25">
      <c r="A1156" s="3168">
        <v>1155</v>
      </c>
      <c r="B1156" s="3168" t="s">
        <v>3538</v>
      </c>
      <c r="C1156" s="3168">
        <v>-1416</v>
      </c>
      <c r="D1156" s="3168">
        <v>25.39</v>
      </c>
      <c r="E1156" s="3168">
        <v>8.8699999999999992</v>
      </c>
    </row>
    <row r="1157" spans="1:5" ht="14.25">
      <c r="A1157" s="3168">
        <v>1156</v>
      </c>
      <c r="B1157" s="3168" t="s">
        <v>3538</v>
      </c>
      <c r="C1157" s="3168">
        <v>-1417</v>
      </c>
      <c r="D1157" s="3168">
        <v>25.39</v>
      </c>
      <c r="E1157" s="3168">
        <v>8.8699999999999992</v>
      </c>
    </row>
    <row r="1158" spans="1:5" ht="14.25">
      <c r="A1158" s="3168">
        <v>1157</v>
      </c>
      <c r="B1158" s="3168" t="s">
        <v>3538</v>
      </c>
      <c r="C1158" s="3168">
        <v>-1418</v>
      </c>
      <c r="D1158" s="3168">
        <v>25.39</v>
      </c>
      <c r="E1158" s="3168">
        <v>8.8699999999999992</v>
      </c>
    </row>
    <row r="1159" spans="1:5" ht="14.25">
      <c r="A1159" s="3168">
        <v>1158</v>
      </c>
      <c r="B1159" s="3168" t="s">
        <v>3538</v>
      </c>
      <c r="C1159" s="3168">
        <v>-1419</v>
      </c>
      <c r="D1159" s="3168">
        <v>25.39</v>
      </c>
      <c r="E1159" s="3168">
        <v>8.8699999999999992</v>
      </c>
    </row>
    <row r="1160" spans="1:5" ht="14.25">
      <c r="A1160" s="3168">
        <v>1159</v>
      </c>
      <c r="B1160" s="3168" t="s">
        <v>3538</v>
      </c>
      <c r="C1160" s="3168">
        <v>-1420</v>
      </c>
      <c r="D1160" s="3168">
        <v>25.39</v>
      </c>
      <c r="E1160" s="3168">
        <v>8.8699999999999992</v>
      </c>
    </row>
    <row r="1161" spans="1:5" ht="14.25">
      <c r="A1161" s="3168">
        <v>1160</v>
      </c>
      <c r="B1161" s="3168" t="s">
        <v>3538</v>
      </c>
      <c r="C1161" s="3168">
        <v>-1421</v>
      </c>
      <c r="D1161" s="3168">
        <v>25.39</v>
      </c>
      <c r="E1161" s="3168">
        <v>8.8699999999999992</v>
      </c>
    </row>
    <row r="1162" spans="1:5" ht="14.25">
      <c r="A1162" s="3168">
        <v>1161</v>
      </c>
      <c r="B1162" s="3168" t="s">
        <v>3538</v>
      </c>
      <c r="C1162" s="3168">
        <v>-1422</v>
      </c>
      <c r="D1162" s="3168">
        <v>25.39</v>
      </c>
      <c r="E1162" s="3168">
        <v>8.8699999999999992</v>
      </c>
    </row>
    <row r="1163" spans="1:5" ht="14.25">
      <c r="A1163" s="3168">
        <v>1162</v>
      </c>
      <c r="B1163" s="3168" t="s">
        <v>3538</v>
      </c>
      <c r="C1163" s="3168">
        <v>-1423</v>
      </c>
      <c r="D1163" s="3168">
        <v>25.39</v>
      </c>
      <c r="E1163" s="3168">
        <v>8.8699999999999992</v>
      </c>
    </row>
    <row r="1164" spans="1:5" ht="14.25">
      <c r="A1164" s="3168">
        <v>1163</v>
      </c>
      <c r="B1164" s="3168" t="s">
        <v>3538</v>
      </c>
      <c r="C1164" s="3168">
        <v>-1424</v>
      </c>
      <c r="D1164" s="3168">
        <v>38.08</v>
      </c>
      <c r="E1164" s="3168">
        <v>13.3</v>
      </c>
    </row>
    <row r="1165" spans="1:5" ht="14.25">
      <c r="A1165" s="3168">
        <v>1164</v>
      </c>
      <c r="B1165" s="3168" t="s">
        <v>3538</v>
      </c>
      <c r="C1165" s="3168">
        <v>-1425</v>
      </c>
      <c r="D1165" s="3168">
        <v>25.39</v>
      </c>
      <c r="E1165" s="3168">
        <v>8.8699999999999992</v>
      </c>
    </row>
    <row r="1166" spans="1:5" ht="14.25">
      <c r="A1166" s="3168">
        <v>1165</v>
      </c>
      <c r="B1166" s="3168" t="s">
        <v>3538</v>
      </c>
      <c r="C1166" s="3168">
        <v>-1426</v>
      </c>
      <c r="D1166" s="3168">
        <v>25.39</v>
      </c>
      <c r="E1166" s="3168">
        <v>8.8699999999999992</v>
      </c>
    </row>
    <row r="1167" spans="1:5" ht="14.25">
      <c r="A1167" s="3168">
        <v>1166</v>
      </c>
      <c r="B1167" s="3168" t="s">
        <v>3538</v>
      </c>
      <c r="C1167" s="3168">
        <v>-1427</v>
      </c>
      <c r="D1167" s="3168">
        <v>25.39</v>
      </c>
      <c r="E1167" s="3168">
        <v>8.8699999999999992</v>
      </c>
    </row>
    <row r="1168" spans="1:5" ht="14.25">
      <c r="A1168" s="3168">
        <v>1167</v>
      </c>
      <c r="B1168" s="3168" t="s">
        <v>3538</v>
      </c>
      <c r="C1168" s="3168">
        <v>-1428</v>
      </c>
      <c r="D1168" s="3168">
        <v>25.39</v>
      </c>
      <c r="E1168" s="3168">
        <v>8.8699999999999992</v>
      </c>
    </row>
    <row r="1169" spans="1:5" ht="14.25">
      <c r="A1169" s="3168">
        <v>1168</v>
      </c>
      <c r="B1169" s="3168" t="s">
        <v>3538</v>
      </c>
      <c r="C1169" s="3168">
        <v>-1429</v>
      </c>
      <c r="D1169" s="3168">
        <v>25.39</v>
      </c>
      <c r="E1169" s="3168">
        <v>8.8699999999999992</v>
      </c>
    </row>
    <row r="1170" spans="1:5" ht="14.25">
      <c r="A1170" s="3168">
        <v>1169</v>
      </c>
      <c r="B1170" s="3168" t="s">
        <v>3538</v>
      </c>
      <c r="C1170" s="3168">
        <v>-1430</v>
      </c>
      <c r="D1170" s="3168">
        <v>25.39</v>
      </c>
      <c r="E1170" s="3168">
        <v>8.8699999999999992</v>
      </c>
    </row>
    <row r="1171" spans="1:5" ht="14.25">
      <c r="A1171" s="3168">
        <v>1170</v>
      </c>
      <c r="B1171" s="3168" t="s">
        <v>3538</v>
      </c>
      <c r="C1171" s="3168">
        <v>-1431</v>
      </c>
      <c r="D1171" s="3168">
        <v>38.08</v>
      </c>
      <c r="E1171" s="3168">
        <v>13.3</v>
      </c>
    </row>
    <row r="1172" spans="1:5" ht="14.25">
      <c r="A1172" s="3168">
        <v>1171</v>
      </c>
      <c r="B1172" s="3168" t="s">
        <v>3538</v>
      </c>
      <c r="C1172" s="3168">
        <v>-1432</v>
      </c>
      <c r="D1172" s="3168">
        <v>25.39</v>
      </c>
      <c r="E1172" s="3168">
        <v>8.8699999999999992</v>
      </c>
    </row>
    <row r="1173" spans="1:5" ht="14.25">
      <c r="A1173" s="3168">
        <v>1172</v>
      </c>
      <c r="B1173" s="3168" t="s">
        <v>3538</v>
      </c>
      <c r="C1173" s="3168">
        <v>-1433</v>
      </c>
      <c r="D1173" s="3168">
        <v>25.39</v>
      </c>
      <c r="E1173" s="3168">
        <v>8.8699999999999992</v>
      </c>
    </row>
    <row r="1174" spans="1:5" ht="14.25">
      <c r="A1174" s="3168">
        <v>1173</v>
      </c>
      <c r="B1174" s="3168" t="s">
        <v>3538</v>
      </c>
      <c r="C1174" s="3168">
        <v>-1434</v>
      </c>
      <c r="D1174" s="3168">
        <v>25.39</v>
      </c>
      <c r="E1174" s="3168">
        <v>8.8699999999999992</v>
      </c>
    </row>
    <row r="1175" spans="1:5" ht="14.25">
      <c r="A1175" s="3168">
        <v>1174</v>
      </c>
      <c r="B1175" s="3168" t="s">
        <v>3538</v>
      </c>
      <c r="C1175" s="3168">
        <v>-1435</v>
      </c>
      <c r="D1175" s="3168">
        <v>25.39</v>
      </c>
      <c r="E1175" s="3168">
        <v>8.8699999999999992</v>
      </c>
    </row>
    <row r="1176" spans="1:5" ht="14.25">
      <c r="A1176" s="3168">
        <v>1175</v>
      </c>
      <c r="B1176" s="3168" t="s">
        <v>3538</v>
      </c>
      <c r="C1176" s="3168">
        <v>-1436</v>
      </c>
      <c r="D1176" s="3168">
        <v>25.39</v>
      </c>
      <c r="E1176" s="3168">
        <v>8.8699999999999992</v>
      </c>
    </row>
    <row r="1177" spans="1:5" ht="14.25">
      <c r="A1177" s="3168">
        <v>1176</v>
      </c>
      <c r="B1177" s="3168" t="s">
        <v>3538</v>
      </c>
      <c r="C1177" s="3168">
        <v>-1437</v>
      </c>
      <c r="D1177" s="3168">
        <v>25.39</v>
      </c>
      <c r="E1177" s="3168">
        <v>8.8699999999999992</v>
      </c>
    </row>
    <row r="1178" spans="1:5" ht="14.25">
      <c r="A1178" s="3168">
        <v>1177</v>
      </c>
      <c r="B1178" s="3168" t="s">
        <v>3538</v>
      </c>
      <c r="C1178" s="3168">
        <v>-1438</v>
      </c>
      <c r="D1178" s="3168">
        <v>25.39</v>
      </c>
      <c r="E1178" s="3168">
        <v>8.8699999999999992</v>
      </c>
    </row>
    <row r="1179" spans="1:5" ht="14.25">
      <c r="A1179" s="3168">
        <v>1178</v>
      </c>
      <c r="B1179" s="3168" t="s">
        <v>3538</v>
      </c>
      <c r="C1179" s="3168">
        <v>-1439</v>
      </c>
      <c r="D1179" s="3168">
        <v>25.39</v>
      </c>
      <c r="E1179" s="3168">
        <v>8.8699999999999992</v>
      </c>
    </row>
    <row r="1180" spans="1:5" ht="14.25">
      <c r="A1180" s="3168">
        <v>1179</v>
      </c>
      <c r="B1180" s="3168" t="s">
        <v>3538</v>
      </c>
      <c r="C1180" s="3168">
        <v>-1440</v>
      </c>
      <c r="D1180" s="3168">
        <v>25.39</v>
      </c>
      <c r="E1180" s="3168">
        <v>8.8699999999999992</v>
      </c>
    </row>
    <row r="1181" spans="1:5" ht="14.25">
      <c r="A1181" s="3168">
        <v>1180</v>
      </c>
      <c r="B1181" s="3168" t="s">
        <v>3538</v>
      </c>
      <c r="C1181" s="3168">
        <v>-1441</v>
      </c>
      <c r="D1181" s="3168">
        <v>25.39</v>
      </c>
      <c r="E1181" s="3168">
        <v>8.8699999999999992</v>
      </c>
    </row>
    <row r="1182" spans="1:5" ht="14.25">
      <c r="A1182" s="3168">
        <v>1181</v>
      </c>
      <c r="B1182" s="3168" t="s">
        <v>3538</v>
      </c>
      <c r="C1182" s="3168">
        <v>-1442</v>
      </c>
      <c r="D1182" s="3168">
        <v>25.39</v>
      </c>
      <c r="E1182" s="3168">
        <v>8.8699999999999992</v>
      </c>
    </row>
    <row r="1183" spans="1:5" ht="14.25">
      <c r="A1183" s="3168">
        <v>1182</v>
      </c>
      <c r="B1183" s="3168" t="s">
        <v>3538</v>
      </c>
      <c r="C1183" s="3168">
        <v>-1443</v>
      </c>
      <c r="D1183" s="3168">
        <v>25.39</v>
      </c>
      <c r="E1183" s="3168">
        <v>8.8699999999999992</v>
      </c>
    </row>
    <row r="1184" spans="1:5" ht="14.25">
      <c r="A1184" s="3168">
        <v>1183</v>
      </c>
      <c r="B1184" s="3168" t="s">
        <v>3538</v>
      </c>
      <c r="C1184" s="3168">
        <v>-1444</v>
      </c>
      <c r="D1184" s="3168">
        <v>25.39</v>
      </c>
      <c r="E1184" s="3168">
        <v>8.8699999999999992</v>
      </c>
    </row>
    <row r="1185" spans="1:5" ht="14.25">
      <c r="A1185" s="3168">
        <v>1184</v>
      </c>
      <c r="B1185" s="3168" t="s">
        <v>3538</v>
      </c>
      <c r="C1185" s="3168">
        <v>-1445</v>
      </c>
      <c r="D1185" s="3168">
        <v>25.39</v>
      </c>
      <c r="E1185" s="3168">
        <v>8.8699999999999992</v>
      </c>
    </row>
    <row r="1186" spans="1:5" ht="14.25">
      <c r="A1186" s="3168">
        <v>1185</v>
      </c>
      <c r="B1186" s="3168" t="s">
        <v>3538</v>
      </c>
      <c r="C1186" s="3168">
        <v>-1446</v>
      </c>
      <c r="D1186" s="3168">
        <v>25.39</v>
      </c>
      <c r="E1186" s="3168">
        <v>8.8699999999999992</v>
      </c>
    </row>
    <row r="1187" spans="1:5" ht="14.25">
      <c r="A1187" s="3168">
        <v>1186</v>
      </c>
      <c r="B1187" s="3168" t="s">
        <v>3538</v>
      </c>
      <c r="C1187" s="3168">
        <v>-1447</v>
      </c>
      <c r="D1187" s="3168">
        <v>25.39</v>
      </c>
      <c r="E1187" s="3168">
        <v>8.8699999999999992</v>
      </c>
    </row>
    <row r="1188" spans="1:5" ht="14.25">
      <c r="A1188" s="3168">
        <v>1187</v>
      </c>
      <c r="B1188" s="3168" t="s">
        <v>3538</v>
      </c>
      <c r="C1188" s="3168">
        <v>-1448</v>
      </c>
      <c r="D1188" s="3168">
        <v>25.39</v>
      </c>
      <c r="E1188" s="3168">
        <v>8.8699999999999992</v>
      </c>
    </row>
    <row r="1189" spans="1:5" ht="14.25">
      <c r="A1189" s="3168">
        <v>1188</v>
      </c>
      <c r="B1189" s="3168" t="s">
        <v>3538</v>
      </c>
      <c r="C1189" s="3168">
        <v>-1449</v>
      </c>
      <c r="D1189" s="3168">
        <v>25.39</v>
      </c>
      <c r="E1189" s="3168">
        <v>8.8699999999999992</v>
      </c>
    </row>
    <row r="1190" spans="1:5" ht="14.25">
      <c r="A1190" s="3168">
        <v>1189</v>
      </c>
      <c r="B1190" s="3168" t="s">
        <v>3538</v>
      </c>
      <c r="C1190" s="3168">
        <v>-1450</v>
      </c>
      <c r="D1190" s="3168">
        <v>25.39</v>
      </c>
      <c r="E1190" s="3168">
        <v>8.8699999999999992</v>
      </c>
    </row>
    <row r="1191" spans="1:5" ht="14.25">
      <c r="A1191" s="3168">
        <v>1190</v>
      </c>
      <c r="B1191" s="3168" t="s">
        <v>3538</v>
      </c>
      <c r="C1191" s="3168">
        <v>-1451</v>
      </c>
      <c r="D1191" s="3168">
        <v>25.39</v>
      </c>
      <c r="E1191" s="3168">
        <v>8.8699999999999992</v>
      </c>
    </row>
    <row r="1192" spans="1:5" ht="14.25">
      <c r="A1192" s="3168">
        <v>1191</v>
      </c>
      <c r="B1192" s="3168" t="s">
        <v>3538</v>
      </c>
      <c r="C1192" s="3168">
        <v>-1452</v>
      </c>
      <c r="D1192" s="3168">
        <v>25.39</v>
      </c>
      <c r="E1192" s="3168">
        <v>8.8699999999999992</v>
      </c>
    </row>
    <row r="1193" spans="1:5" ht="14.25">
      <c r="A1193" s="3168">
        <v>1192</v>
      </c>
      <c r="B1193" s="3168" t="s">
        <v>3538</v>
      </c>
      <c r="C1193" s="3168">
        <v>-1453</v>
      </c>
      <c r="D1193" s="3168">
        <v>25.39</v>
      </c>
      <c r="E1193" s="3168">
        <v>8.8699999999999992</v>
      </c>
    </row>
    <row r="1194" spans="1:5" ht="14.25">
      <c r="A1194" s="3168">
        <v>1193</v>
      </c>
      <c r="B1194" s="3168" t="s">
        <v>3538</v>
      </c>
      <c r="C1194" s="3168">
        <v>-1454</v>
      </c>
      <c r="D1194" s="3168">
        <v>25.39</v>
      </c>
      <c r="E1194" s="3168">
        <v>8.8699999999999992</v>
      </c>
    </row>
    <row r="1195" spans="1:5" ht="14.25">
      <c r="A1195" s="3168">
        <v>1194</v>
      </c>
      <c r="B1195" s="3168" t="s">
        <v>3538</v>
      </c>
      <c r="C1195" s="3168">
        <v>-1455</v>
      </c>
      <c r="D1195" s="3168">
        <v>25.39</v>
      </c>
      <c r="E1195" s="3168">
        <v>8.8699999999999992</v>
      </c>
    </row>
    <row r="1196" spans="1:5" ht="14.25">
      <c r="A1196" s="3168">
        <v>1195</v>
      </c>
      <c r="B1196" s="3168" t="s">
        <v>3538</v>
      </c>
      <c r="C1196" s="3168">
        <v>-1456</v>
      </c>
      <c r="D1196" s="3168">
        <v>25.39</v>
      </c>
      <c r="E1196" s="3168">
        <v>8.8699999999999992</v>
      </c>
    </row>
    <row r="1197" spans="1:5" ht="14.25">
      <c r="A1197" s="3168">
        <v>1196</v>
      </c>
      <c r="B1197" s="3168" t="s">
        <v>3538</v>
      </c>
      <c r="C1197" s="3168">
        <v>-1457</v>
      </c>
      <c r="D1197" s="3168">
        <v>25.39</v>
      </c>
      <c r="E1197" s="3168">
        <v>8.8699999999999992</v>
      </c>
    </row>
    <row r="1198" spans="1:5" ht="14.25">
      <c r="A1198" s="3168">
        <v>1197</v>
      </c>
      <c r="B1198" s="3168" t="s">
        <v>3538</v>
      </c>
      <c r="C1198" s="3168">
        <v>-1458</v>
      </c>
      <c r="D1198" s="3168">
        <v>25.39</v>
      </c>
      <c r="E1198" s="3168">
        <v>8.8699999999999992</v>
      </c>
    </row>
    <row r="1199" spans="1:5" ht="14.25">
      <c r="A1199" s="3168">
        <v>1198</v>
      </c>
      <c r="B1199" s="3168" t="s">
        <v>3538</v>
      </c>
      <c r="C1199" s="3168">
        <v>-1459</v>
      </c>
      <c r="D1199" s="3168">
        <v>25.39</v>
      </c>
      <c r="E1199" s="3168">
        <v>8.8699999999999992</v>
      </c>
    </row>
    <row r="1200" spans="1:5" ht="14.25">
      <c r="A1200" s="3168">
        <v>1199</v>
      </c>
      <c r="B1200" s="3168" t="s">
        <v>3538</v>
      </c>
      <c r="C1200" s="3168">
        <v>-1460</v>
      </c>
      <c r="D1200" s="3168">
        <v>25.39</v>
      </c>
      <c r="E1200" s="3168">
        <v>8.8699999999999992</v>
      </c>
    </row>
    <row r="1201" spans="1:5" ht="14.25">
      <c r="A1201" s="3168">
        <v>1200</v>
      </c>
      <c r="B1201" s="3168" t="s">
        <v>3538</v>
      </c>
      <c r="C1201" s="3168">
        <v>-1461</v>
      </c>
      <c r="D1201" s="3168">
        <v>25.39</v>
      </c>
      <c r="E1201" s="3168">
        <v>8.8699999999999992</v>
      </c>
    </row>
    <row r="1202" spans="1:5" ht="14.25">
      <c r="A1202" s="3168">
        <v>1201</v>
      </c>
      <c r="B1202" s="3168" t="s">
        <v>3538</v>
      </c>
      <c r="C1202" s="3168">
        <v>-1462</v>
      </c>
      <c r="D1202" s="3168">
        <v>25.39</v>
      </c>
      <c r="E1202" s="3168">
        <v>8.8699999999999992</v>
      </c>
    </row>
    <row r="1203" spans="1:5" ht="14.25">
      <c r="A1203" s="3168">
        <v>1202</v>
      </c>
      <c r="B1203" s="3168" t="s">
        <v>3538</v>
      </c>
      <c r="C1203" s="3168">
        <v>-1463</v>
      </c>
      <c r="D1203" s="3168">
        <v>25.39</v>
      </c>
      <c r="E1203" s="3168">
        <v>8.8699999999999992</v>
      </c>
    </row>
    <row r="1204" spans="1:5" ht="14.25">
      <c r="A1204" s="3168">
        <v>1203</v>
      </c>
      <c r="B1204" s="3168" t="s">
        <v>3538</v>
      </c>
      <c r="C1204" s="3168">
        <v>-1464</v>
      </c>
      <c r="D1204" s="3168">
        <v>25.39</v>
      </c>
      <c r="E1204" s="3168">
        <v>8.8699999999999992</v>
      </c>
    </row>
    <row r="1205" spans="1:5" ht="14.25">
      <c r="A1205" s="3168">
        <v>1204</v>
      </c>
      <c r="B1205" s="3168" t="s">
        <v>3538</v>
      </c>
      <c r="C1205" s="3168">
        <v>-1465</v>
      </c>
      <c r="D1205" s="3168">
        <v>25.39</v>
      </c>
      <c r="E1205" s="3168">
        <v>8.8699999999999992</v>
      </c>
    </row>
    <row r="1206" spans="1:5" ht="14.25">
      <c r="A1206" s="3168">
        <v>1205</v>
      </c>
      <c r="B1206" s="3168" t="s">
        <v>3538</v>
      </c>
      <c r="C1206" s="3168">
        <v>-1466</v>
      </c>
      <c r="D1206" s="3168">
        <v>25.39</v>
      </c>
      <c r="E1206" s="3168">
        <v>8.8699999999999992</v>
      </c>
    </row>
    <row r="1207" spans="1:5" ht="14.25">
      <c r="A1207" s="3168">
        <v>1206</v>
      </c>
      <c r="B1207" s="3168" t="s">
        <v>3538</v>
      </c>
      <c r="C1207" s="3168">
        <v>-1467</v>
      </c>
      <c r="D1207" s="3168">
        <v>25.39</v>
      </c>
      <c r="E1207" s="3168">
        <v>8.8699999999999992</v>
      </c>
    </row>
    <row r="1208" spans="1:5" ht="14.25">
      <c r="A1208" s="3168">
        <v>1207</v>
      </c>
      <c r="B1208" s="3168" t="s">
        <v>3538</v>
      </c>
      <c r="C1208" s="3168">
        <v>-1468</v>
      </c>
      <c r="D1208" s="3168">
        <v>25.39</v>
      </c>
      <c r="E1208" s="3168">
        <v>8.8699999999999992</v>
      </c>
    </row>
    <row r="1209" spans="1:5" ht="14.25">
      <c r="A1209" s="3168">
        <v>1208</v>
      </c>
      <c r="B1209" s="3168" t="s">
        <v>3538</v>
      </c>
      <c r="C1209" s="3168">
        <v>-1469</v>
      </c>
      <c r="D1209" s="3168">
        <v>25.39</v>
      </c>
      <c r="E1209" s="3168">
        <v>8.8699999999999992</v>
      </c>
    </row>
    <row r="1210" spans="1:5" ht="14.25">
      <c r="A1210" s="3168">
        <v>1209</v>
      </c>
      <c r="B1210" s="3168" t="s">
        <v>3538</v>
      </c>
      <c r="C1210" s="3168">
        <v>-1470</v>
      </c>
      <c r="D1210" s="3168">
        <v>25.39</v>
      </c>
      <c r="E1210" s="3168">
        <v>8.8699999999999992</v>
      </c>
    </row>
    <row r="1211" spans="1:5" ht="14.25">
      <c r="A1211" s="3168">
        <v>1210</v>
      </c>
      <c r="B1211" s="3168" t="s">
        <v>3538</v>
      </c>
      <c r="C1211" s="3168">
        <v>-1471</v>
      </c>
      <c r="D1211" s="3168">
        <v>38.08</v>
      </c>
      <c r="E1211" s="3168">
        <v>13.3</v>
      </c>
    </row>
    <row r="1212" spans="1:5" ht="14.25">
      <c r="A1212" s="3168">
        <v>1211</v>
      </c>
      <c r="B1212" s="3168" t="s">
        <v>3538</v>
      </c>
      <c r="C1212" s="3168">
        <v>-1472</v>
      </c>
      <c r="D1212" s="3168">
        <v>25.39</v>
      </c>
      <c r="E1212" s="3168">
        <v>8.8699999999999992</v>
      </c>
    </row>
    <row r="1213" spans="1:5" ht="14.25">
      <c r="A1213" s="3168">
        <v>1212</v>
      </c>
      <c r="B1213" s="3168" t="s">
        <v>3538</v>
      </c>
      <c r="C1213" s="3168">
        <v>-1473</v>
      </c>
      <c r="D1213" s="3168">
        <v>25.39</v>
      </c>
      <c r="E1213" s="3168">
        <v>8.8699999999999992</v>
      </c>
    </row>
    <row r="1214" spans="1:5" ht="14.25">
      <c r="A1214" s="3168">
        <v>1213</v>
      </c>
      <c r="B1214" s="3168" t="s">
        <v>3538</v>
      </c>
      <c r="C1214" s="3168">
        <v>-1474</v>
      </c>
      <c r="D1214" s="3168">
        <v>25.39</v>
      </c>
      <c r="E1214" s="3168">
        <v>8.8699999999999992</v>
      </c>
    </row>
    <row r="1215" spans="1:5" ht="14.25">
      <c r="A1215" s="3168">
        <v>1214</v>
      </c>
      <c r="B1215" s="3168" t="s">
        <v>3538</v>
      </c>
      <c r="C1215" s="3168">
        <v>-1475</v>
      </c>
      <c r="D1215" s="3168">
        <v>25.39</v>
      </c>
      <c r="E1215" s="3168">
        <v>8.8699999999999992</v>
      </c>
    </row>
    <row r="1216" spans="1:5" ht="14.25">
      <c r="A1216" s="3168">
        <v>1215</v>
      </c>
      <c r="B1216" s="3168" t="s">
        <v>3538</v>
      </c>
      <c r="C1216" s="3168">
        <v>-1476</v>
      </c>
      <c r="D1216" s="3168">
        <v>25.39</v>
      </c>
      <c r="E1216" s="3168">
        <v>8.8699999999999992</v>
      </c>
    </row>
    <row r="1217" spans="1:5" ht="14.25">
      <c r="A1217" s="3168">
        <v>1216</v>
      </c>
      <c r="B1217" s="3168" t="s">
        <v>3538</v>
      </c>
      <c r="C1217" s="3168">
        <v>-1477</v>
      </c>
      <c r="D1217" s="3168">
        <v>25.39</v>
      </c>
      <c r="E1217" s="3168">
        <v>8.8699999999999992</v>
      </c>
    </row>
    <row r="1218" spans="1:5" ht="14.25">
      <c r="A1218" s="3168">
        <v>1217</v>
      </c>
      <c r="B1218" s="3168" t="s">
        <v>3538</v>
      </c>
      <c r="C1218" s="3168">
        <v>-1478</v>
      </c>
      <c r="D1218" s="3168">
        <v>25.39</v>
      </c>
      <c r="E1218" s="3168">
        <v>8.8699999999999992</v>
      </c>
    </row>
    <row r="1219" spans="1:5" ht="14.25">
      <c r="A1219" s="3168">
        <v>1218</v>
      </c>
      <c r="B1219" s="3168" t="s">
        <v>3538</v>
      </c>
      <c r="C1219" s="3168">
        <v>-1479</v>
      </c>
      <c r="D1219" s="3168">
        <v>25.39</v>
      </c>
      <c r="E1219" s="3168">
        <v>8.8699999999999992</v>
      </c>
    </row>
    <row r="1220" spans="1:5" ht="14.25">
      <c r="A1220" s="3168">
        <v>1219</v>
      </c>
      <c r="B1220" s="3168" t="s">
        <v>3538</v>
      </c>
      <c r="C1220" s="3168">
        <v>-1480</v>
      </c>
      <c r="D1220" s="3168">
        <v>25.39</v>
      </c>
      <c r="E1220" s="3168">
        <v>8.8699999999999992</v>
      </c>
    </row>
    <row r="1221" spans="1:5" ht="14.25">
      <c r="A1221" s="3168">
        <v>1220</v>
      </c>
      <c r="B1221" s="3168" t="s">
        <v>3538</v>
      </c>
      <c r="C1221" s="3168">
        <v>-1481</v>
      </c>
      <c r="D1221" s="3168">
        <v>25.39</v>
      </c>
      <c r="E1221" s="3168">
        <v>8.8699999999999992</v>
      </c>
    </row>
    <row r="1222" spans="1:5" ht="14.25">
      <c r="A1222" s="3168">
        <v>1221</v>
      </c>
      <c r="B1222" s="3168" t="s">
        <v>3538</v>
      </c>
      <c r="C1222" s="3168">
        <v>-1482</v>
      </c>
      <c r="D1222" s="3168">
        <v>25.39</v>
      </c>
      <c r="E1222" s="3168">
        <v>8.8699999999999992</v>
      </c>
    </row>
    <row r="1223" spans="1:5" ht="14.25">
      <c r="A1223" s="3168">
        <v>1222</v>
      </c>
      <c r="B1223" s="3168" t="s">
        <v>3538</v>
      </c>
      <c r="C1223" s="3168">
        <v>-1483</v>
      </c>
      <c r="D1223" s="3168">
        <v>25.39</v>
      </c>
      <c r="E1223" s="3168">
        <v>8.8699999999999992</v>
      </c>
    </row>
    <row r="1224" spans="1:5" ht="14.25">
      <c r="A1224" s="3168">
        <v>1223</v>
      </c>
      <c r="B1224" s="3168" t="s">
        <v>3538</v>
      </c>
      <c r="C1224" s="3168">
        <v>-1484</v>
      </c>
      <c r="D1224" s="3168">
        <v>25.39</v>
      </c>
      <c r="E1224" s="3168">
        <v>8.8699999999999992</v>
      </c>
    </row>
    <row r="1225" spans="1:5" ht="14.25">
      <c r="A1225" s="3168">
        <v>1224</v>
      </c>
      <c r="B1225" s="3168" t="s">
        <v>3538</v>
      </c>
      <c r="C1225" s="3168">
        <v>-1485</v>
      </c>
      <c r="D1225" s="3168">
        <v>25.39</v>
      </c>
      <c r="E1225" s="3168">
        <v>8.8699999999999992</v>
      </c>
    </row>
    <row r="1226" spans="1:5" ht="14.25">
      <c r="A1226" s="3168">
        <v>1225</v>
      </c>
      <c r="B1226" s="3168" t="s">
        <v>3538</v>
      </c>
      <c r="C1226" s="3168">
        <v>-1486</v>
      </c>
      <c r="D1226" s="3168">
        <v>25.39</v>
      </c>
      <c r="E1226" s="3168">
        <v>8.8699999999999992</v>
      </c>
    </row>
    <row r="1227" spans="1:5" ht="14.25">
      <c r="A1227" s="3168">
        <v>1226</v>
      </c>
      <c r="B1227" s="3168" t="s">
        <v>3538</v>
      </c>
      <c r="C1227" s="3168">
        <v>-1487</v>
      </c>
      <c r="D1227" s="3168">
        <v>25.39</v>
      </c>
      <c r="E1227" s="3168">
        <v>8.8699999999999992</v>
      </c>
    </row>
    <row r="1228" spans="1:5" ht="14.25">
      <c r="A1228" s="3168">
        <v>1227</v>
      </c>
      <c r="B1228" s="3168" t="s">
        <v>3538</v>
      </c>
      <c r="C1228" s="3168">
        <v>-1488</v>
      </c>
      <c r="D1228" s="3168">
        <v>25.39</v>
      </c>
      <c r="E1228" s="3168">
        <v>8.8699999999999992</v>
      </c>
    </row>
    <row r="1229" spans="1:5" ht="14.25">
      <c r="A1229" s="3168">
        <v>1228</v>
      </c>
      <c r="B1229" s="3168" t="s">
        <v>3538</v>
      </c>
      <c r="C1229" s="3168">
        <v>-1489</v>
      </c>
      <c r="D1229" s="3168">
        <v>25.39</v>
      </c>
      <c r="E1229" s="3168">
        <v>8.8699999999999992</v>
      </c>
    </row>
    <row r="1230" spans="1:5" ht="14.25">
      <c r="A1230" s="3168">
        <v>1229</v>
      </c>
      <c r="B1230" s="3168" t="s">
        <v>3538</v>
      </c>
      <c r="C1230" s="3168">
        <v>-1490</v>
      </c>
      <c r="D1230" s="3168">
        <v>25.39</v>
      </c>
      <c r="E1230" s="3168">
        <v>8.8699999999999992</v>
      </c>
    </row>
    <row r="1231" spans="1:5" ht="14.25">
      <c r="A1231" s="3168">
        <v>1230</v>
      </c>
      <c r="B1231" s="3168" t="s">
        <v>3538</v>
      </c>
      <c r="C1231" s="3168">
        <v>-1491</v>
      </c>
      <c r="D1231" s="3168">
        <v>25.39</v>
      </c>
      <c r="E1231" s="3168">
        <v>8.8699999999999992</v>
      </c>
    </row>
    <row r="1232" spans="1:5" ht="14.25">
      <c r="A1232" s="3168">
        <v>1231</v>
      </c>
      <c r="B1232" s="3168" t="s">
        <v>3538</v>
      </c>
      <c r="C1232" s="3168">
        <v>-1492</v>
      </c>
      <c r="D1232" s="3168">
        <v>25.39</v>
      </c>
      <c r="E1232" s="3168">
        <v>8.8699999999999992</v>
      </c>
    </row>
    <row r="1233" spans="1:5" ht="14.25">
      <c r="A1233" s="3168">
        <v>1232</v>
      </c>
      <c r="B1233" s="3168" t="s">
        <v>3538</v>
      </c>
      <c r="C1233" s="3168">
        <v>-1493</v>
      </c>
      <c r="D1233" s="3168">
        <v>25.39</v>
      </c>
      <c r="E1233" s="3168">
        <v>8.8699999999999992</v>
      </c>
    </row>
    <row r="1234" spans="1:5" ht="14.25">
      <c r="A1234" s="3168">
        <v>1233</v>
      </c>
      <c r="B1234" s="3168" t="s">
        <v>3538</v>
      </c>
      <c r="C1234" s="3168">
        <v>-1494</v>
      </c>
      <c r="D1234" s="3168">
        <v>25.39</v>
      </c>
      <c r="E1234" s="3168">
        <v>8.8699999999999992</v>
      </c>
    </row>
    <row r="1235" spans="1:5" ht="14.25">
      <c r="A1235" s="3168">
        <v>1234</v>
      </c>
      <c r="B1235" s="3168" t="s">
        <v>3538</v>
      </c>
      <c r="C1235" s="3168">
        <v>-1495</v>
      </c>
      <c r="D1235" s="3168">
        <v>25.39</v>
      </c>
      <c r="E1235" s="3168">
        <v>8.8699999999999992</v>
      </c>
    </row>
    <row r="1236" spans="1:5" ht="14.25">
      <c r="A1236" s="3168">
        <v>1235</v>
      </c>
      <c r="B1236" s="3168" t="s">
        <v>3538</v>
      </c>
      <c r="C1236" s="3168">
        <v>-1496</v>
      </c>
      <c r="D1236" s="3168">
        <v>25.39</v>
      </c>
      <c r="E1236" s="3168">
        <v>8.8699999999999992</v>
      </c>
    </row>
    <row r="1237" spans="1:5" ht="14.25">
      <c r="A1237" s="3168">
        <v>1236</v>
      </c>
      <c r="B1237" s="3168" t="s">
        <v>3538</v>
      </c>
      <c r="C1237" s="3168">
        <v>-1497</v>
      </c>
      <c r="D1237" s="3168">
        <v>25.39</v>
      </c>
      <c r="E1237" s="3168">
        <v>8.8699999999999992</v>
      </c>
    </row>
    <row r="1238" spans="1:5" ht="14.25">
      <c r="A1238" s="3168">
        <v>1237</v>
      </c>
      <c r="B1238" s="3168" t="s">
        <v>3538</v>
      </c>
      <c r="C1238" s="3168">
        <v>-1498</v>
      </c>
      <c r="D1238" s="3168">
        <v>25.39</v>
      </c>
      <c r="E1238" s="3168">
        <v>8.8699999999999992</v>
      </c>
    </row>
    <row r="1239" spans="1:5" ht="14.25">
      <c r="A1239" s="3168">
        <v>1238</v>
      </c>
      <c r="B1239" s="3168" t="s">
        <v>3538</v>
      </c>
      <c r="C1239" s="3168">
        <v>-1499</v>
      </c>
      <c r="D1239" s="3168">
        <v>25.39</v>
      </c>
      <c r="E1239" s="3168">
        <v>8.8699999999999992</v>
      </c>
    </row>
    <row r="1240" spans="1:5" ht="14.25">
      <c r="A1240" s="3168">
        <v>1239</v>
      </c>
      <c r="B1240" s="3168" t="s">
        <v>3538</v>
      </c>
      <c r="C1240" s="3168">
        <v>-1500</v>
      </c>
      <c r="D1240" s="3168">
        <v>25.39</v>
      </c>
      <c r="E1240" s="3168">
        <v>8.8699999999999992</v>
      </c>
    </row>
    <row r="1241" spans="1:5" ht="14.25">
      <c r="A1241" s="3168">
        <v>1240</v>
      </c>
      <c r="B1241" s="3168" t="s">
        <v>3538</v>
      </c>
      <c r="C1241" s="3168">
        <v>-1501</v>
      </c>
      <c r="D1241" s="3168">
        <v>25.39</v>
      </c>
      <c r="E1241" s="3168">
        <v>8.8699999999999992</v>
      </c>
    </row>
    <row r="1242" spans="1:5" ht="14.25">
      <c r="A1242" s="3168">
        <v>1241</v>
      </c>
      <c r="B1242" s="3168" t="s">
        <v>3538</v>
      </c>
      <c r="C1242" s="3168">
        <v>-1502</v>
      </c>
      <c r="D1242" s="3168">
        <v>25.39</v>
      </c>
      <c r="E1242" s="3168">
        <v>8.8699999999999992</v>
      </c>
    </row>
    <row r="1243" spans="1:5" ht="14.25">
      <c r="A1243" s="3168">
        <v>1242</v>
      </c>
      <c r="B1243" s="3168" t="s">
        <v>3538</v>
      </c>
      <c r="C1243" s="3168">
        <v>-1503</v>
      </c>
      <c r="D1243" s="3168">
        <v>25.39</v>
      </c>
      <c r="E1243" s="3168">
        <v>8.8699999999999992</v>
      </c>
    </row>
    <row r="1244" spans="1:5" ht="14.25">
      <c r="A1244" s="3168">
        <v>1243</v>
      </c>
      <c r="B1244" s="3168" t="s">
        <v>3538</v>
      </c>
      <c r="C1244" s="3168">
        <v>-1504</v>
      </c>
      <c r="D1244" s="3168">
        <v>25.39</v>
      </c>
      <c r="E1244" s="3168">
        <v>8.8699999999999992</v>
      </c>
    </row>
    <row r="1245" spans="1:5" ht="14.25">
      <c r="A1245" s="3168">
        <v>1244</v>
      </c>
      <c r="B1245" s="3168" t="s">
        <v>3538</v>
      </c>
      <c r="C1245" s="3168">
        <v>-1505</v>
      </c>
      <c r="D1245" s="3168">
        <v>25.39</v>
      </c>
      <c r="E1245" s="3168">
        <v>8.8699999999999992</v>
      </c>
    </row>
    <row r="1246" spans="1:5" ht="14.25">
      <c r="A1246" s="3168">
        <v>1245</v>
      </c>
      <c r="B1246" s="3168" t="s">
        <v>3538</v>
      </c>
      <c r="C1246" s="3168">
        <v>-1506</v>
      </c>
      <c r="D1246" s="3168">
        <v>25.39</v>
      </c>
      <c r="E1246" s="3168">
        <v>8.8699999999999992</v>
      </c>
    </row>
    <row r="1247" spans="1:5" ht="14.25">
      <c r="A1247" s="3168">
        <v>1246</v>
      </c>
      <c r="B1247" s="3168" t="s">
        <v>3538</v>
      </c>
      <c r="C1247" s="3168">
        <v>-1507</v>
      </c>
      <c r="D1247" s="3168">
        <v>25.39</v>
      </c>
      <c r="E1247" s="3168">
        <v>8.8699999999999992</v>
      </c>
    </row>
    <row r="1248" spans="1:5" ht="14.25">
      <c r="A1248" s="3168">
        <v>1247</v>
      </c>
      <c r="B1248" s="3168" t="s">
        <v>3538</v>
      </c>
      <c r="C1248" s="3168">
        <v>-1508</v>
      </c>
      <c r="D1248" s="3168">
        <v>25.39</v>
      </c>
      <c r="E1248" s="3168">
        <v>8.8699999999999992</v>
      </c>
    </row>
    <row r="1249" spans="1:5" ht="14.25">
      <c r="A1249" s="3168">
        <v>1248</v>
      </c>
      <c r="B1249" s="3168" t="s">
        <v>3538</v>
      </c>
      <c r="C1249" s="3168">
        <v>-1509</v>
      </c>
      <c r="D1249" s="3168">
        <v>25.39</v>
      </c>
      <c r="E1249" s="3168">
        <v>8.8699999999999992</v>
      </c>
    </row>
    <row r="1250" spans="1:5" ht="14.25">
      <c r="A1250" s="3168">
        <v>1249</v>
      </c>
      <c r="B1250" s="3168" t="s">
        <v>3538</v>
      </c>
      <c r="C1250" s="3168">
        <v>-1510</v>
      </c>
      <c r="D1250" s="3168">
        <v>25.39</v>
      </c>
      <c r="E1250" s="3168">
        <v>8.8699999999999992</v>
      </c>
    </row>
    <row r="1251" spans="1:5" ht="14.25">
      <c r="A1251" s="3168">
        <v>1250</v>
      </c>
      <c r="B1251" s="3168" t="s">
        <v>3538</v>
      </c>
      <c r="C1251" s="3168">
        <v>-1511</v>
      </c>
      <c r="D1251" s="3168">
        <v>25.39</v>
      </c>
      <c r="E1251" s="3168">
        <v>8.8699999999999992</v>
      </c>
    </row>
    <row r="1252" spans="1:5" ht="14.25">
      <c r="A1252" s="3168">
        <v>1251</v>
      </c>
      <c r="B1252" s="3168" t="s">
        <v>3538</v>
      </c>
      <c r="C1252" s="3168">
        <v>-1512</v>
      </c>
      <c r="D1252" s="3168">
        <v>25.39</v>
      </c>
      <c r="E1252" s="3168">
        <v>8.8699999999999992</v>
      </c>
    </row>
    <row r="1253" spans="1:5" ht="14.25">
      <c r="A1253" s="3168">
        <v>1252</v>
      </c>
      <c r="B1253" s="3168" t="s">
        <v>3538</v>
      </c>
      <c r="C1253" s="3168">
        <v>-1513</v>
      </c>
      <c r="D1253" s="3168">
        <v>25.39</v>
      </c>
      <c r="E1253" s="3168">
        <v>8.8699999999999992</v>
      </c>
    </row>
    <row r="1254" spans="1:5" ht="14.25">
      <c r="A1254" s="3168">
        <v>1253</v>
      </c>
      <c r="B1254" s="3168" t="s">
        <v>3538</v>
      </c>
      <c r="C1254" s="3168">
        <v>-1514</v>
      </c>
      <c r="D1254" s="3168">
        <v>25.39</v>
      </c>
      <c r="E1254" s="3168">
        <v>8.8699999999999992</v>
      </c>
    </row>
    <row r="1255" spans="1:5" ht="14.25">
      <c r="A1255" s="3168">
        <v>1254</v>
      </c>
      <c r="B1255" s="3168" t="s">
        <v>3538</v>
      </c>
      <c r="C1255" s="3168">
        <v>-1515</v>
      </c>
      <c r="D1255" s="3168">
        <v>25.39</v>
      </c>
      <c r="E1255" s="3168">
        <v>8.8699999999999992</v>
      </c>
    </row>
    <row r="1256" spans="1:5" ht="14.25">
      <c r="A1256" s="3168">
        <v>1255</v>
      </c>
      <c r="B1256" s="3168" t="s">
        <v>3538</v>
      </c>
      <c r="C1256" s="3168">
        <v>-1516</v>
      </c>
      <c r="D1256" s="3168">
        <v>25.39</v>
      </c>
      <c r="E1256" s="3168">
        <v>8.8699999999999992</v>
      </c>
    </row>
    <row r="1257" spans="1:5" ht="14.25">
      <c r="A1257" s="3168">
        <v>1256</v>
      </c>
      <c r="B1257" s="3168" t="s">
        <v>3538</v>
      </c>
      <c r="C1257" s="3168">
        <v>-1517</v>
      </c>
      <c r="D1257" s="3168">
        <v>25.39</v>
      </c>
      <c r="E1257" s="3168">
        <v>8.8699999999999992</v>
      </c>
    </row>
    <row r="1258" spans="1:5" ht="14.25">
      <c r="A1258" s="3168">
        <v>1257</v>
      </c>
      <c r="B1258" s="3168" t="s">
        <v>3538</v>
      </c>
      <c r="C1258" s="3168">
        <v>-1518</v>
      </c>
      <c r="D1258" s="3168">
        <v>25.39</v>
      </c>
      <c r="E1258" s="3168">
        <v>8.8699999999999992</v>
      </c>
    </row>
    <row r="1259" spans="1:5" ht="14.25">
      <c r="A1259" s="3168">
        <v>1258</v>
      </c>
      <c r="B1259" s="3168" t="s">
        <v>3538</v>
      </c>
      <c r="C1259" s="3168">
        <v>-1519</v>
      </c>
      <c r="D1259" s="3168">
        <v>25.39</v>
      </c>
      <c r="E1259" s="3168">
        <v>8.8699999999999992</v>
      </c>
    </row>
    <row r="1260" spans="1:5" ht="14.25">
      <c r="A1260" s="3168">
        <v>1259</v>
      </c>
      <c r="B1260" s="3168" t="s">
        <v>3538</v>
      </c>
      <c r="C1260" s="3168">
        <v>-1520</v>
      </c>
      <c r="D1260" s="3168">
        <v>25.39</v>
      </c>
      <c r="E1260" s="3168">
        <v>8.8699999999999992</v>
      </c>
    </row>
    <row r="1261" spans="1:5" ht="14.25">
      <c r="A1261" s="3168">
        <v>1260</v>
      </c>
      <c r="B1261" s="3168" t="s">
        <v>3538</v>
      </c>
      <c r="C1261" s="3168">
        <v>-1521</v>
      </c>
      <c r="D1261" s="3168">
        <v>25.39</v>
      </c>
      <c r="E1261" s="3168">
        <v>8.8699999999999992</v>
      </c>
    </row>
    <row r="1262" spans="1:5" ht="14.25">
      <c r="A1262" s="3168">
        <v>1261</v>
      </c>
      <c r="B1262" s="3168" t="s">
        <v>3538</v>
      </c>
      <c r="C1262" s="3168">
        <v>-1522</v>
      </c>
      <c r="D1262" s="3168">
        <v>25.39</v>
      </c>
      <c r="E1262" s="3168">
        <v>8.8699999999999992</v>
      </c>
    </row>
    <row r="1263" spans="1:5" ht="14.25">
      <c r="A1263" s="3168">
        <v>1262</v>
      </c>
      <c r="B1263" s="3168" t="s">
        <v>3538</v>
      </c>
      <c r="C1263" s="3168">
        <v>-1523</v>
      </c>
      <c r="D1263" s="3168">
        <v>25.39</v>
      </c>
      <c r="E1263" s="3168">
        <v>8.8699999999999992</v>
      </c>
    </row>
    <row r="1264" spans="1:5" ht="14.25">
      <c r="A1264" s="3168">
        <v>1263</v>
      </c>
      <c r="B1264" s="3168" t="s">
        <v>3538</v>
      </c>
      <c r="C1264" s="3168">
        <v>-1524</v>
      </c>
      <c r="D1264" s="3168">
        <v>25.39</v>
      </c>
      <c r="E1264" s="3168">
        <v>8.8699999999999992</v>
      </c>
    </row>
    <row r="1265" spans="1:5" ht="14.25">
      <c r="A1265" s="3168">
        <v>1264</v>
      </c>
      <c r="B1265" s="3168" t="s">
        <v>3538</v>
      </c>
      <c r="C1265" s="3168">
        <v>-1525</v>
      </c>
      <c r="D1265" s="3168">
        <v>25.39</v>
      </c>
      <c r="E1265" s="3168">
        <v>8.8699999999999992</v>
      </c>
    </row>
    <row r="1266" spans="1:5" ht="14.25">
      <c r="A1266" s="3168">
        <v>1265</v>
      </c>
      <c r="B1266" s="3168" t="s">
        <v>3538</v>
      </c>
      <c r="C1266" s="3168">
        <v>-1526</v>
      </c>
      <c r="D1266" s="3168">
        <v>25.39</v>
      </c>
      <c r="E1266" s="3168">
        <v>8.8699999999999992</v>
      </c>
    </row>
    <row r="1267" spans="1:5" ht="14.25">
      <c r="A1267" s="3168">
        <v>1266</v>
      </c>
      <c r="B1267" s="3168" t="s">
        <v>3538</v>
      </c>
      <c r="C1267" s="3168">
        <v>-1527</v>
      </c>
      <c r="D1267" s="3168">
        <v>25.39</v>
      </c>
      <c r="E1267" s="3168">
        <v>8.8699999999999992</v>
      </c>
    </row>
    <row r="1268" spans="1:5" ht="14.25">
      <c r="A1268" s="3168">
        <v>1267</v>
      </c>
      <c r="B1268" s="3168" t="s">
        <v>3538</v>
      </c>
      <c r="C1268" s="3168">
        <v>-1528</v>
      </c>
      <c r="D1268" s="3168">
        <v>25.39</v>
      </c>
      <c r="E1268" s="3168">
        <v>8.8699999999999992</v>
      </c>
    </row>
    <row r="1269" spans="1:5" ht="14.25">
      <c r="A1269" s="3168">
        <v>1268</v>
      </c>
      <c r="B1269" s="3168" t="s">
        <v>3538</v>
      </c>
      <c r="C1269" s="3168">
        <v>-1529</v>
      </c>
      <c r="D1269" s="3168">
        <v>25.39</v>
      </c>
      <c r="E1269" s="3168">
        <v>8.8699999999999992</v>
      </c>
    </row>
    <row r="1270" spans="1:5" ht="14.25">
      <c r="A1270" s="3168">
        <v>1269</v>
      </c>
      <c r="B1270" s="3168" t="s">
        <v>3538</v>
      </c>
      <c r="C1270" s="3168">
        <v>-1530</v>
      </c>
      <c r="D1270" s="3168">
        <v>25.39</v>
      </c>
      <c r="E1270" s="3168">
        <v>8.8699999999999992</v>
      </c>
    </row>
    <row r="1271" spans="1:5" ht="14.25">
      <c r="A1271" s="3168">
        <v>1270</v>
      </c>
      <c r="B1271" s="3168" t="s">
        <v>3538</v>
      </c>
      <c r="C1271" s="3168">
        <v>-1531</v>
      </c>
      <c r="D1271" s="3168">
        <v>25.39</v>
      </c>
      <c r="E1271" s="3168">
        <v>8.8699999999999992</v>
      </c>
    </row>
    <row r="1272" spans="1:5" ht="14.25">
      <c r="A1272" s="3168">
        <v>1271</v>
      </c>
      <c r="B1272" s="3168" t="s">
        <v>3538</v>
      </c>
      <c r="C1272" s="3168">
        <v>-1532</v>
      </c>
      <c r="D1272" s="3168">
        <v>25.39</v>
      </c>
      <c r="E1272" s="3168">
        <v>8.8699999999999992</v>
      </c>
    </row>
    <row r="1273" spans="1:5" ht="14.25">
      <c r="A1273" s="3168">
        <v>1272</v>
      </c>
      <c r="B1273" s="3168" t="s">
        <v>3538</v>
      </c>
      <c r="C1273" s="3168">
        <v>-1533</v>
      </c>
      <c r="D1273" s="3168">
        <v>25.39</v>
      </c>
      <c r="E1273" s="3168">
        <v>8.8699999999999992</v>
      </c>
    </row>
    <row r="1274" spans="1:5" ht="14.25">
      <c r="A1274" s="3168">
        <v>1273</v>
      </c>
      <c r="B1274" s="3168" t="s">
        <v>3538</v>
      </c>
      <c r="C1274" s="3168">
        <v>-1534</v>
      </c>
      <c r="D1274" s="3168">
        <v>25.39</v>
      </c>
      <c r="E1274" s="3168">
        <v>8.8699999999999992</v>
      </c>
    </row>
    <row r="1275" spans="1:5" ht="14.25">
      <c r="A1275" s="3168">
        <v>1274</v>
      </c>
      <c r="B1275" s="3168" t="s">
        <v>3538</v>
      </c>
      <c r="C1275" s="3168">
        <v>-1535</v>
      </c>
      <c r="D1275" s="3168">
        <v>25.39</v>
      </c>
      <c r="E1275" s="3168">
        <v>8.8699999999999992</v>
      </c>
    </row>
    <row r="1276" spans="1:5" ht="14.25">
      <c r="A1276" s="3168">
        <v>1275</v>
      </c>
      <c r="B1276" s="3168" t="s">
        <v>3538</v>
      </c>
      <c r="C1276" s="3168">
        <v>-1536</v>
      </c>
      <c r="D1276" s="3168">
        <v>25.39</v>
      </c>
      <c r="E1276" s="3168">
        <v>8.8699999999999992</v>
      </c>
    </row>
    <row r="1277" spans="1:5" ht="14.25">
      <c r="A1277" s="3168">
        <v>1276</v>
      </c>
      <c r="B1277" s="3168" t="s">
        <v>3538</v>
      </c>
      <c r="C1277" s="3168">
        <v>-1537</v>
      </c>
      <c r="D1277" s="3168">
        <v>25.39</v>
      </c>
      <c r="E1277" s="3168">
        <v>8.8699999999999992</v>
      </c>
    </row>
    <row r="1278" spans="1:5" ht="14.25">
      <c r="A1278" s="3168">
        <v>1277</v>
      </c>
      <c r="B1278" s="3168" t="s">
        <v>3538</v>
      </c>
      <c r="C1278" s="3168">
        <v>-1538</v>
      </c>
      <c r="D1278" s="3168">
        <v>25.39</v>
      </c>
      <c r="E1278" s="3168">
        <v>8.8699999999999992</v>
      </c>
    </row>
    <row r="1279" spans="1:5" ht="14.25">
      <c r="A1279" s="3168">
        <v>1278</v>
      </c>
      <c r="B1279" s="3168" t="s">
        <v>3538</v>
      </c>
      <c r="C1279" s="3168">
        <v>-1539</v>
      </c>
      <c r="D1279" s="3168">
        <v>25.39</v>
      </c>
      <c r="E1279" s="3168">
        <v>8.8699999999999992</v>
      </c>
    </row>
    <row r="1280" spans="1:5" ht="14.25">
      <c r="A1280" s="3168">
        <v>1279</v>
      </c>
      <c r="B1280" s="3168" t="s">
        <v>3538</v>
      </c>
      <c r="C1280" s="3168">
        <v>-1540</v>
      </c>
      <c r="D1280" s="3168">
        <v>269.45999999999998</v>
      </c>
      <c r="E1280" s="3168">
        <v>94.09</v>
      </c>
    </row>
    <row r="1281" spans="1:5" ht="14.25">
      <c r="A1281" s="3168">
        <v>1280</v>
      </c>
      <c r="B1281" s="3168" t="s">
        <v>3538</v>
      </c>
      <c r="C1281" s="3168">
        <v>-1541</v>
      </c>
      <c r="D1281" s="3168">
        <v>269.45999999999998</v>
      </c>
      <c r="E1281" s="3168">
        <v>94.09</v>
      </c>
    </row>
    <row r="1282" spans="1:5" ht="14.25">
      <c r="A1282" s="3168">
        <v>1281</v>
      </c>
      <c r="B1282" s="3168" t="s">
        <v>3538</v>
      </c>
      <c r="C1282" s="3168">
        <v>-1542</v>
      </c>
      <c r="D1282" s="3168">
        <v>269.45999999999998</v>
      </c>
      <c r="E1282" s="3168">
        <v>94.09</v>
      </c>
    </row>
    <row r="1283" spans="1:5" ht="14.25">
      <c r="A1283" s="3168">
        <v>1282</v>
      </c>
      <c r="B1283" s="3168" t="s">
        <v>3538</v>
      </c>
      <c r="C1283" s="3168">
        <v>-1543</v>
      </c>
      <c r="D1283" s="3168">
        <v>269.45999999999998</v>
      </c>
      <c r="E1283" s="3168">
        <v>94.09</v>
      </c>
    </row>
    <row r="1284" spans="1:5" ht="14.25">
      <c r="A1284" s="3168">
        <v>1283</v>
      </c>
      <c r="B1284" s="3168" t="s">
        <v>3538</v>
      </c>
      <c r="C1284" s="3168">
        <v>-1544</v>
      </c>
      <c r="D1284" s="3168">
        <v>269.45999999999998</v>
      </c>
      <c r="E1284" s="3168">
        <v>94.09</v>
      </c>
    </row>
    <row r="1285" spans="1:5" ht="14.25">
      <c r="A1285" s="3168">
        <v>1284</v>
      </c>
      <c r="B1285" s="3168" t="s">
        <v>3538</v>
      </c>
      <c r="C1285" s="3168">
        <v>-1545</v>
      </c>
      <c r="D1285" s="3168">
        <v>269.45999999999998</v>
      </c>
      <c r="E1285" s="3168">
        <v>94.09</v>
      </c>
    </row>
    <row r="1286" spans="1:5" ht="14.25">
      <c r="A1286" s="3168">
        <v>1285</v>
      </c>
      <c r="B1286" s="3168" t="s">
        <v>3538</v>
      </c>
      <c r="C1286" s="3168">
        <v>-1546</v>
      </c>
      <c r="D1286" s="3168">
        <v>269.45999999999998</v>
      </c>
      <c r="E1286" s="3168">
        <v>94.09</v>
      </c>
    </row>
    <row r="1287" spans="1:5">
      <c r="D1287" s="3168">
        <f>SUM(D2:D1286)</f>
        <v>74353.649999999543</v>
      </c>
      <c r="E1287" s="3168">
        <f>ROUND(SUM(E2:E1286),2)</f>
        <v>25965.52</v>
      </c>
    </row>
    <row r="1288" spans="1:5" ht="14.25">
      <c r="A1288" s="3168" t="s">
        <v>3539</v>
      </c>
      <c r="D1288" s="3168">
        <v>74353.649999999994</v>
      </c>
      <c r="E1288" s="3168">
        <v>25963.4</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5DE21-8358-432D-987E-2341A643C16D}">
  <dimension ref="H37:N55"/>
  <sheetViews>
    <sheetView workbookViewId="0">
      <selection activeCell="Q46" sqref="Q46"/>
    </sheetView>
  </sheetViews>
  <sheetFormatPr defaultRowHeight="13.5"/>
  <cols>
    <col min="9" max="9" width="11" bestFit="1" customWidth="1"/>
    <col min="13" max="13" width="9.5" bestFit="1" customWidth="1"/>
  </cols>
  <sheetData>
    <row r="37" spans="8:14">
      <c r="I37" s="1401" t="s">
        <v>3571</v>
      </c>
      <c r="J37" s="1401" t="s">
        <v>3572</v>
      </c>
      <c r="K37" s="1401" t="s">
        <v>3548</v>
      </c>
    </row>
    <row r="38" spans="8:14">
      <c r="H38" s="1401" t="s">
        <v>3554</v>
      </c>
      <c r="I38">
        <v>11</v>
      </c>
      <c r="J38">
        <v>6</v>
      </c>
      <c r="K38">
        <v>6796.54</v>
      </c>
      <c r="L38" s="3169">
        <v>0.4</v>
      </c>
      <c r="M38" s="3170">
        <f>J38/I38*L38</f>
        <v>0.21818181818181817</v>
      </c>
      <c r="N38">
        <f>M38*K38</f>
        <v>1482.8814545454545</v>
      </c>
    </row>
    <row r="39" spans="8:14">
      <c r="H39" s="1401" t="s">
        <v>3555</v>
      </c>
      <c r="I39">
        <v>11</v>
      </c>
      <c r="J39">
        <v>11</v>
      </c>
      <c r="K39">
        <v>5487.77</v>
      </c>
      <c r="L39" s="3169">
        <v>0.4</v>
      </c>
      <c r="M39" s="3170">
        <f t="shared" ref="M39:M53" si="0">J39/I39*L39</f>
        <v>0.4</v>
      </c>
      <c r="N39">
        <f t="shared" ref="N39:N54" si="1">M39*K39</f>
        <v>2195.1080000000002</v>
      </c>
    </row>
    <row r="40" spans="8:14">
      <c r="H40" s="1401" t="s">
        <v>3556</v>
      </c>
      <c r="I40">
        <v>15</v>
      </c>
      <c r="J40">
        <v>11</v>
      </c>
      <c r="K40">
        <v>9067.36</v>
      </c>
      <c r="L40" s="3169">
        <v>0.4</v>
      </c>
      <c r="M40" s="3170">
        <f t="shared" si="0"/>
        <v>0.29333333333333333</v>
      </c>
      <c r="N40">
        <f t="shared" si="1"/>
        <v>2659.7589333333335</v>
      </c>
    </row>
    <row r="41" spans="8:14">
      <c r="H41" s="1401" t="s">
        <v>3557</v>
      </c>
      <c r="I41">
        <v>15</v>
      </c>
      <c r="J41">
        <v>7</v>
      </c>
      <c r="K41">
        <v>10992.3</v>
      </c>
      <c r="L41" s="3169">
        <v>0.4</v>
      </c>
      <c r="M41" s="3170">
        <f t="shared" si="0"/>
        <v>0.18666666666666668</v>
      </c>
      <c r="N41">
        <f t="shared" si="1"/>
        <v>2051.8959999999997</v>
      </c>
    </row>
    <row r="42" spans="8:14">
      <c r="H42" s="1401" t="s">
        <v>3558</v>
      </c>
      <c r="I42">
        <v>10</v>
      </c>
      <c r="J42">
        <v>8</v>
      </c>
      <c r="K42">
        <v>9378.2199999999993</v>
      </c>
      <c r="L42" s="3169">
        <v>0.4</v>
      </c>
      <c r="M42" s="3170">
        <f t="shared" si="0"/>
        <v>0.32000000000000006</v>
      </c>
      <c r="N42">
        <f t="shared" si="1"/>
        <v>3001.0304000000006</v>
      </c>
    </row>
    <row r="43" spans="8:14">
      <c r="H43" s="1401" t="s">
        <v>3559</v>
      </c>
      <c r="I43">
        <v>10</v>
      </c>
      <c r="J43">
        <v>10</v>
      </c>
      <c r="K43">
        <v>8433.81</v>
      </c>
      <c r="L43" s="3169">
        <v>0.4</v>
      </c>
      <c r="M43" s="3170">
        <f t="shared" si="0"/>
        <v>0.4</v>
      </c>
      <c r="N43">
        <f t="shared" si="1"/>
        <v>3373.5239999999999</v>
      </c>
    </row>
    <row r="44" spans="8:14">
      <c r="H44" s="1401" t="s">
        <v>3560</v>
      </c>
      <c r="I44">
        <v>11</v>
      </c>
      <c r="J44">
        <v>10</v>
      </c>
      <c r="K44">
        <v>9069.7999999999993</v>
      </c>
      <c r="L44" s="3169">
        <v>0.4</v>
      </c>
      <c r="M44" s="3170">
        <f t="shared" si="0"/>
        <v>0.36363636363636365</v>
      </c>
      <c r="N44">
        <f t="shared" si="1"/>
        <v>3298.1090909090908</v>
      </c>
    </row>
    <row r="45" spans="8:14">
      <c r="H45" s="1401" t="s">
        <v>3561</v>
      </c>
      <c r="I45">
        <v>11</v>
      </c>
      <c r="J45">
        <v>6</v>
      </c>
      <c r="K45">
        <v>7378.88</v>
      </c>
      <c r="L45" s="3169">
        <v>0.4</v>
      </c>
      <c r="M45" s="3170">
        <f t="shared" si="0"/>
        <v>0.21818181818181817</v>
      </c>
      <c r="N45">
        <f t="shared" si="1"/>
        <v>1609.9374545454546</v>
      </c>
    </row>
    <row r="46" spans="8:14">
      <c r="H46" s="1401" t="s">
        <v>3562</v>
      </c>
      <c r="I46">
        <v>11</v>
      </c>
      <c r="J46">
        <v>7</v>
      </c>
      <c r="K46">
        <v>7209.97</v>
      </c>
      <c r="L46" s="3169">
        <v>0.4</v>
      </c>
      <c r="M46" s="3170">
        <f t="shared" si="0"/>
        <v>0.25454545454545457</v>
      </c>
      <c r="N46">
        <f t="shared" si="1"/>
        <v>1835.2650909090912</v>
      </c>
    </row>
    <row r="47" spans="8:14">
      <c r="H47" s="1401" t="s">
        <v>3563</v>
      </c>
      <c r="I47">
        <v>11</v>
      </c>
      <c r="J47">
        <v>7</v>
      </c>
      <c r="K47">
        <v>7540.89</v>
      </c>
      <c r="L47" s="3169">
        <v>0.4</v>
      </c>
      <c r="M47" s="3170">
        <f t="shared" si="0"/>
        <v>0.25454545454545457</v>
      </c>
      <c r="N47">
        <f t="shared" si="1"/>
        <v>1919.4992727272731</v>
      </c>
    </row>
    <row r="48" spans="8:14">
      <c r="H48" s="1401" t="s">
        <v>3564</v>
      </c>
      <c r="I48">
        <v>11</v>
      </c>
      <c r="J48">
        <v>7</v>
      </c>
      <c r="K48">
        <v>7543.95</v>
      </c>
      <c r="L48" s="3169">
        <v>0.4</v>
      </c>
      <c r="M48" s="3170">
        <f t="shared" si="0"/>
        <v>0.25454545454545457</v>
      </c>
      <c r="N48">
        <f t="shared" si="1"/>
        <v>1920.278181818182</v>
      </c>
    </row>
    <row r="49" spans="8:14">
      <c r="H49" s="1401" t="s">
        <v>3565</v>
      </c>
      <c r="I49">
        <v>11</v>
      </c>
      <c r="J49">
        <v>9</v>
      </c>
      <c r="K49">
        <v>5320.98</v>
      </c>
      <c r="L49" s="3169">
        <v>0.4</v>
      </c>
      <c r="M49" s="3170">
        <f t="shared" si="0"/>
        <v>0.32727272727272733</v>
      </c>
      <c r="N49">
        <f t="shared" si="1"/>
        <v>1741.4116363636365</v>
      </c>
    </row>
    <row r="50" spans="8:14">
      <c r="H50" s="1401" t="s">
        <v>3566</v>
      </c>
      <c r="I50">
        <v>2</v>
      </c>
      <c r="J50">
        <v>2</v>
      </c>
      <c r="K50">
        <v>1752.76</v>
      </c>
      <c r="L50" s="3169">
        <v>0.6</v>
      </c>
      <c r="M50" s="3170">
        <f t="shared" si="0"/>
        <v>0.6</v>
      </c>
      <c r="N50">
        <f t="shared" si="1"/>
        <v>1051.6559999999999</v>
      </c>
    </row>
    <row r="51" spans="8:14">
      <c r="H51" s="1401" t="s">
        <v>3567</v>
      </c>
      <c r="I51">
        <v>2</v>
      </c>
      <c r="K51">
        <v>1279.08</v>
      </c>
      <c r="M51" s="3170">
        <f t="shared" si="0"/>
        <v>0</v>
      </c>
      <c r="N51">
        <f t="shared" si="1"/>
        <v>0</v>
      </c>
    </row>
    <row r="52" spans="8:14">
      <c r="H52" s="1401" t="s">
        <v>3568</v>
      </c>
      <c r="I52">
        <v>1</v>
      </c>
      <c r="K52">
        <v>180</v>
      </c>
      <c r="M52" s="3170">
        <f t="shared" si="0"/>
        <v>0</v>
      </c>
      <c r="N52">
        <f t="shared" si="1"/>
        <v>0</v>
      </c>
    </row>
    <row r="53" spans="8:14">
      <c r="H53" s="1401" t="s">
        <v>3569</v>
      </c>
      <c r="I53">
        <v>2</v>
      </c>
      <c r="K53">
        <v>400</v>
      </c>
      <c r="M53" s="3170">
        <f t="shared" si="0"/>
        <v>0</v>
      </c>
      <c r="N53">
        <f t="shared" si="1"/>
        <v>0</v>
      </c>
    </row>
    <row r="54" spans="8:14">
      <c r="H54" s="1401" t="s">
        <v>3570</v>
      </c>
      <c r="K54">
        <v>26014.21</v>
      </c>
      <c r="L54" s="3169">
        <v>0.5</v>
      </c>
      <c r="M54" s="3170">
        <f>L54</f>
        <v>0.5</v>
      </c>
      <c r="N54">
        <f t="shared" si="1"/>
        <v>13007.105</v>
      </c>
    </row>
    <row r="55" spans="8:14">
      <c r="K55">
        <f>SUM(K38:K54)</f>
        <v>123846.51999999999</v>
      </c>
      <c r="M55" s="3170">
        <f>ROUND(N55/K55,2)</f>
        <v>0.33</v>
      </c>
      <c r="N55">
        <f>SUM(N38:N54)</f>
        <v>41147.460515151513</v>
      </c>
    </row>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L30" sqref="L30"/>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1130</v>
      </c>
      <c r="B1" s="1067"/>
      <c r="C1" s="1067"/>
      <c r="D1" s="1067"/>
      <c r="E1" s="1067"/>
      <c r="F1" s="1067"/>
      <c r="G1" s="1067"/>
      <c r="H1" s="1067"/>
      <c r="I1" s="1067"/>
      <c r="J1" s="1067"/>
      <c r="K1" s="1067"/>
      <c r="L1" s="1067"/>
      <c r="M1" s="1067"/>
      <c r="N1" s="1067"/>
      <c r="O1" s="1067"/>
      <c r="P1" s="1067"/>
    </row>
    <row r="2" spans="1:16" ht="15">
      <c r="A2" s="3269" t="s">
        <v>1131</v>
      </c>
      <c r="B2" s="3269"/>
      <c r="C2" s="3269"/>
      <c r="D2" s="744" t="s">
        <v>1107</v>
      </c>
      <c r="E2" s="1519" t="s">
        <v>1108</v>
      </c>
      <c r="F2" s="2435"/>
      <c r="G2" s="2428"/>
      <c r="H2" s="2429"/>
      <c r="I2" s="2142" t="s">
        <v>1132</v>
      </c>
      <c r="J2" s="2435"/>
      <c r="K2" s="2435"/>
      <c r="L2" s="2435"/>
      <c r="M2" s="2435"/>
      <c r="N2" s="2436"/>
      <c r="O2" s="2435"/>
      <c r="P2" s="2435"/>
    </row>
    <row r="3" spans="1:16" ht="15.75" thickBot="1">
      <c r="A3" s="3270" t="s">
        <v>1105</v>
      </c>
      <c r="B3" s="3270"/>
      <c r="C3" s="3270"/>
      <c r="D3" s="41">
        <f>'数据-基础表'!AY6</f>
        <v>25963.4</v>
      </c>
      <c r="E3" s="41">
        <f>'数据-基础表'!AZ5</f>
        <v>74353.649999999776</v>
      </c>
      <c r="F3" s="2435"/>
      <c r="G3" s="42"/>
      <c r="H3" s="43" t="s">
        <v>1106</v>
      </c>
      <c r="I3" s="798">
        <f>ROUND('数据-基础表'!B3/'数据-基础表'!A3,2)</f>
        <v>2.86</v>
      </c>
      <c r="J3" s="2435"/>
      <c r="K3" s="2435"/>
      <c r="L3" s="2435"/>
      <c r="M3" s="2435"/>
      <c r="N3" s="2436"/>
      <c r="O3" s="2435"/>
      <c r="P3" s="2435"/>
    </row>
    <row r="4" spans="1:16" ht="15">
      <c r="A4" s="3271"/>
      <c r="B4" s="3272"/>
      <c r="C4" s="3273"/>
      <c r="D4" s="1520" t="s">
        <v>1107</v>
      </c>
      <c r="E4" s="1521" t="s">
        <v>1108</v>
      </c>
      <c r="F4" s="2435"/>
      <c r="G4" s="2430" t="s">
        <v>1133</v>
      </c>
      <c r="H4" s="43" t="s">
        <v>1113</v>
      </c>
      <c r="I4" s="798">
        <f>ROUND(SUMIF('数据-基础表'!I9:AS9,"地上",'数据-基础表'!I5:AS5)/'数据-基础表'!A3,2)</f>
        <v>2.14</v>
      </c>
      <c r="J4" s="2435"/>
      <c r="K4" s="2435"/>
      <c r="L4" s="2435"/>
      <c r="M4" s="2435"/>
      <c r="N4" s="2436"/>
      <c r="O4" s="2435"/>
      <c r="P4" s="2435"/>
    </row>
    <row r="5" spans="1:16">
      <c r="A5" s="42" t="s">
        <v>1109</v>
      </c>
      <c r="B5" s="3274" t="s">
        <v>1110</v>
      </c>
      <c r="C5" s="3274"/>
      <c r="D5" s="43">
        <f>ROUND($D$3*E5/$E$3,2)</f>
        <v>19421.3</v>
      </c>
      <c r="E5" s="44">
        <f>SUMIF('数据-基础表'!$11:$11,"住宅",'数据-基础表'!$5:$5)</f>
        <v>55618.469999999863</v>
      </c>
      <c r="F5" s="2435"/>
      <c r="G5" s="42"/>
      <c r="H5" s="43" t="s">
        <v>1106</v>
      </c>
      <c r="I5" s="798">
        <f>ROUND(E31/D31,2)</f>
        <v>2.86</v>
      </c>
      <c r="J5" s="2435"/>
      <c r="K5" s="2435"/>
      <c r="L5" s="2435"/>
      <c r="M5" s="2435"/>
      <c r="N5" s="2435"/>
      <c r="O5" s="2435"/>
      <c r="P5" s="2435"/>
    </row>
    <row r="6" spans="1:16" ht="15" thickBot="1">
      <c r="A6" s="1523"/>
      <c r="B6" s="3274" t="s">
        <v>1111</v>
      </c>
      <c r="C6" s="3274"/>
      <c r="D6" s="43">
        <f>ROUND($D$3*E6/$E$3,2)</f>
        <v>6542.1</v>
      </c>
      <c r="E6" s="44">
        <f>E3-E5</f>
        <v>18735.179999999913</v>
      </c>
      <c r="F6" s="2435"/>
      <c r="G6" s="1525" t="s">
        <v>1112</v>
      </c>
      <c r="H6" s="45" t="s">
        <v>1113</v>
      </c>
      <c r="I6" s="2431">
        <f>ROUND(F31/D31,2)</f>
        <v>2.14</v>
      </c>
      <c r="J6" s="2435"/>
      <c r="K6" s="2435"/>
      <c r="L6" s="2435"/>
      <c r="M6" s="2435"/>
      <c r="N6" s="2435"/>
      <c r="O6" s="2435"/>
      <c r="P6" s="2435"/>
    </row>
    <row r="7" spans="1:16" ht="15.75" thickBot="1">
      <c r="A7" s="3266"/>
      <c r="B7" s="3267"/>
      <c r="C7" s="3268"/>
      <c r="D7" s="1520" t="s">
        <v>1107</v>
      </c>
      <c r="E7" s="1524" t="s">
        <v>1114</v>
      </c>
      <c r="F7" s="2435"/>
      <c r="G7" s="2432" t="s">
        <v>1115</v>
      </c>
      <c r="H7" s="93"/>
      <c r="I7" s="2433">
        <v>2</v>
      </c>
      <c r="J7" s="2435"/>
      <c r="K7" s="2435"/>
      <c r="L7" s="2435"/>
      <c r="M7" s="2435"/>
      <c r="N7" s="2435"/>
      <c r="O7" s="2435"/>
      <c r="P7" s="2435"/>
    </row>
    <row r="8" spans="1:16">
      <c r="A8" s="42" t="s">
        <v>1116</v>
      </c>
      <c r="B8" s="45" t="s">
        <v>1117</v>
      </c>
      <c r="C8" s="43" t="s">
        <v>1118</v>
      </c>
      <c r="D8" s="43">
        <f t="shared" ref="D8:D15" si="0">ROUND($D$3*E8/$E$3,2)</f>
        <v>19421.3</v>
      </c>
      <c r="E8" s="46">
        <f>SUMIF('数据-基础表'!BB10:BK10,"地上",'数据-基础表'!BB5:BK5)</f>
        <v>55618.469999999863</v>
      </c>
      <c r="F8" s="2435"/>
      <c r="G8" s="2435"/>
      <c r="H8" s="2435"/>
      <c r="I8" s="2435"/>
      <c r="J8" s="2435"/>
      <c r="K8" s="2435"/>
      <c r="L8" s="2435"/>
      <c r="M8" s="2435"/>
      <c r="N8" s="2435"/>
      <c r="O8" s="2435"/>
      <c r="P8" s="2435"/>
    </row>
    <row r="9" spans="1:16">
      <c r="A9" s="1525"/>
      <c r="B9" s="1526"/>
      <c r="C9" s="43" t="s">
        <v>1119</v>
      </c>
      <c r="D9" s="43">
        <f t="shared" si="0"/>
        <v>0</v>
      </c>
      <c r="E9" s="47">
        <v>0</v>
      </c>
      <c r="F9" s="2435"/>
      <c r="G9" s="2435"/>
      <c r="H9" s="2435"/>
      <c r="I9" s="2435"/>
      <c r="J9" s="2435"/>
      <c r="K9" s="2435"/>
      <c r="L9" s="2435"/>
      <c r="M9" s="2435"/>
      <c r="N9" s="2435"/>
      <c r="O9" s="2435"/>
      <c r="P9" s="2435"/>
    </row>
    <row r="10" spans="1:16">
      <c r="A10" s="1525"/>
      <c r="B10" s="1526"/>
      <c r="C10" s="43" t="s">
        <v>1128</v>
      </c>
      <c r="D10" s="43">
        <f t="shared" si="0"/>
        <v>182.39</v>
      </c>
      <c r="E10" s="46">
        <f>SUMPRODUCT(('数据-基础表'!BB10:BK10="地下")*('数据-基础表'!BB11:BK11="商业")*('数据-基础表'!BB5:BK5))</f>
        <v>522.33999999999992</v>
      </c>
      <c r="F10" s="2435"/>
      <c r="G10" s="2435"/>
      <c r="H10" s="2435"/>
      <c r="I10" s="2435"/>
      <c r="J10" s="2435"/>
      <c r="K10" s="2435"/>
      <c r="L10" s="2435"/>
      <c r="M10" s="2435"/>
      <c r="N10" s="2435"/>
      <c r="O10" s="2435"/>
      <c r="P10" s="2435"/>
    </row>
    <row r="11" spans="1:16">
      <c r="A11" s="1525"/>
      <c r="B11" s="1526"/>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5"/>
      <c r="B12" s="1526"/>
      <c r="C12" s="43" t="s">
        <v>1121</v>
      </c>
      <c r="D12" s="43">
        <f t="shared" si="0"/>
        <v>895.76</v>
      </c>
      <c r="E12" s="46">
        <f>SUMPRODUCT(('数据-基础表'!BB10:BK10="地下")*('数据-基础表'!BB11:BK11="仓储")*('数据-基础表'!BB5:BK5))</f>
        <v>2565.2700000000004</v>
      </c>
      <c r="F12" s="2435"/>
      <c r="G12" s="2435"/>
      <c r="H12" s="2435"/>
      <c r="I12" s="2435"/>
      <c r="J12" s="2435"/>
      <c r="K12" s="2435"/>
      <c r="L12" s="2435"/>
      <c r="M12" s="2435"/>
      <c r="N12" s="2435"/>
      <c r="O12" s="2435"/>
      <c r="P12" s="2435"/>
    </row>
    <row r="13" spans="1:16">
      <c r="A13" s="1525"/>
      <c r="B13" s="1526"/>
      <c r="C13" s="43" t="s">
        <v>1122</v>
      </c>
      <c r="D13" s="43">
        <f t="shared" si="0"/>
        <v>5463.94</v>
      </c>
      <c r="E13" s="46">
        <f>SUMPRODUCT(('数据-基础表'!BB10:BK10="地下")*('数据-基础表'!BB11:BK11="车库")*('数据-基础表'!BB5:BK5))</f>
        <v>15647.569999999918</v>
      </c>
      <c r="F13" s="2435"/>
      <c r="G13" s="2435"/>
      <c r="H13" s="2435"/>
      <c r="I13" s="2435"/>
      <c r="J13" s="2435"/>
      <c r="K13" s="2435"/>
      <c r="L13" s="2435"/>
      <c r="M13" s="2435"/>
      <c r="N13" s="2435"/>
      <c r="O13" s="2435"/>
      <c r="P13" s="2435"/>
    </row>
    <row r="14" spans="1:16">
      <c r="A14" s="1525"/>
      <c r="B14" s="1526"/>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5"/>
      <c r="B15" s="1526"/>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3"/>
      <c r="B16" s="1526"/>
      <c r="C16" s="45" t="s">
        <v>1123</v>
      </c>
      <c r="D16" s="45">
        <f>SUM(D8:D15)</f>
        <v>25963.389999999996</v>
      </c>
      <c r="E16" s="48">
        <f>SUM(E8:E15)</f>
        <v>74353.649999999776</v>
      </c>
      <c r="F16" s="2435"/>
      <c r="G16" s="2435"/>
      <c r="H16" s="1527" t="s">
        <v>1135</v>
      </c>
      <c r="I16" s="1528"/>
      <c r="J16" s="1067"/>
      <c r="K16" s="3263" t="s">
        <v>1135</v>
      </c>
      <c r="L16" s="3264"/>
      <c r="M16" s="3264"/>
      <c r="N16" s="3264"/>
      <c r="O16" s="3264"/>
      <c r="P16" s="3265"/>
    </row>
    <row r="17" spans="1:19" ht="15">
      <c r="A17" s="1529" t="s">
        <v>1136</v>
      </c>
      <c r="B17" s="1530" t="s">
        <v>1137</v>
      </c>
      <c r="C17" s="1531" t="s">
        <v>1138</v>
      </c>
      <c r="D17" s="1532" t="s">
        <v>1126</v>
      </c>
      <c r="E17" s="1533" t="s">
        <v>1127</v>
      </c>
      <c r="F17" s="1534"/>
      <c r="G17" s="1535"/>
      <c r="H17" s="1536" t="s">
        <v>1139</v>
      </c>
      <c r="I17" s="1537" t="s">
        <v>1124</v>
      </c>
      <c r="J17" s="1067"/>
      <c r="K17" s="3260" t="s">
        <v>1140</v>
      </c>
      <c r="L17" s="3261"/>
      <c r="M17" s="3262"/>
      <c r="N17" s="3260" t="s">
        <v>1141</v>
      </c>
      <c r="O17" s="3261"/>
      <c r="P17" s="3262"/>
      <c r="R17" s="765" t="s">
        <v>1142</v>
      </c>
      <c r="S17" s="54"/>
    </row>
    <row r="18" spans="1:19" ht="15">
      <c r="A18" s="1525"/>
      <c r="B18" s="1522"/>
      <c r="C18" s="1538"/>
      <c r="D18" s="1539"/>
      <c r="E18" s="1540" t="s">
        <v>1143</v>
      </c>
      <c r="F18" s="1541" t="s">
        <v>1144</v>
      </c>
      <c r="G18" s="1542" t="s">
        <v>1145</v>
      </c>
      <c r="H18" s="976" t="s">
        <v>1146</v>
      </c>
      <c r="I18" s="1543" t="s">
        <v>1147</v>
      </c>
      <c r="J18" s="1067"/>
      <c r="K18" s="976" t="s">
        <v>1148</v>
      </c>
      <c r="L18" s="1544" t="s">
        <v>1149</v>
      </c>
      <c r="M18" s="798" t="s">
        <v>1150</v>
      </c>
      <c r="N18" s="976" t="s">
        <v>1148</v>
      </c>
      <c r="O18" s="1544" t="s">
        <v>1149</v>
      </c>
      <c r="P18" s="798" t="s">
        <v>1150</v>
      </c>
      <c r="R18" s="43" t="s">
        <v>1151</v>
      </c>
      <c r="S18" s="43" t="s">
        <v>1152</v>
      </c>
    </row>
    <row r="19" spans="1:19">
      <c r="A19" s="1545"/>
      <c r="B19" s="45" t="s">
        <v>1125</v>
      </c>
      <c r="C19" s="3112" t="str">
        <f>'数据-基础表'!C13</f>
        <v>住宅</v>
      </c>
      <c r="D19" s="43">
        <f>ROUND($D$3*E19/$E$3,2)</f>
        <v>19421.3</v>
      </c>
      <c r="E19" s="51">
        <f t="shared" ref="E19:E26" si="1">SUM(F19:G19)</f>
        <v>55618.469999999863</v>
      </c>
      <c r="F19" s="2554">
        <f>'数据-基础表'!I13</f>
        <v>55618.469999999863</v>
      </c>
      <c r="G19" s="1239"/>
      <c r="H19" s="635">
        <f>ROUND($D$3*I19/$E$3,2)</f>
        <v>0</v>
      </c>
      <c r="I19" s="46">
        <f t="shared" ref="I19:I26" si="2">IF($I$17="自定义",P19,M19)</f>
        <v>0</v>
      </c>
      <c r="J19" s="1067"/>
      <c r="K19" s="635">
        <f t="shared" ref="K19:K26" si="3">ROUND(E$28*E19/E$27,2)</f>
        <v>0</v>
      </c>
      <c r="L19" s="43">
        <f t="shared" ref="L19:L26" si="4">ROUND(IF(COUNTIF(C19,"*住宅*")&gt;0,E$29*E19/E$32,0),2)</f>
        <v>0</v>
      </c>
      <c r="M19" s="46">
        <f>K19+L19</f>
        <v>0</v>
      </c>
      <c r="N19" s="1546"/>
      <c r="O19" s="1547"/>
      <c r="P19" s="46">
        <f>N19+O19</f>
        <v>0</v>
      </c>
      <c r="R19" s="43">
        <f t="shared" ref="R19:S26" si="5">D19+H19</f>
        <v>19421.3</v>
      </c>
      <c r="S19" s="51">
        <f t="shared" si="5"/>
        <v>55618.469999999863</v>
      </c>
    </row>
    <row r="20" spans="1:19">
      <c r="A20" s="1545"/>
      <c r="B20" s="45" t="s">
        <v>1153</v>
      </c>
      <c r="C20" s="3112" t="str">
        <f>'数据-基础表'!C14</f>
        <v>商业</v>
      </c>
      <c r="D20" s="43">
        <f t="shared" ref="D20:D26" si="6">ROUND($D$3*E20/$E$3,2)</f>
        <v>182.39</v>
      </c>
      <c r="E20" s="51">
        <f t="shared" si="1"/>
        <v>522.33999999999992</v>
      </c>
      <c r="F20" s="2554"/>
      <c r="G20" s="1239">
        <f>'数据-基础表'!K14</f>
        <v>522.33999999999992</v>
      </c>
      <c r="H20" s="635">
        <f t="shared" ref="H20:H26" si="7">ROUND($D$3*I20/$E$3,2)</f>
        <v>0</v>
      </c>
      <c r="I20" s="46">
        <f t="shared" si="2"/>
        <v>0</v>
      </c>
      <c r="J20" s="1067"/>
      <c r="K20" s="635">
        <f t="shared" si="3"/>
        <v>0</v>
      </c>
      <c r="L20" s="43">
        <f t="shared" si="4"/>
        <v>0</v>
      </c>
      <c r="M20" s="46">
        <f t="shared" ref="M20:M26" si="8">K20+L20</f>
        <v>0</v>
      </c>
      <c r="N20" s="1546"/>
      <c r="O20" s="1547"/>
      <c r="P20" s="46">
        <f t="shared" ref="P20:P26" si="9">N20+O20</f>
        <v>0</v>
      </c>
      <c r="R20" s="43">
        <f t="shared" si="5"/>
        <v>182.39</v>
      </c>
      <c r="S20" s="51">
        <f t="shared" si="5"/>
        <v>522.33999999999992</v>
      </c>
    </row>
    <row r="21" spans="1:19">
      <c r="A21" s="1545"/>
      <c r="B21" s="45" t="s">
        <v>1153</v>
      </c>
      <c r="C21" s="3112" t="str">
        <f>'数据-基础表'!C15</f>
        <v>地下仓储</v>
      </c>
      <c r="D21" s="43">
        <f t="shared" si="6"/>
        <v>895.76</v>
      </c>
      <c r="E21" s="51">
        <f t="shared" si="1"/>
        <v>2565.2700000000004</v>
      </c>
      <c r="F21" s="2554"/>
      <c r="G21" s="1239">
        <f>'数据-基础表'!M15</f>
        <v>2565.2700000000004</v>
      </c>
      <c r="H21" s="635">
        <f t="shared" si="7"/>
        <v>0</v>
      </c>
      <c r="I21" s="46">
        <f t="shared" si="2"/>
        <v>0</v>
      </c>
      <c r="J21" s="1067"/>
      <c r="K21" s="635">
        <f t="shared" si="3"/>
        <v>0</v>
      </c>
      <c r="L21" s="43">
        <f t="shared" si="4"/>
        <v>0</v>
      </c>
      <c r="M21" s="46">
        <f t="shared" si="8"/>
        <v>0</v>
      </c>
      <c r="N21" s="1546"/>
      <c r="O21" s="1547"/>
      <c r="P21" s="46">
        <f t="shared" si="9"/>
        <v>0</v>
      </c>
      <c r="R21" s="43">
        <f t="shared" si="5"/>
        <v>895.76</v>
      </c>
      <c r="S21" s="51">
        <f t="shared" si="5"/>
        <v>2565.2700000000004</v>
      </c>
    </row>
    <row r="22" spans="1:19">
      <c r="A22" s="1545"/>
      <c r="B22" s="45" t="s">
        <v>1153</v>
      </c>
      <c r="C22" s="3113" t="str">
        <f>'数据-基础表'!C16</f>
        <v>地下车位</v>
      </c>
      <c r="D22" s="43">
        <f t="shared" si="6"/>
        <v>4805.3</v>
      </c>
      <c r="E22" s="51">
        <f t="shared" si="1"/>
        <v>13761.349999999919</v>
      </c>
      <c r="F22" s="2555"/>
      <c r="G22" s="2556">
        <f>'数据-基础表'!O16</f>
        <v>13761.349999999919</v>
      </c>
      <c r="H22" s="635">
        <f t="shared" si="7"/>
        <v>0</v>
      </c>
      <c r="I22" s="46">
        <f t="shared" si="2"/>
        <v>0</v>
      </c>
      <c r="J22" s="1067"/>
      <c r="K22" s="635">
        <f t="shared" si="3"/>
        <v>0</v>
      </c>
      <c r="L22" s="43">
        <f t="shared" si="4"/>
        <v>0</v>
      </c>
      <c r="M22" s="46">
        <f t="shared" si="8"/>
        <v>0</v>
      </c>
      <c r="N22" s="1546"/>
      <c r="O22" s="1547"/>
      <c r="P22" s="46">
        <f t="shared" si="9"/>
        <v>0</v>
      </c>
      <c r="R22" s="43">
        <f t="shared" si="5"/>
        <v>4805.3</v>
      </c>
      <c r="S22" s="51">
        <f t="shared" si="5"/>
        <v>13761.349999999919</v>
      </c>
    </row>
    <row r="23" spans="1:19">
      <c r="A23" s="1545"/>
      <c r="B23" s="45" t="s">
        <v>1153</v>
      </c>
      <c r="C23" s="3113" t="str">
        <f>'数据-基础表'!C17</f>
        <v>机械车位</v>
      </c>
      <c r="D23" s="43">
        <f>ROUND($D$3*E23/$E$3,2)</f>
        <v>658.65</v>
      </c>
      <c r="E23" s="51">
        <f>SUM(F23:G23)</f>
        <v>1886.22</v>
      </c>
      <c r="F23" s="2555"/>
      <c r="G23" s="2556">
        <f>'数据-基础表'!O17</f>
        <v>1886.22</v>
      </c>
      <c r="H23" s="635">
        <f>ROUND($D$3*I23/$E$3,2)</f>
        <v>0</v>
      </c>
      <c r="I23" s="46">
        <f t="shared" si="2"/>
        <v>0</v>
      </c>
      <c r="J23" s="1067"/>
      <c r="K23" s="635">
        <f t="shared" si="3"/>
        <v>0</v>
      </c>
      <c r="L23" s="43">
        <f t="shared" si="4"/>
        <v>0</v>
      </c>
      <c r="M23" s="46">
        <f t="shared" si="8"/>
        <v>0</v>
      </c>
      <c r="N23" s="1546"/>
      <c r="O23" s="1547"/>
      <c r="P23" s="46">
        <f t="shared" si="9"/>
        <v>0</v>
      </c>
      <c r="R23" s="43">
        <f t="shared" si="5"/>
        <v>658.65</v>
      </c>
      <c r="S23" s="51">
        <f t="shared" si="5"/>
        <v>1886.22</v>
      </c>
    </row>
    <row r="24" spans="1:19">
      <c r="A24" s="1545"/>
      <c r="B24" s="45" t="s">
        <v>1153</v>
      </c>
      <c r="C24" s="3113"/>
      <c r="D24" s="43">
        <f>ROUND($D$3*E24/$E$3,2)</f>
        <v>0</v>
      </c>
      <c r="E24" s="51">
        <f>SUM(F24:G24)</f>
        <v>0</v>
      </c>
      <c r="F24" s="2555"/>
      <c r="G24" s="2556"/>
      <c r="H24" s="635">
        <f>ROUND($D$3*I24/$E$3,2)</f>
        <v>0</v>
      </c>
      <c r="I24" s="46">
        <f t="shared" si="2"/>
        <v>0</v>
      </c>
      <c r="J24" s="1067"/>
      <c r="K24" s="635">
        <f t="shared" si="3"/>
        <v>0</v>
      </c>
      <c r="L24" s="43">
        <f t="shared" si="4"/>
        <v>0</v>
      </c>
      <c r="M24" s="46">
        <f t="shared" si="8"/>
        <v>0</v>
      </c>
      <c r="N24" s="1546"/>
      <c r="O24" s="1547"/>
      <c r="P24" s="46">
        <f t="shared" si="9"/>
        <v>0</v>
      </c>
      <c r="R24" s="43">
        <f t="shared" si="5"/>
        <v>0</v>
      </c>
      <c r="S24" s="51">
        <f t="shared" si="5"/>
        <v>0</v>
      </c>
    </row>
    <row r="25" spans="1:19">
      <c r="A25" s="1545"/>
      <c r="B25" s="45" t="s">
        <v>1153</v>
      </c>
      <c r="C25" s="3113"/>
      <c r="D25" s="43">
        <f t="shared" si="6"/>
        <v>0</v>
      </c>
      <c r="E25" s="51">
        <f t="shared" si="1"/>
        <v>0</v>
      </c>
      <c r="F25" s="2555"/>
      <c r="G25" s="2556"/>
      <c r="H25" s="42">
        <f t="shared" si="7"/>
        <v>0</v>
      </c>
      <c r="I25" s="46">
        <f t="shared" si="2"/>
        <v>0</v>
      </c>
      <c r="J25" s="1067"/>
      <c r="K25" s="635">
        <f t="shared" si="3"/>
        <v>0</v>
      </c>
      <c r="L25" s="43">
        <f t="shared" si="4"/>
        <v>0</v>
      </c>
      <c r="M25" s="46">
        <f t="shared" si="8"/>
        <v>0</v>
      </c>
      <c r="N25" s="1546"/>
      <c r="O25" s="1547"/>
      <c r="P25" s="46">
        <f t="shared" si="9"/>
        <v>0</v>
      </c>
      <c r="R25" s="43">
        <f t="shared" si="5"/>
        <v>0</v>
      </c>
      <c r="S25" s="51">
        <f t="shared" si="5"/>
        <v>0</v>
      </c>
    </row>
    <row r="26" spans="1:19">
      <c r="A26" s="1545"/>
      <c r="B26" s="45" t="s">
        <v>1153</v>
      </c>
      <c r="C26" s="53"/>
      <c r="D26" s="43">
        <f t="shared" si="6"/>
        <v>0</v>
      </c>
      <c r="E26" s="51">
        <f t="shared" si="1"/>
        <v>0</v>
      </c>
      <c r="F26" s="2555"/>
      <c r="G26" s="2556"/>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1154</v>
      </c>
      <c r="D27" s="1068">
        <f>SUM(D19:D26)</f>
        <v>25963.399999999998</v>
      </c>
      <c r="E27" s="1069">
        <f>IF(SUM(E19:E26)='数据-基础表'!BA5,SUM(E19:E26),IF(F27="地上面积有误","面积有误","地下面积有误"))</f>
        <v>74353.649999999776</v>
      </c>
      <c r="F27" s="1068">
        <f>IF(SUM(F19:F26)=E8,SUM(F19:F26),"地上面积有误")</f>
        <v>55618.469999999863</v>
      </c>
      <c r="G27" s="1070">
        <f>SUM(G19:G26)</f>
        <v>18735.17999999992</v>
      </c>
      <c r="H27" s="1071">
        <f>SUM(H19:H26)</f>
        <v>0</v>
      </c>
      <c r="I27" s="1072">
        <f>SUM(I19:I26)</f>
        <v>0</v>
      </c>
      <c r="J27" s="1067"/>
      <c r="K27" s="1073">
        <f>SUM(K19:K26)</f>
        <v>0</v>
      </c>
      <c r="L27" s="781">
        <f>SUM(L19:L26)</f>
        <v>0</v>
      </c>
      <c r="M27" s="1074">
        <f>SUM(M19:M26)</f>
        <v>0</v>
      </c>
      <c r="N27" s="1073">
        <f t="shared" ref="N27:O27" si="10">SUM(N19:N26)</f>
        <v>0</v>
      </c>
      <c r="O27" s="781">
        <f t="shared" si="10"/>
        <v>0</v>
      </c>
      <c r="P27" s="92">
        <f>SUM(P19:P26)</f>
        <v>0</v>
      </c>
      <c r="R27" s="964">
        <f>IF(SUM(R19:R26)=$D$3,SUM(R19:R26),SUM(R19:R26)&amp;"误差"&amp;ROUND(SUM(R19:R26)-$D$3,2))</f>
        <v>25963.399999999998</v>
      </c>
      <c r="S27" s="43">
        <f>IF(SUM(S19:S26)=$E$3,SUM(S19:S26),SUM(S19:S26)&amp;"误差"&amp;ROUND(SUM(S19:S26)-E3,2))</f>
        <v>74353.649999999776</v>
      </c>
    </row>
    <row r="28" spans="1:19">
      <c r="A28" s="1545"/>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5"/>
      <c r="B29" s="45" t="s">
        <v>1155</v>
      </c>
      <c r="C29" s="1551"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5"/>
      <c r="B30" s="45"/>
      <c r="C30" s="1552" t="s">
        <v>1154</v>
      </c>
      <c r="D30" s="1068">
        <f>SUM(D28:D29)</f>
        <v>0</v>
      </c>
      <c r="E30" s="1068">
        <f>SUM(E28:E29)</f>
        <v>0</v>
      </c>
      <c r="F30" s="1068">
        <f>SUM(F28:F29)</f>
        <v>0</v>
      </c>
      <c r="G30" s="1070">
        <f>SUM(G28:G29)</f>
        <v>0</v>
      </c>
      <c r="H30" s="2435"/>
      <c r="I30" s="2435"/>
      <c r="J30" s="2435"/>
      <c r="K30" s="2435"/>
      <c r="L30" s="2435"/>
      <c r="M30" s="2435"/>
      <c r="N30" s="2435"/>
      <c r="O30" s="2435"/>
      <c r="P30" s="2435"/>
    </row>
    <row r="31" spans="1:19" ht="15.75" thickBot="1">
      <c r="A31" s="1553"/>
      <c r="B31" s="94"/>
      <c r="C31" s="781" t="s">
        <v>1158</v>
      </c>
      <c r="D31" s="641">
        <f>D27+D30</f>
        <v>25963.399999999998</v>
      </c>
      <c r="E31" s="641">
        <f>E27+E30</f>
        <v>74353.649999999776</v>
      </c>
      <c r="F31" s="642">
        <f>F27+F30</f>
        <v>55618.469999999863</v>
      </c>
      <c r="G31" s="643">
        <f>G27+G30</f>
        <v>18735.17999999992</v>
      </c>
      <c r="H31" s="2435"/>
      <c r="I31" s="2435"/>
      <c r="J31" s="2435"/>
      <c r="K31" s="2435"/>
      <c r="L31" s="2435"/>
      <c r="M31" s="2435"/>
      <c r="N31" s="2435"/>
      <c r="O31" s="2435"/>
      <c r="P31" s="2435"/>
    </row>
    <row r="32" spans="1:19">
      <c r="A32" s="1522"/>
      <c r="B32" s="1522" t="s">
        <v>1159</v>
      </c>
      <c r="C32" s="1522"/>
      <c r="D32" s="1522"/>
      <c r="E32" s="986">
        <f>SUMIF(C19:C26,"*住宅*",E19:E26)</f>
        <v>55618.469999999863</v>
      </c>
      <c r="F32" s="1522"/>
      <c r="G32" s="1522"/>
      <c r="H32" s="2435"/>
      <c r="I32" s="2435"/>
      <c r="J32" s="2435"/>
      <c r="K32" s="2435"/>
      <c r="L32" s="2435"/>
      <c r="M32" s="2435"/>
      <c r="N32" s="2435"/>
      <c r="O32" s="2435"/>
      <c r="P32" s="2435"/>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M27" sqref="M27"/>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30" width="6.75" style="1557" customWidth="1"/>
    <col min="31" max="31" width="8" style="1557" customWidth="1"/>
    <col min="32" max="34" width="7.25" style="1557" customWidth="1"/>
    <col min="35" max="39" width="8" style="1557" customWidth="1"/>
    <col min="40" max="40" width="13.75" style="120"/>
    <col min="41" max="41" width="11.625" style="120" customWidth="1"/>
    <col min="42" max="42" width="9.75" style="120" customWidth="1"/>
    <col min="43" max="67" width="13.75" style="120"/>
    <col min="68" max="16384" width="13.75" style="1557"/>
  </cols>
  <sheetData>
    <row r="1" spans="1:67" ht="19.5" thickBot="1">
      <c r="A1" s="1555" t="s">
        <v>1160</v>
      </c>
      <c r="B1" s="644"/>
      <c r="C1" s="119"/>
      <c r="D1" s="1556"/>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5"/>
      <c r="AO1" s="2445"/>
      <c r="AP1" s="2445"/>
      <c r="AQ1" s="2445"/>
      <c r="AR1" s="2445"/>
    </row>
    <row r="2" spans="1:67" s="1447" customFormat="1" ht="15.75" thickBot="1">
      <c r="A2" s="1558" t="s">
        <v>1161</v>
      </c>
      <c r="B2" s="980">
        <f>项目基本情况!D3</f>
        <v>45924</v>
      </c>
      <c r="C2" s="1067"/>
      <c r="D2" s="1559"/>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5"/>
      <c r="AO2" s="2435"/>
      <c r="AP2" s="2435"/>
      <c r="AQ2" s="2435"/>
      <c r="AR2" s="2435"/>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7"/>
      <c r="D3" s="1559"/>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5"/>
      <c r="AO3" s="2435"/>
      <c r="AP3" s="2435"/>
      <c r="AQ3" s="2435"/>
      <c r="AR3" s="2435"/>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34"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35"/>
      <c r="AO4" s="2435"/>
      <c r="AP4" s="2435"/>
      <c r="AQ4" s="2435"/>
      <c r="AR4" s="2435"/>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1168</v>
      </c>
      <c r="B5" s="1568" t="s">
        <v>1169</v>
      </c>
      <c r="C5" s="1569" t="s">
        <v>1170</v>
      </c>
      <c r="D5" s="1570" t="s">
        <v>1171</v>
      </c>
      <c r="E5" s="502" t="s">
        <v>1172</v>
      </c>
      <c r="F5" s="1571" t="s">
        <v>1173</v>
      </c>
      <c r="G5" s="502" t="s">
        <v>1174</v>
      </c>
      <c r="H5" s="502" t="s">
        <v>1175</v>
      </c>
      <c r="I5" s="502" t="s">
        <v>1176</v>
      </c>
      <c r="J5" s="1243" t="s">
        <v>1177</v>
      </c>
      <c r="K5" s="1572" t="s">
        <v>1178</v>
      </c>
      <c r="L5" s="1573" t="s">
        <v>1179</v>
      </c>
      <c r="M5" s="1574" t="s">
        <v>1180</v>
      </c>
      <c r="N5" s="1575" t="s">
        <v>3553</v>
      </c>
      <c r="O5" s="1573" t="s">
        <v>1181</v>
      </c>
      <c r="P5" s="1576" t="s">
        <v>1182</v>
      </c>
      <c r="Q5" s="58" t="s">
        <v>1183</v>
      </c>
      <c r="R5" s="1577" t="s">
        <v>1184</v>
      </c>
      <c r="S5" s="1578" t="s">
        <v>1185</v>
      </c>
      <c r="T5" s="1579" t="s">
        <v>1186</v>
      </c>
      <c r="U5" s="981" t="s">
        <v>1187</v>
      </c>
      <c r="V5" s="502" t="s">
        <v>1188</v>
      </c>
      <c r="W5" s="502" t="s">
        <v>1189</v>
      </c>
      <c r="X5" s="60"/>
      <c r="Y5" s="59" t="s">
        <v>1190</v>
      </c>
      <c r="Z5" s="1097" t="s">
        <v>1187</v>
      </c>
      <c r="AA5" s="502" t="s">
        <v>1188</v>
      </c>
      <c r="AB5" s="502" t="s">
        <v>1189</v>
      </c>
      <c r="AC5" s="60"/>
      <c r="AD5" s="60" t="s">
        <v>1190</v>
      </c>
      <c r="AE5" s="981" t="s">
        <v>1191</v>
      </c>
      <c r="AF5" s="502" t="s">
        <v>1192</v>
      </c>
      <c r="AG5" s="59" t="s">
        <v>1193</v>
      </c>
      <c r="AH5" s="981" t="s">
        <v>1194</v>
      </c>
      <c r="AI5" s="1097" t="s">
        <v>1195</v>
      </c>
      <c r="AJ5" s="1097" t="s">
        <v>1196</v>
      </c>
      <c r="AK5" s="502" t="s">
        <v>1197</v>
      </c>
      <c r="AL5" s="502" t="s">
        <v>1198</v>
      </c>
      <c r="AM5" s="59" t="s">
        <v>1199</v>
      </c>
      <c r="AN5" s="1580" t="s">
        <v>1200</v>
      </c>
      <c r="AO5" s="1450" t="s">
        <v>1201</v>
      </c>
      <c r="AP5" s="964" t="s">
        <v>1202</v>
      </c>
      <c r="AQ5" s="1581" t="s">
        <v>1203</v>
      </c>
      <c r="AR5" s="1581"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7" customFormat="1" ht="14.25">
      <c r="A6" s="1582" t="str">
        <f>'数据-汇总表'!C19</f>
        <v>住宅</v>
      </c>
      <c r="B6" s="1583" t="str">
        <f>IF(A6=0,"","经营性")</f>
        <v>经营性</v>
      </c>
      <c r="C6" s="1584" t="s">
        <v>3394</v>
      </c>
      <c r="D6" s="801">
        <f>SUMIF(项目基本情况!C$12:I$12,C6,项目基本情况!C$14:I$14)</f>
        <v>70</v>
      </c>
      <c r="E6" s="800">
        <f>IF(B6="","",SUMIF(项目基本情况!C$12:I$12,C6,项目基本情况!C$13:I$13))</f>
        <v>71072</v>
      </c>
      <c r="F6" s="61">
        <f>SUMIF(项目基本情况!C$12:I$12,C6,项目基本情况!C$15:I$15)</f>
        <v>68.89</v>
      </c>
      <c r="G6" s="62">
        <f>IF(ISERROR(ROUND(POWER(1+H6,D6-F6)*(POWER(1+H6,F6)-1)/(POWER(1+H6,D6)-1),3)),0,ROUND(POWER(1+H6,D6-F6)*(POWER(1+H6,F6)-1)/(POWER(1+H6,D6)-1),3))</f>
        <v>0.998</v>
      </c>
      <c r="H6" s="689">
        <v>0.05</v>
      </c>
      <c r="I6" s="689">
        <v>5.5E-2</v>
      </c>
      <c r="J6" s="63">
        <v>7.0000000000000007E-2</v>
      </c>
      <c r="K6" s="966">
        <f>SUMIF('数据-汇总表'!C$19:C$33,A6,'数据-汇总表'!E$19:E$33)</f>
        <v>55618.469999999863</v>
      </c>
      <c r="L6" s="690">
        <v>5500</v>
      </c>
      <c r="M6" s="64">
        <f t="shared" ref="M6:M14" si="0">ROUND(K6*L6/10000,0)</f>
        <v>30590</v>
      </c>
      <c r="N6" s="688">
        <f>位置进度!M55</f>
        <v>0.33</v>
      </c>
      <c r="O6" s="64">
        <f>IF($N$5="成新度","——",ROUND(M6*N6,0))</f>
        <v>10095</v>
      </c>
      <c r="P6" s="65">
        <f>IF($N$5="成新度","——",M6-O6)</f>
        <v>20495</v>
      </c>
      <c r="Q6" s="691">
        <v>0.15</v>
      </c>
      <c r="R6" s="66">
        <f ca="1">SUMIF('数据-汇总表'!C$19:C$33,A6,'数据-汇总表'!R$19:R$27)</f>
        <v>19421.3</v>
      </c>
      <c r="S6" s="49">
        <f>IF('数据-汇总表'!$I$17="按面积比例",SUMIF('数据-汇总表'!C$19:C$33,A6,'数据-汇总表'!K$19:K$33),SUMIF('数据-汇总表'!C$19:C$33,A6,'数据-汇总表'!N$19:N$33))</f>
        <v>0</v>
      </c>
      <c r="T6" s="1088">
        <f>ROUND($L$14*S6/10000,0)</f>
        <v>0</v>
      </c>
      <c r="U6" s="3123"/>
      <c r="V6" s="67"/>
      <c r="W6" s="67"/>
      <c r="X6" s="975"/>
      <c r="Y6" s="68"/>
      <c r="Z6" s="69"/>
      <c r="AA6" s="63"/>
      <c r="AB6" s="63"/>
      <c r="AC6" s="975"/>
      <c r="AD6" s="70"/>
      <c r="AE6" s="976">
        <f ca="1">IF(AN6="",0,SUMIF(INDIRECT("'"&amp;AN6&amp;"'"&amp;"!E:E"),$AE$5,INDIRECT("'"&amp;AN6&amp;"'"&amp;"!F:F")))</f>
        <v>0</v>
      </c>
      <c r="AF6" s="74"/>
      <c r="AG6" s="128">
        <f>IF(AF6="",0,AE6-AF6)</f>
        <v>0</v>
      </c>
      <c r="AH6" s="71"/>
      <c r="AI6" s="73"/>
      <c r="AJ6" s="74"/>
      <c r="AK6" s="75"/>
      <c r="AL6" s="76"/>
      <c r="AM6" s="77"/>
      <c r="AN6" s="1585"/>
      <c r="AO6" s="50" t="e">
        <f ca="1">SUMIF(INDIRECT("'"&amp;AN6&amp;"'"&amp;"!A:A"),"总价",INDIRECT("'"&amp;AN6&amp;"'"&amp;"!B:B"))</f>
        <v>#REF!</v>
      </c>
      <c r="AP6" s="1586">
        <f>IF(C6="住宅",K6*L6,0)</f>
        <v>305901584.99999923</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t="str">
        <f>'数据-汇总表'!C20</f>
        <v>商业</v>
      </c>
      <c r="B7" s="1583" t="str">
        <f t="shared" ref="B7:B13" si="1">IF(A7=0,"","经营性")</f>
        <v>经营性</v>
      </c>
      <c r="C7" s="1584" t="s">
        <v>673</v>
      </c>
      <c r="D7" s="801">
        <f>SUMIF(项目基本情况!C$12:I$12,C7,项目基本情况!C$14:I$14)</f>
        <v>40</v>
      </c>
      <c r="E7" s="800">
        <f>IF(B7="","",SUMIF(项目基本情况!C$12:I$12,C7,项目基本情况!C$13:I$13))</f>
        <v>60115</v>
      </c>
      <c r="F7" s="61">
        <f>SUMIF(项目基本情况!C$12:I$12,C7,项目基本情况!C$15:I$15)</f>
        <v>38.869999999999997</v>
      </c>
      <c r="G7" s="62">
        <f t="shared" ref="G7:G11" si="2">IF(ISERROR(ROUND(POWER(1+H7,D7-F7)*(POWER(1+H7,F7)-1)/(POWER(1+H7,D7)-1),3)),0,ROUND(POWER(1+H7,D7-F7)*(POWER(1+H7,F7)-1)/(POWER(1+H7,D7)-1),3))</f>
        <v>0.99199999999999999</v>
      </c>
      <c r="H7" s="689">
        <v>5.5E-2</v>
      </c>
      <c r="I7" s="689">
        <v>0.06</v>
      </c>
      <c r="J7" s="63">
        <v>7.0000000000000007E-2</v>
      </c>
      <c r="K7" s="966">
        <f>SUMIF('数据-汇总表'!C$19:C$33,A7,'数据-汇总表'!E$19:E$33)</f>
        <v>522.33999999999992</v>
      </c>
      <c r="L7" s="690">
        <v>4500</v>
      </c>
      <c r="M7" s="64">
        <f t="shared" si="0"/>
        <v>235</v>
      </c>
      <c r="N7" s="688">
        <f>N6</f>
        <v>0.33</v>
      </c>
      <c r="O7" s="64">
        <f t="shared" ref="O7:O14" si="3">IF($N$5="成新度","——",ROUND(M7*N7,0))</f>
        <v>78</v>
      </c>
      <c r="P7" s="65">
        <f t="shared" ref="P7:P14" si="4">IF($N$5="成新度","——",M7-O7)</f>
        <v>157</v>
      </c>
      <c r="Q7" s="691">
        <v>0.15</v>
      </c>
      <c r="R7" s="66">
        <f ca="1">SUMIF('数据-汇总表'!C$19:C$33,A7,'数据-汇总表'!R$19:R$27)</f>
        <v>182.39</v>
      </c>
      <c r="S7" s="49">
        <f>IF('数据-汇总表'!$I$17="按面积比例",SUMIF('数据-汇总表'!C$19:C$33,A7,'数据-汇总表'!K$19:K$33),SUMIF('数据-汇总表'!C$19:C$33,A7,'数据-汇总表'!N$19:N$33))</f>
        <v>0</v>
      </c>
      <c r="T7" s="1088">
        <f t="shared" ref="T7:T13" si="5">ROUND($L$14*S7/10000,0)</f>
        <v>0</v>
      </c>
      <c r="U7" s="3123">
        <v>2</v>
      </c>
      <c r="V7" s="67">
        <v>0.02</v>
      </c>
      <c r="W7" s="67">
        <v>0.1</v>
      </c>
      <c r="X7" s="975"/>
      <c r="Y7" s="68">
        <v>1</v>
      </c>
      <c r="Z7" s="69"/>
      <c r="AA7" s="63"/>
      <c r="AB7" s="63"/>
      <c r="AC7" s="975"/>
      <c r="AD7" s="70"/>
      <c r="AE7" s="976">
        <f t="shared" ref="AE7:AE13" ca="1" si="6">IF(AN7="",0,SUMIF(INDIRECT("'"&amp;AN7&amp;"'"&amp;"!E:E"),$AE$5,INDIRECT("'"&amp;AN7&amp;"'"&amp;"!F:F")))</f>
        <v>36.869999999999997</v>
      </c>
      <c r="AF7" s="74"/>
      <c r="AG7" s="128">
        <f t="shared" ref="AG7:AG13" si="7">IF(AF7="",0,AE7-AF7)</f>
        <v>0</v>
      </c>
      <c r="AH7" s="71"/>
      <c r="AI7" s="73">
        <v>365</v>
      </c>
      <c r="AJ7" s="74"/>
      <c r="AK7" s="75">
        <v>2E-3</v>
      </c>
      <c r="AL7" s="76">
        <v>1E-3</v>
      </c>
      <c r="AM7" s="77">
        <v>0.01</v>
      </c>
      <c r="AN7" s="1585" t="s">
        <v>3577</v>
      </c>
      <c r="AO7" s="50">
        <f t="shared" ref="AO7:AO13" ca="1" si="8">SUMIF(INDIRECT("'"&amp;AN7&amp;"'"&amp;"!A:A"),"总价",INDIRECT("'"&amp;AN7&amp;"'"&amp;"!B:B"))</f>
        <v>515.26350000000002</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t="str">
        <f>'数据-汇总表'!C21</f>
        <v>地下仓储</v>
      </c>
      <c r="B8" s="1583" t="str">
        <f t="shared" si="1"/>
        <v>经营性</v>
      </c>
      <c r="C8" s="1584" t="s">
        <v>3322</v>
      </c>
      <c r="D8" s="801">
        <f>SUMIF(项目基本情况!C$12:I$12,C8,项目基本情况!C$14:I$14)</f>
        <v>50</v>
      </c>
      <c r="E8" s="800">
        <f>IF(B8="","",SUMIF(项目基本情况!C$12:I$12,C8,项目基本情况!C$13:I$13))</f>
        <v>63767</v>
      </c>
      <c r="F8" s="61">
        <f>SUMIF(项目基本情况!C$12:I$12,C8,项目基本情况!C$15:I$15)</f>
        <v>48.88</v>
      </c>
      <c r="G8" s="62">
        <f t="shared" si="2"/>
        <v>0.995</v>
      </c>
      <c r="H8" s="689">
        <v>0.05</v>
      </c>
      <c r="I8" s="689">
        <v>5.5E-2</v>
      </c>
      <c r="J8" s="63">
        <v>7.0000000000000007E-2</v>
      </c>
      <c r="K8" s="966">
        <f>SUMIF('数据-汇总表'!C$19:C$33,A8,'数据-汇总表'!E$19:E$33)</f>
        <v>2565.2700000000004</v>
      </c>
      <c r="L8" s="690">
        <v>3500</v>
      </c>
      <c r="M8" s="64">
        <f>ROUND(K8*L8/10000,0)</f>
        <v>898</v>
      </c>
      <c r="N8" s="688">
        <f t="shared" ref="N8:N14" si="12">N7</f>
        <v>0.33</v>
      </c>
      <c r="O8" s="64">
        <f t="shared" si="3"/>
        <v>296</v>
      </c>
      <c r="P8" s="65">
        <f t="shared" si="4"/>
        <v>602</v>
      </c>
      <c r="Q8" s="691">
        <v>0.05</v>
      </c>
      <c r="R8" s="66">
        <f ca="1">SUMIF('数据-汇总表'!C$19:C$33,A8,'数据-汇总表'!R$19:R$27)</f>
        <v>895.76</v>
      </c>
      <c r="S8" s="49">
        <f>IF('数据-汇总表'!$I$17="按面积比例",SUMIF('数据-汇总表'!C$19:C$33,A8,'数据-汇总表'!K$19:K$33),SUMIF('数据-汇总表'!C$19:C$33,A8,'数据-汇总表'!N$19:N$33))</f>
        <v>0</v>
      </c>
      <c r="T8" s="1088">
        <f t="shared" si="5"/>
        <v>0</v>
      </c>
      <c r="U8" s="3124"/>
      <c r="V8" s="692"/>
      <c r="W8" s="692"/>
      <c r="X8" s="975"/>
      <c r="Y8" s="68"/>
      <c r="Z8" s="69"/>
      <c r="AA8" s="63"/>
      <c r="AB8" s="63"/>
      <c r="AC8" s="975"/>
      <c r="AD8" s="70"/>
      <c r="AE8" s="976">
        <f t="shared" ca="1" si="6"/>
        <v>0</v>
      </c>
      <c r="AF8" s="74"/>
      <c r="AG8" s="128">
        <f t="shared" si="7"/>
        <v>0</v>
      </c>
      <c r="AH8" s="693"/>
      <c r="AI8" s="73">
        <v>365</v>
      </c>
      <c r="AJ8" s="74"/>
      <c r="AK8" s="75">
        <v>2E-3</v>
      </c>
      <c r="AL8" s="76">
        <v>1E-3</v>
      </c>
      <c r="AM8" s="77">
        <v>0.01</v>
      </c>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t="str">
        <f>'数据-汇总表'!C22</f>
        <v>地下车位</v>
      </c>
      <c r="B9" s="1583" t="str">
        <f t="shared" si="1"/>
        <v>经营性</v>
      </c>
      <c r="C9" s="1584" t="s">
        <v>3321</v>
      </c>
      <c r="D9" s="801">
        <f>SUMIF(项目基本情况!C$12:I$12,C9,项目基本情况!C$14:I$14)</f>
        <v>50</v>
      </c>
      <c r="E9" s="800">
        <f>IF(B9="","",SUMIF(项目基本情况!C$12:I$12,C9,项目基本情况!C$13:I$13))</f>
        <v>63767</v>
      </c>
      <c r="F9" s="61">
        <f>SUMIF(项目基本情况!C$12:I$12,C9,项目基本情况!C$15:I$15)</f>
        <v>48.88</v>
      </c>
      <c r="G9" s="62">
        <f t="shared" si="2"/>
        <v>0.995</v>
      </c>
      <c r="H9" s="689">
        <v>0.05</v>
      </c>
      <c r="I9" s="689">
        <v>5.5E-2</v>
      </c>
      <c r="J9" s="63">
        <v>7.0000000000000007E-2</v>
      </c>
      <c r="K9" s="966">
        <f>SUMIF('数据-汇总表'!C$19:C$33,A9,'数据-汇总表'!E$19:E$33)</f>
        <v>13761.349999999919</v>
      </c>
      <c r="L9" s="690">
        <v>3500</v>
      </c>
      <c r="M9" s="64">
        <f t="shared" si="0"/>
        <v>4816</v>
      </c>
      <c r="N9" s="688">
        <f t="shared" si="12"/>
        <v>0.33</v>
      </c>
      <c r="O9" s="64">
        <f t="shared" si="3"/>
        <v>1589</v>
      </c>
      <c r="P9" s="65">
        <f t="shared" si="4"/>
        <v>3227</v>
      </c>
      <c r="Q9" s="78">
        <v>0.05</v>
      </c>
      <c r="R9" s="66">
        <f ca="1">SUMIF('数据-汇总表'!C$19:C$33,A9,'数据-汇总表'!R$19:R$27)</f>
        <v>4805.3</v>
      </c>
      <c r="S9" s="49">
        <f>IF('数据-汇总表'!$I$17="按面积比例",SUMIF('数据-汇总表'!C$19:C$33,A9,'数据-汇总表'!K$19:K$33),SUMIF('数据-汇总表'!C$19:C$33,A9,'数据-汇总表'!N$19:N$33))</f>
        <v>0</v>
      </c>
      <c r="T9" s="1088">
        <f t="shared" si="5"/>
        <v>0</v>
      </c>
      <c r="U9" s="3123"/>
      <c r="V9" s="67"/>
      <c r="W9" s="67"/>
      <c r="X9" s="975"/>
      <c r="Y9" s="68"/>
      <c r="Z9" s="69"/>
      <c r="AA9" s="63"/>
      <c r="AB9" s="63"/>
      <c r="AC9" s="975"/>
      <c r="AD9" s="70"/>
      <c r="AE9" s="976">
        <f t="shared" ca="1" si="6"/>
        <v>0</v>
      </c>
      <c r="AF9" s="74"/>
      <c r="AG9" s="128">
        <f t="shared" si="7"/>
        <v>0</v>
      </c>
      <c r="AH9" s="71">
        <f>面积清单!V540</f>
        <v>539</v>
      </c>
      <c r="AI9" s="73">
        <v>365</v>
      </c>
      <c r="AJ9" s="74"/>
      <c r="AK9" s="75">
        <v>2E-3</v>
      </c>
      <c r="AL9" s="76">
        <v>1E-3</v>
      </c>
      <c r="AM9" s="77">
        <v>0.01</v>
      </c>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c r="A10" s="1582" t="str">
        <f>'数据-汇总表'!C23</f>
        <v>机械车位</v>
      </c>
      <c r="B10" s="1583" t="str">
        <f t="shared" si="1"/>
        <v>经营性</v>
      </c>
      <c r="C10" s="1584" t="s">
        <v>3321</v>
      </c>
      <c r="D10" s="801">
        <f>SUMIF(项目基本情况!C$12:I$12,C10,项目基本情况!C$14:I$14)</f>
        <v>50</v>
      </c>
      <c r="E10" s="800">
        <f>IF(B10="","",SUMIF(项目基本情况!C$12:I$12,C10,项目基本情况!C$13:I$13))</f>
        <v>63767</v>
      </c>
      <c r="F10" s="61">
        <f>SUMIF(项目基本情况!C$12:I$12,C10,项目基本情况!C$15:I$15)</f>
        <v>48.88</v>
      </c>
      <c r="G10" s="62">
        <f t="shared" si="2"/>
        <v>0.995</v>
      </c>
      <c r="H10" s="689">
        <v>0.05</v>
      </c>
      <c r="I10" s="689">
        <v>5.5E-2</v>
      </c>
      <c r="J10" s="63">
        <v>7.0000000000000007E-2</v>
      </c>
      <c r="K10" s="966">
        <f>SUMIF('数据-汇总表'!C$19:C$33,A10,'数据-汇总表'!E$19:E$33)</f>
        <v>1886.22</v>
      </c>
      <c r="L10" s="690">
        <v>3500</v>
      </c>
      <c r="M10" s="64">
        <f t="shared" si="0"/>
        <v>660</v>
      </c>
      <c r="N10" s="688">
        <f t="shared" si="12"/>
        <v>0.33</v>
      </c>
      <c r="O10" s="64">
        <f t="shared" si="3"/>
        <v>218</v>
      </c>
      <c r="P10" s="65">
        <f t="shared" si="4"/>
        <v>442</v>
      </c>
      <c r="Q10" s="78">
        <v>0.05</v>
      </c>
      <c r="R10" s="66">
        <f ca="1">SUMIF('数据-汇总表'!C$19:C$33,A10,'数据-汇总表'!R$19:R$27)</f>
        <v>658.65</v>
      </c>
      <c r="S10" s="49">
        <f>IF('数据-汇总表'!$I$17="按面积比例",SUMIF('数据-汇总表'!C$19:C$33,A10,'数据-汇总表'!K$19:K$33),SUMIF('数据-汇总表'!C$19:C$33,A10,'数据-汇总表'!N$19:N$33))</f>
        <v>0</v>
      </c>
      <c r="T10" s="1088">
        <f t="shared" si="5"/>
        <v>0</v>
      </c>
      <c r="U10" s="3123"/>
      <c r="V10" s="67"/>
      <c r="W10" s="67"/>
      <c r="X10" s="975"/>
      <c r="Y10" s="68"/>
      <c r="Z10" s="69"/>
      <c r="AA10" s="63"/>
      <c r="AB10" s="63"/>
      <c r="AC10" s="975"/>
      <c r="AD10" s="70"/>
      <c r="AE10" s="976">
        <f t="shared" ca="1" si="6"/>
        <v>0</v>
      </c>
      <c r="AF10" s="74"/>
      <c r="AG10" s="128">
        <f t="shared" si="7"/>
        <v>0</v>
      </c>
      <c r="AH10" s="71">
        <f>面积清单!H27</f>
        <v>7</v>
      </c>
      <c r="AI10" s="73">
        <v>365</v>
      </c>
      <c r="AJ10" s="74"/>
      <c r="AK10" s="75">
        <v>2E-3</v>
      </c>
      <c r="AL10" s="76">
        <v>1E-3</v>
      </c>
      <c r="AM10" s="77">
        <v>0.01</v>
      </c>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hidden="1">
      <c r="A11" s="1582">
        <f>'数据-汇总表'!C24</f>
        <v>0</v>
      </c>
      <c r="B11" s="1583" t="str">
        <f t="shared" si="1"/>
        <v/>
      </c>
      <c r="C11" s="1584"/>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690">
        <v>3500</v>
      </c>
      <c r="M11" s="64">
        <f t="shared" si="0"/>
        <v>0</v>
      </c>
      <c r="N11" s="688">
        <f t="shared" si="12"/>
        <v>0.33</v>
      </c>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23"/>
      <c r="V11" s="63"/>
      <c r="W11" s="63"/>
      <c r="X11" s="975"/>
      <c r="Y11" s="68"/>
      <c r="Z11" s="79"/>
      <c r="AA11" s="63"/>
      <c r="AB11" s="63"/>
      <c r="AC11" s="975"/>
      <c r="AD11" s="70"/>
      <c r="AE11" s="976">
        <f t="shared" ca="1" si="6"/>
        <v>0</v>
      </c>
      <c r="AF11" s="74"/>
      <c r="AG11" s="128">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hidden="1">
      <c r="A12" s="1582">
        <f>'数据-汇总表'!C25</f>
        <v>0</v>
      </c>
      <c r="B12" s="1583" t="str">
        <f t="shared" si="1"/>
        <v/>
      </c>
      <c r="C12" s="1584"/>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690">
        <v>3500</v>
      </c>
      <c r="M12" s="64">
        <f>ROUND(K12*L12/10000,0)</f>
        <v>0</v>
      </c>
      <c r="N12" s="688">
        <f t="shared" si="12"/>
        <v>0.33</v>
      </c>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23"/>
      <c r="V12" s="63"/>
      <c r="W12" s="63"/>
      <c r="X12" s="975"/>
      <c r="Y12" s="68"/>
      <c r="Z12" s="79"/>
      <c r="AA12" s="63"/>
      <c r="AB12" s="63"/>
      <c r="AC12" s="975"/>
      <c r="AD12" s="70"/>
      <c r="AE12" s="976">
        <f t="shared" ca="1" si="6"/>
        <v>0</v>
      </c>
      <c r="AF12" s="74"/>
      <c r="AG12" s="128">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hidden="1">
      <c r="A13" s="1582">
        <f>'数据-汇总表'!C26</f>
        <v>0</v>
      </c>
      <c r="B13" s="1583" t="str">
        <f t="shared" si="1"/>
        <v/>
      </c>
      <c r="C13" s="1584"/>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690">
        <v>3500</v>
      </c>
      <c r="M13" s="64">
        <f>ROUND(K13*L13/10000,0)</f>
        <v>0</v>
      </c>
      <c r="N13" s="688">
        <f t="shared" si="12"/>
        <v>0.33</v>
      </c>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5"/>
      <c r="V13" s="67"/>
      <c r="W13" s="67"/>
      <c r="X13" s="975"/>
      <c r="Y13" s="68"/>
      <c r="Z13" s="69"/>
      <c r="AA13" s="63"/>
      <c r="AB13" s="63"/>
      <c r="AC13" s="975"/>
      <c r="AD13" s="70"/>
      <c r="AE13" s="976">
        <f t="shared" ca="1" si="6"/>
        <v>0</v>
      </c>
      <c r="AF13" s="74"/>
      <c r="AG13" s="128">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1205</v>
      </c>
      <c r="B14" s="1583" t="s">
        <v>1206</v>
      </c>
      <c r="C14" s="1588" t="s">
        <v>1205</v>
      </c>
      <c r="D14" s="801"/>
      <c r="E14" s="800"/>
      <c r="F14" s="61"/>
      <c r="G14" s="62"/>
      <c r="H14" s="965"/>
      <c r="I14" s="965"/>
      <c r="J14" s="965"/>
      <c r="K14" s="966">
        <f>SUMIF('数据-汇总表'!C$19:C$33,A14,'数据-汇总表'!E$19:E$33)</f>
        <v>0</v>
      </c>
      <c r="L14" s="690">
        <v>3500</v>
      </c>
      <c r="M14" s="64">
        <f t="shared" si="0"/>
        <v>0</v>
      </c>
      <c r="N14" s="688">
        <f t="shared" si="12"/>
        <v>0.33</v>
      </c>
      <c r="O14" s="64">
        <f t="shared" si="3"/>
        <v>0</v>
      </c>
      <c r="P14" s="65">
        <f t="shared" si="4"/>
        <v>0</v>
      </c>
      <c r="Q14" s="969"/>
      <c r="R14" s="66"/>
      <c r="S14" s="49"/>
      <c r="T14" s="1088"/>
      <c r="U14" s="635"/>
      <c r="V14" s="971"/>
      <c r="W14" s="971"/>
      <c r="X14" s="972"/>
      <c r="Y14" s="973"/>
      <c r="Z14" s="54"/>
      <c r="AA14" s="974"/>
      <c r="AB14" s="974"/>
      <c r="AC14" s="975"/>
      <c r="AD14" s="972"/>
      <c r="AE14" s="976"/>
      <c r="AF14" s="50"/>
      <c r="AG14" s="128"/>
      <c r="AH14" s="976"/>
      <c r="AI14" s="1262"/>
      <c r="AJ14" s="50"/>
      <c r="AK14" s="977"/>
      <c r="AL14" s="978"/>
      <c r="AM14" s="979"/>
      <c r="AN14" s="2445"/>
      <c r="AO14" s="2435"/>
      <c r="AP14" s="2435"/>
      <c r="AQ14" s="2435"/>
      <c r="AR14" s="2435"/>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1207</v>
      </c>
      <c r="B15" s="1583" t="s">
        <v>1206</v>
      </c>
      <c r="C15" s="1588" t="s">
        <v>1208</v>
      </c>
      <c r="D15" s="801"/>
      <c r="E15" s="800"/>
      <c r="F15" s="61"/>
      <c r="G15" s="62"/>
      <c r="H15" s="965"/>
      <c r="I15" s="965"/>
      <c r="J15" s="965"/>
      <c r="K15" s="966">
        <f>SUMIF('数据-汇总表'!C$19:C$33,A15,'数据-汇总表'!E$19:E$33)</f>
        <v>0</v>
      </c>
      <c r="L15" s="967"/>
      <c r="M15" s="64"/>
      <c r="N15" s="968"/>
      <c r="O15" s="64"/>
      <c r="P15" s="65"/>
      <c r="Q15" s="969"/>
      <c r="R15" s="66"/>
      <c r="S15" s="49"/>
      <c r="T15" s="1088"/>
      <c r="U15" s="635"/>
      <c r="V15" s="971"/>
      <c r="W15" s="971"/>
      <c r="X15" s="972"/>
      <c r="Y15" s="973"/>
      <c r="Z15" s="54"/>
      <c r="AA15" s="974"/>
      <c r="AB15" s="974"/>
      <c r="AC15" s="975"/>
      <c r="AD15" s="972"/>
      <c r="AE15" s="976"/>
      <c r="AF15" s="50"/>
      <c r="AG15" s="128"/>
      <c r="AH15" s="976"/>
      <c r="AI15" s="1262"/>
      <c r="AJ15" s="50"/>
      <c r="AK15" s="977"/>
      <c r="AL15" s="978"/>
      <c r="AM15" s="979"/>
      <c r="AN15" s="2445"/>
      <c r="AO15" s="2435"/>
      <c r="AP15" s="2435"/>
      <c r="AQ15" s="2435"/>
      <c r="AR15" s="2435"/>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1209</v>
      </c>
      <c r="B16" s="80"/>
      <c r="C16" s="779"/>
      <c r="D16" s="1590"/>
      <c r="E16" s="80"/>
      <c r="F16" s="80"/>
      <c r="G16" s="81">
        <f>ROUND(SUMPRODUCT(G6:G13,K6:K13)/SUMPRODUCT((G6:G13&gt;0)*(K6:K13)),3)</f>
        <v>0.997</v>
      </c>
      <c r="H16" s="82">
        <f>ROUND(SUMPRODUCT(H6:H13,K6:K13)/SUMPRODUCT((H6:H13&gt;0)*(K6:K13)),3)</f>
        <v>0.05</v>
      </c>
      <c r="I16" s="83"/>
      <c r="J16" s="83"/>
      <c r="K16" s="84">
        <f>SUM(K6:K15)</f>
        <v>74353.649999999776</v>
      </c>
      <c r="L16" s="85">
        <f>ROUND(M16*10000/SUM(K6:K14),0)</f>
        <v>5003</v>
      </c>
      <c r="M16" s="85">
        <f>SUM(M6:M14)</f>
        <v>37199</v>
      </c>
      <c r="N16" s="86">
        <f>ROUND(SUMPRODUCT(M6:M14,N6:N14)/M16,3)</f>
        <v>0.33</v>
      </c>
      <c r="O16" s="85">
        <f>SUM(O6:O14)</f>
        <v>12276</v>
      </c>
      <c r="P16" s="85">
        <f>SUM(P6:P14)</f>
        <v>24923</v>
      </c>
      <c r="Q16" s="87">
        <f>ROUND(SUMPRODUCT(Q6:Q13,K6:K13)/SUMPRODUCT((Q6:Q13&gt;0)*(K6:K13)),2)</f>
        <v>0.13</v>
      </c>
      <c r="R16" s="970">
        <f ca="1">SUM(R6:R13)</f>
        <v>25963.399999999998</v>
      </c>
      <c r="S16" s="88">
        <f>SUM(S6:S13)</f>
        <v>0</v>
      </c>
      <c r="T16" s="89">
        <f>IF(SUMIF(T6:T13,"&lt;9E307")=M14,SUMIF(T6:T13,"&lt;9E307"),"有误，请检查")</f>
        <v>0</v>
      </c>
      <c r="U16" s="90"/>
      <c r="V16" s="91"/>
      <c r="W16" s="91"/>
      <c r="X16" s="94"/>
      <c r="Y16" s="92"/>
      <c r="Z16" s="93"/>
      <c r="AA16" s="91"/>
      <c r="AB16" s="91"/>
      <c r="AC16" s="94"/>
      <c r="AD16" s="94"/>
      <c r="AE16" s="90"/>
      <c r="AF16" s="91"/>
      <c r="AG16" s="92"/>
      <c r="AH16" s="90"/>
      <c r="AI16" s="93"/>
      <c r="AJ16" s="93"/>
      <c r="AK16" s="91"/>
      <c r="AL16" s="91"/>
      <c r="AM16" s="92"/>
      <c r="AN16" s="2445"/>
      <c r="AO16" s="2435"/>
      <c r="AP16" s="2435"/>
      <c r="AQ16" s="2435"/>
      <c r="AR16" s="2435"/>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2" t="s">
        <v>1211</v>
      </c>
      <c r="B19" s="95">
        <v>0</v>
      </c>
      <c r="C19" s="2557" t="s">
        <v>2292</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3" t="s">
        <v>1212</v>
      </c>
      <c r="B20" s="96">
        <v>3</v>
      </c>
      <c r="C20" s="2558" t="s">
        <v>2290</v>
      </c>
      <c r="D20" s="2448"/>
      <c r="E20" s="2435"/>
      <c r="F20" s="2435"/>
      <c r="G20" s="2435"/>
      <c r="H20" s="2435"/>
      <c r="I20" s="2435"/>
      <c r="J20" s="2435"/>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4" t="s">
        <v>1213</v>
      </c>
      <c r="B21" s="96">
        <v>1</v>
      </c>
      <c r="C21" s="2435"/>
      <c r="D21" s="2448"/>
      <c r="E21" s="2435"/>
      <c r="F21" s="2435"/>
      <c r="G21" s="2435"/>
      <c r="H21" s="2435"/>
      <c r="I21" s="2435"/>
      <c r="J21" s="2435"/>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3" t="s">
        <v>1214</v>
      </c>
      <c r="B22" s="97">
        <f>B19+B20</f>
        <v>3</v>
      </c>
      <c r="C22" s="2435"/>
      <c r="D22" s="2448"/>
      <c r="E22" s="2435"/>
      <c r="F22" s="2435"/>
      <c r="G22" s="2435"/>
      <c r="H22" s="2435"/>
      <c r="I22" s="2435"/>
      <c r="J22" s="2435"/>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4" t="s">
        <v>1215</v>
      </c>
      <c r="B23" s="97">
        <f>B19+B21</f>
        <v>1</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5" t="s">
        <v>1216</v>
      </c>
      <c r="B24" s="98">
        <f>B20-B21</f>
        <v>2</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5"/>
      <c r="B25" s="1538"/>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58" t="s">
        <v>1217</v>
      </c>
      <c r="B26" s="1596" t="s">
        <v>1218</v>
      </c>
      <c r="C26" s="2449" t="s">
        <v>1219</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597" t="s">
        <v>1220</v>
      </c>
      <c r="B27" s="99">
        <v>160</v>
      </c>
      <c r="C27" s="2559" t="s">
        <v>2294</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598" t="s">
        <v>1221</v>
      </c>
      <c r="B28" s="101">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599" t="s">
        <v>1222</v>
      </c>
      <c r="B29" s="103">
        <v>0</v>
      </c>
      <c r="C29" s="2560" t="s">
        <v>2284</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0" t="s">
        <v>1223</v>
      </c>
      <c r="B30" s="636">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598" t="s">
        <v>1224</v>
      </c>
      <c r="B31" s="102">
        <f>B30-B32</f>
        <v>180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1" t="s">
        <v>1225</v>
      </c>
      <c r="B32" s="637">
        <v>20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7" t="s">
        <v>1226</v>
      </c>
      <c r="B33" s="638">
        <v>0.05</v>
      </c>
      <c r="C33" s="2561" t="s">
        <v>3371</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598" t="s">
        <v>1227</v>
      </c>
      <c r="B34" s="104">
        <v>0.05</v>
      </c>
      <c r="C34" s="2561" t="s">
        <v>2285</v>
      </c>
      <c r="D34" s="2456" t="s">
        <v>2291</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598" t="s">
        <v>1228</v>
      </c>
      <c r="B35" s="101">
        <v>200</v>
      </c>
      <c r="C35" s="2561" t="s">
        <v>2286</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599" t="s">
        <v>1229</v>
      </c>
      <c r="B36" s="105">
        <v>0.02</v>
      </c>
      <c r="C36" s="2561" t="s">
        <v>3389</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0" t="s">
        <v>1230</v>
      </c>
      <c r="B37" s="106">
        <v>0.02</v>
      </c>
      <c r="C37" s="2561" t="s">
        <v>3372</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598" t="s">
        <v>1231</v>
      </c>
      <c r="B38" s="104">
        <v>0.02</v>
      </c>
      <c r="C38" s="2561" t="s">
        <v>3373</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1" t="s">
        <v>1232</v>
      </c>
      <c r="B39" s="307">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2300</v>
      </c>
      <c r="B40" s="1011">
        <f ca="1">IF(A40="利息：取LPR",存贷款利率!G1,存贷款利率!G1+C40)</f>
        <v>3.2500000000000001E-2</v>
      </c>
      <c r="C40" s="2569"/>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7" t="s">
        <v>1233</v>
      </c>
      <c r="B41" s="107">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2" t="s">
        <v>1234</v>
      </c>
      <c r="B42" s="108">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2" t="s">
        <v>1235</v>
      </c>
      <c r="B43" s="109">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3" t="s">
        <v>1236</v>
      </c>
      <c r="B44" s="110">
        <v>7.0000000000000007E-2</v>
      </c>
      <c r="C44" s="2561" t="s">
        <v>3374</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3" t="s">
        <v>1237</v>
      </c>
      <c r="B45" s="108">
        <v>0.03</v>
      </c>
      <c r="C45" s="2560" t="s">
        <v>2287</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3" t="s">
        <v>1238</v>
      </c>
      <c r="B46" s="108">
        <v>0.02</v>
      </c>
      <c r="C46" s="2560" t="s">
        <v>2288</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4" t="s">
        <v>1239</v>
      </c>
      <c r="B47" s="111">
        <v>0</v>
      </c>
      <c r="C47" s="2563" t="s">
        <v>2295</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5" t="s">
        <v>1240</v>
      </c>
      <c r="B48" s="112">
        <v>0.03</v>
      </c>
      <c r="C48" s="2560" t="s">
        <v>2287</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1" t="s">
        <v>1241</v>
      </c>
      <c r="B49" s="108">
        <v>5.0000000000000001E-4</v>
      </c>
      <c r="C49" s="2560" t="s">
        <v>2289</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6" t="s">
        <v>1242</v>
      </c>
      <c r="B50" s="113">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599" t="s">
        <v>1243</v>
      </c>
      <c r="B51" s="114">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6" t="s">
        <v>1244</v>
      </c>
      <c r="B52" s="115">
        <f>SUMIF(A54:A63,B53,B54:B63)</f>
        <v>1.5</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598" t="s">
        <v>1245</v>
      </c>
      <c r="B53" s="1607" t="s">
        <v>29</v>
      </c>
      <c r="C53" s="2436" t="s">
        <v>1246</v>
      </c>
      <c r="D53" s="2562" t="s">
        <v>2293</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08" t="s">
        <v>1247</v>
      </c>
      <c r="B54" s="72">
        <v>30</v>
      </c>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08" t="s">
        <v>1248</v>
      </c>
      <c r="B55" s="72">
        <v>24</v>
      </c>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08" t="s">
        <v>1249</v>
      </c>
      <c r="B56" s="72">
        <v>18</v>
      </c>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08" t="s">
        <v>1250</v>
      </c>
      <c r="B57" s="72">
        <v>12</v>
      </c>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08" t="s">
        <v>1251</v>
      </c>
      <c r="B58" s="72">
        <v>3</v>
      </c>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08" t="s">
        <v>1252</v>
      </c>
      <c r="B59" s="72">
        <v>1.5</v>
      </c>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08"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08"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08"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09" t="s">
        <v>1256</v>
      </c>
      <c r="B63" s="116"/>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2"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2"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2"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2"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2"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2" customFormat="1">
      <c r="A69" s="1610"/>
      <c r="D69" s="1611"/>
      <c r="K69" s="685"/>
      <c r="L69" s="685"/>
    </row>
    <row r="70" spans="1:44" s="682" customFormat="1">
      <c r="A70" s="1610"/>
      <c r="D70" s="1611"/>
      <c r="K70" s="685"/>
      <c r="L70" s="685"/>
    </row>
    <row r="71" spans="1:44" s="682" customFormat="1">
      <c r="A71" s="1610"/>
      <c r="D71" s="1611"/>
      <c r="K71" s="685"/>
      <c r="L71" s="685"/>
    </row>
    <row r="72" spans="1:44" s="682" customFormat="1">
      <c r="A72" s="1610"/>
      <c r="D72" s="1611"/>
      <c r="K72" s="685"/>
      <c r="L72" s="685"/>
    </row>
    <row r="73" spans="1:44" s="682" customFormat="1">
      <c r="A73" s="1610"/>
      <c r="D73" s="1611"/>
      <c r="K73" s="685"/>
      <c r="L73" s="685"/>
    </row>
    <row r="74" spans="1:44" s="682" customFormat="1">
      <c r="A74" s="1610"/>
      <c r="D74" s="1611"/>
      <c r="K74" s="685"/>
      <c r="L74" s="685"/>
    </row>
    <row r="75" spans="1:44" s="682" customFormat="1">
      <c r="A75" s="1610"/>
      <c r="D75" s="1611"/>
      <c r="K75" s="685"/>
      <c r="L75" s="685"/>
    </row>
    <row r="76" spans="1:44" s="682" customFormat="1">
      <c r="A76" s="1610"/>
      <c r="D76" s="1611"/>
      <c r="K76" s="685"/>
      <c r="L76" s="685"/>
    </row>
    <row r="77" spans="1:44" s="682" customFormat="1">
      <c r="A77" s="1610"/>
      <c r="D77" s="1611"/>
      <c r="K77" s="685"/>
      <c r="L77" s="685"/>
    </row>
    <row r="78" spans="1:44" s="682" customFormat="1">
      <c r="A78" s="1610"/>
      <c r="D78" s="1611"/>
      <c r="K78" s="685"/>
      <c r="L78" s="685"/>
    </row>
    <row r="79" spans="1:44" s="682" customFormat="1">
      <c r="A79" s="1610"/>
      <c r="D79" s="1611"/>
      <c r="K79" s="685"/>
      <c r="L79" s="685"/>
    </row>
    <row r="80" spans="1:44" s="682" customFormat="1">
      <c r="A80" s="1610"/>
      <c r="D80" s="1611"/>
      <c r="K80" s="685"/>
      <c r="L80" s="685"/>
    </row>
    <row r="81" spans="1:12" s="682" customFormat="1">
      <c r="A81" s="1610"/>
      <c r="D81" s="1611"/>
      <c r="K81" s="685"/>
      <c r="L81" s="685"/>
    </row>
    <row r="82" spans="1:12" s="682" customFormat="1">
      <c r="A82" s="1610"/>
      <c r="D82" s="1611"/>
      <c r="K82" s="685"/>
      <c r="L82" s="685"/>
    </row>
    <row r="83" spans="1:12" s="682" customFormat="1">
      <c r="A83" s="1610"/>
      <c r="D83" s="1611"/>
      <c r="K83" s="685"/>
      <c r="L83" s="685"/>
    </row>
    <row r="84" spans="1:12" s="682" customFormat="1">
      <c r="A84" s="1610"/>
      <c r="D84" s="1611"/>
      <c r="K84" s="685"/>
      <c r="L84" s="685"/>
    </row>
    <row r="85" spans="1:12" s="682" customFormat="1">
      <c r="A85" s="1610"/>
      <c r="D85" s="1611"/>
      <c r="K85" s="685"/>
      <c r="L85" s="685"/>
    </row>
    <row r="86" spans="1:12" s="682" customFormat="1">
      <c r="A86" s="1610"/>
      <c r="D86" s="1611"/>
      <c r="K86" s="685"/>
      <c r="L86" s="685"/>
    </row>
    <row r="87" spans="1:12" s="682" customFormat="1">
      <c r="A87" s="1610"/>
      <c r="D87" s="1611"/>
      <c r="K87" s="685"/>
      <c r="L87" s="685"/>
    </row>
    <row r="88" spans="1:12" s="682" customFormat="1">
      <c r="A88" s="1610"/>
      <c r="D88" s="1611"/>
      <c r="K88" s="685"/>
      <c r="L88" s="685"/>
    </row>
    <row r="89" spans="1:12" s="682" customFormat="1">
      <c r="A89" s="1610"/>
      <c r="D89" s="1611"/>
      <c r="K89" s="685"/>
      <c r="L89" s="685"/>
    </row>
    <row r="90" spans="1:12" s="682" customFormat="1">
      <c r="A90" s="1610"/>
      <c r="D90" s="1611"/>
      <c r="K90" s="685"/>
      <c r="L90" s="685"/>
    </row>
    <row r="91" spans="1:12" s="682" customFormat="1">
      <c r="A91" s="1610"/>
      <c r="D91" s="1611"/>
      <c r="K91" s="685"/>
      <c r="L91" s="685"/>
    </row>
    <row r="92" spans="1:12" s="682" customFormat="1">
      <c r="A92" s="1610"/>
      <c r="D92" s="1611"/>
      <c r="K92" s="685"/>
      <c r="L92" s="685"/>
    </row>
    <row r="93" spans="1:12" s="682" customFormat="1">
      <c r="A93" s="1610"/>
      <c r="D93" s="1611"/>
      <c r="K93" s="685"/>
      <c r="L93" s="685"/>
    </row>
    <row r="94" spans="1:12" s="682" customFormat="1">
      <c r="A94" s="1610"/>
      <c r="D94" s="1611"/>
      <c r="K94" s="685"/>
      <c r="L94" s="685"/>
    </row>
    <row r="95" spans="1:12" s="682" customFormat="1">
      <c r="A95" s="1610"/>
      <c r="D95" s="1611"/>
      <c r="K95" s="685"/>
      <c r="L95" s="685"/>
    </row>
    <row r="96" spans="1:12" s="682" customFormat="1">
      <c r="A96" s="1610"/>
      <c r="D96" s="1611"/>
      <c r="K96" s="685"/>
      <c r="L96" s="685"/>
    </row>
    <row r="97" spans="1:12" s="682" customFormat="1">
      <c r="A97" s="1610"/>
      <c r="D97" s="1611"/>
      <c r="K97" s="685"/>
      <c r="L97" s="685"/>
    </row>
    <row r="98" spans="1:12" s="682" customFormat="1">
      <c r="A98" s="1610"/>
      <c r="D98" s="1611"/>
      <c r="K98" s="685"/>
      <c r="L98" s="685"/>
    </row>
    <row r="99" spans="1:12" s="682" customFormat="1">
      <c r="A99" s="1610"/>
      <c r="D99" s="1611"/>
      <c r="K99" s="685"/>
      <c r="L99" s="685"/>
    </row>
    <row r="100" spans="1:12" s="682" customFormat="1">
      <c r="A100" s="1610"/>
      <c r="D100" s="1611"/>
      <c r="K100" s="685"/>
      <c r="L100" s="685"/>
    </row>
    <row r="101" spans="1:12" s="682" customFormat="1">
      <c r="A101" s="1610"/>
      <c r="D101" s="1611"/>
      <c r="K101" s="685"/>
      <c r="L101" s="685"/>
    </row>
    <row r="102" spans="1:12" s="682" customFormat="1">
      <c r="A102" s="1610"/>
      <c r="D102" s="1611"/>
      <c r="K102" s="685"/>
      <c r="L102" s="685"/>
    </row>
    <row r="103" spans="1:12" s="682" customFormat="1">
      <c r="A103" s="1610"/>
      <c r="D103" s="1611"/>
      <c r="K103" s="685"/>
      <c r="L103" s="685"/>
    </row>
    <row r="104" spans="1:12" s="682" customFormat="1">
      <c r="A104" s="1610"/>
      <c r="D104" s="1611"/>
      <c r="K104" s="685"/>
      <c r="L104" s="685"/>
    </row>
    <row r="105" spans="1:12" s="682" customFormat="1">
      <c r="A105" s="1610"/>
      <c r="D105" s="1611"/>
      <c r="K105" s="685"/>
      <c r="L105" s="685"/>
    </row>
    <row r="106" spans="1:12" s="682" customFormat="1">
      <c r="A106" s="1610"/>
      <c r="D106" s="1611"/>
      <c r="K106" s="685"/>
      <c r="L106" s="685"/>
    </row>
    <row r="107" spans="1:12" s="682" customFormat="1">
      <c r="A107" s="1610"/>
      <c r="D107" s="1611"/>
      <c r="K107" s="685"/>
      <c r="L107" s="685"/>
    </row>
    <row r="108" spans="1:12" s="682" customFormat="1">
      <c r="A108" s="1610"/>
      <c r="D108" s="1611"/>
      <c r="K108" s="685"/>
      <c r="L108" s="685"/>
    </row>
    <row r="109" spans="1:12" s="682" customFormat="1">
      <c r="A109" s="1610"/>
      <c r="D109" s="1611"/>
      <c r="K109" s="685"/>
      <c r="L109" s="685"/>
    </row>
    <row r="110" spans="1:12" s="682" customFormat="1">
      <c r="A110" s="1610"/>
      <c r="D110" s="1611"/>
      <c r="K110" s="685"/>
      <c r="L110" s="685"/>
    </row>
    <row r="111" spans="1:12" s="682" customFormat="1">
      <c r="A111" s="1610"/>
      <c r="D111" s="1611"/>
      <c r="K111" s="685"/>
      <c r="L111" s="685"/>
    </row>
    <row r="112" spans="1:12" s="682" customFormat="1">
      <c r="A112" s="1610"/>
      <c r="D112" s="1611"/>
      <c r="K112" s="685"/>
      <c r="L112" s="685"/>
    </row>
    <row r="113" spans="1:12" s="682" customFormat="1">
      <c r="A113" s="1610"/>
      <c r="D113" s="1611"/>
      <c r="K113" s="685"/>
      <c r="L113" s="685"/>
    </row>
    <row r="114" spans="1:12" s="682" customFormat="1">
      <c r="A114" s="1610"/>
      <c r="D114" s="1611"/>
      <c r="K114" s="685"/>
      <c r="L114" s="685"/>
    </row>
    <row r="115" spans="1:12" s="682" customFormat="1">
      <c r="A115" s="1610"/>
      <c r="D115" s="1611"/>
      <c r="K115" s="685"/>
      <c r="L115" s="685"/>
    </row>
    <row r="116" spans="1:12" s="682" customFormat="1">
      <c r="A116" s="1610"/>
      <c r="D116" s="1611"/>
      <c r="K116" s="685"/>
      <c r="L116" s="685"/>
    </row>
    <row r="117" spans="1:12" s="682" customFormat="1">
      <c r="A117" s="1610"/>
      <c r="D117" s="1611"/>
      <c r="K117" s="685"/>
      <c r="L117" s="685"/>
    </row>
    <row r="118" spans="1:12" s="682" customFormat="1">
      <c r="A118" s="1610"/>
      <c r="D118" s="1611"/>
      <c r="K118" s="685"/>
      <c r="L118" s="685"/>
    </row>
    <row r="119" spans="1:12" s="682" customFormat="1">
      <c r="A119" s="1610"/>
      <c r="D119" s="1611"/>
      <c r="K119" s="685"/>
      <c r="L119" s="685"/>
    </row>
    <row r="120" spans="1:12" s="682" customFormat="1">
      <c r="A120" s="1610"/>
      <c r="D120" s="1611"/>
      <c r="K120" s="685"/>
      <c r="L120" s="685"/>
    </row>
    <row r="121" spans="1:12" s="682" customFormat="1">
      <c r="A121" s="1610"/>
      <c r="D121" s="1611"/>
      <c r="K121" s="685"/>
      <c r="L121" s="685"/>
    </row>
    <row r="122" spans="1:12" s="682" customFormat="1">
      <c r="A122" s="1610"/>
      <c r="D122" s="1611"/>
      <c r="K122" s="685"/>
      <c r="L122" s="685"/>
    </row>
    <row r="123" spans="1:12" s="682" customFormat="1">
      <c r="A123" s="1610"/>
      <c r="D123" s="1611"/>
      <c r="K123" s="685"/>
      <c r="L123" s="685"/>
    </row>
    <row r="124" spans="1:12" s="682" customFormat="1">
      <c r="A124" s="1610"/>
      <c r="D124" s="1611"/>
      <c r="K124" s="685"/>
      <c r="L124" s="685"/>
    </row>
    <row r="125" spans="1:12" s="682" customFormat="1">
      <c r="A125" s="1610"/>
      <c r="D125" s="1611"/>
      <c r="K125" s="685"/>
      <c r="L125" s="685"/>
    </row>
    <row r="126" spans="1:12" s="682" customFormat="1">
      <c r="A126" s="1610"/>
      <c r="D126" s="1611"/>
      <c r="K126" s="685"/>
      <c r="L126" s="685"/>
    </row>
    <row r="127" spans="1:12" s="682" customFormat="1">
      <c r="A127" s="1610"/>
      <c r="D127" s="1611"/>
      <c r="K127" s="685"/>
      <c r="L127" s="685"/>
    </row>
    <row r="128" spans="1:12" s="682" customFormat="1">
      <c r="A128" s="1610"/>
      <c r="D128" s="1611"/>
      <c r="K128" s="685"/>
      <c r="L128" s="685"/>
    </row>
    <row r="129" spans="1:12" s="682" customFormat="1">
      <c r="A129" s="1610"/>
      <c r="D129" s="1611"/>
      <c r="K129" s="685"/>
      <c r="L129" s="685"/>
    </row>
    <row r="130" spans="1:12" s="682" customFormat="1">
      <c r="A130" s="1610"/>
      <c r="D130" s="1611"/>
      <c r="K130" s="685"/>
      <c r="L130" s="685"/>
    </row>
    <row r="131" spans="1:12" s="682" customFormat="1">
      <c r="A131" s="1610"/>
      <c r="D131" s="1611"/>
      <c r="K131" s="685"/>
      <c r="L131" s="685"/>
    </row>
    <row r="132" spans="1:12" s="682" customFormat="1">
      <c r="A132" s="1610"/>
      <c r="D132" s="1611"/>
      <c r="K132" s="685"/>
      <c r="L132" s="685"/>
    </row>
    <row r="133" spans="1:12" s="682" customFormat="1">
      <c r="A133" s="1610"/>
      <c r="D133" s="1611"/>
      <c r="K133" s="685"/>
      <c r="L133" s="685"/>
    </row>
    <row r="134" spans="1:12" s="120" customFormat="1">
      <c r="A134" s="1612"/>
      <c r="D134" s="1613"/>
      <c r="K134" s="24"/>
      <c r="L134" s="24"/>
    </row>
    <row r="135" spans="1:12" s="120" customFormat="1">
      <c r="A135" s="1612"/>
      <c r="D135" s="1613"/>
      <c r="K135" s="24"/>
      <c r="L135" s="24"/>
    </row>
    <row r="136" spans="1:12" s="120" customFormat="1">
      <c r="A136" s="1612"/>
      <c r="D136" s="1613"/>
      <c r="K136" s="24"/>
      <c r="L136" s="24"/>
    </row>
    <row r="137" spans="1:12" s="120" customFormat="1">
      <c r="A137" s="1612"/>
      <c r="D137" s="1613"/>
      <c r="K137" s="24"/>
      <c r="L137" s="24"/>
    </row>
    <row r="138" spans="1:12" s="120" customFormat="1">
      <c r="A138" s="1612"/>
      <c r="D138" s="1613"/>
      <c r="K138" s="24"/>
      <c r="L138" s="24"/>
    </row>
    <row r="139" spans="1:12" s="120" customFormat="1">
      <c r="A139" s="1612"/>
      <c r="D139" s="1613"/>
      <c r="K139" s="24"/>
      <c r="L139" s="24"/>
    </row>
    <row r="140" spans="1:12" s="120" customFormat="1">
      <c r="A140" s="1612"/>
      <c r="D140" s="1613"/>
      <c r="K140" s="24"/>
      <c r="L140" s="24"/>
    </row>
    <row r="141" spans="1:12" s="120" customFormat="1">
      <c r="A141" s="1612"/>
      <c r="D141" s="1613"/>
      <c r="K141" s="24"/>
      <c r="L141" s="24"/>
    </row>
    <row r="142" spans="1:12" s="120" customFormat="1">
      <c r="A142" s="1612"/>
      <c r="D142" s="1613"/>
      <c r="K142" s="24"/>
      <c r="L142" s="24"/>
    </row>
    <row r="143" spans="1:12" s="120" customFormat="1">
      <c r="A143" s="1612"/>
      <c r="D143" s="1613"/>
      <c r="K143" s="24"/>
      <c r="L143" s="24"/>
    </row>
    <row r="144" spans="1:12" s="120" customFormat="1">
      <c r="A144" s="1612"/>
      <c r="D144" s="1613"/>
      <c r="K144" s="24"/>
      <c r="L144" s="24"/>
    </row>
    <row r="145" spans="1:12" s="120" customFormat="1">
      <c r="A145" s="1612"/>
      <c r="D145" s="1613"/>
      <c r="K145" s="24"/>
      <c r="L145" s="24"/>
    </row>
    <row r="146" spans="1:12" s="120" customFormat="1">
      <c r="A146" s="1612"/>
      <c r="D146" s="1613"/>
      <c r="K146" s="24"/>
      <c r="L146" s="24"/>
    </row>
    <row r="147" spans="1:12" s="120" customFormat="1">
      <c r="A147" s="1612"/>
      <c r="D147" s="1613"/>
      <c r="K147" s="24"/>
      <c r="L147" s="24"/>
    </row>
    <row r="148" spans="1:12" s="120" customFormat="1">
      <c r="A148" s="1612"/>
      <c r="D148" s="1613"/>
      <c r="K148" s="24"/>
      <c r="L148" s="24"/>
    </row>
    <row r="149" spans="1:12" s="120" customFormat="1">
      <c r="A149" s="1612"/>
      <c r="D149" s="1613"/>
      <c r="K149" s="24"/>
      <c r="L149" s="24"/>
    </row>
    <row r="150" spans="1:12" s="120" customFormat="1">
      <c r="A150" s="1612"/>
      <c r="D150" s="1613"/>
      <c r="K150" s="24"/>
      <c r="L150" s="24"/>
    </row>
    <row r="151" spans="1:12" s="120" customFormat="1">
      <c r="A151" s="1612"/>
      <c r="D151" s="1613"/>
      <c r="K151" s="24"/>
      <c r="L151" s="24"/>
    </row>
    <row r="152" spans="1:12" s="120" customFormat="1">
      <c r="A152" s="1612"/>
      <c r="D152" s="1613"/>
      <c r="K152" s="24"/>
      <c r="L152" s="24"/>
    </row>
    <row r="153" spans="1:12" s="120" customFormat="1">
      <c r="A153" s="1612"/>
      <c r="D153" s="1613"/>
      <c r="K153" s="24"/>
      <c r="L153" s="24"/>
    </row>
    <row r="154" spans="1:12" s="120" customFormat="1">
      <c r="A154" s="1612"/>
      <c r="D154" s="1613"/>
      <c r="K154" s="24"/>
      <c r="L154" s="24"/>
    </row>
    <row r="155" spans="1:12" s="120" customFormat="1">
      <c r="A155" s="1612"/>
      <c r="D155" s="1613"/>
      <c r="K155" s="24"/>
      <c r="L155" s="24"/>
    </row>
    <row r="156" spans="1:12" s="120" customFormat="1">
      <c r="A156" s="1612"/>
      <c r="D156" s="1613"/>
      <c r="K156" s="24"/>
      <c r="L156" s="24"/>
    </row>
    <row r="157" spans="1:12" s="120" customFormat="1">
      <c r="A157" s="1612"/>
      <c r="D157" s="1613"/>
      <c r="K157" s="24"/>
      <c r="L157" s="24"/>
    </row>
    <row r="158" spans="1:12" s="120" customFormat="1">
      <c r="A158" s="1612"/>
      <c r="D158" s="1613"/>
      <c r="K158" s="24"/>
      <c r="L158" s="24"/>
    </row>
    <row r="159" spans="1:12" s="120" customFormat="1">
      <c r="A159" s="1612"/>
      <c r="D159" s="1613"/>
      <c r="K159" s="24"/>
      <c r="L159" s="24"/>
    </row>
    <row r="160" spans="1:12" s="120" customFormat="1">
      <c r="A160" s="1612"/>
      <c r="D160" s="1613"/>
      <c r="K160" s="24"/>
      <c r="L160" s="24"/>
    </row>
    <row r="161" spans="1:12" s="120" customFormat="1">
      <c r="A161" s="1612"/>
      <c r="D161" s="1613"/>
      <c r="K161" s="24"/>
      <c r="L161" s="24"/>
    </row>
    <row r="162" spans="1:12" s="120" customFormat="1">
      <c r="A162" s="1612"/>
      <c r="D162" s="1613"/>
      <c r="K162" s="24"/>
      <c r="L162" s="24"/>
    </row>
    <row r="163" spans="1:12" s="120" customFormat="1">
      <c r="A163" s="1612"/>
      <c r="D163" s="1613"/>
      <c r="K163" s="24"/>
      <c r="L163" s="24"/>
    </row>
    <row r="164" spans="1:12" s="120" customFormat="1">
      <c r="A164" s="1612"/>
      <c r="D164" s="1613"/>
      <c r="K164" s="24"/>
      <c r="L164" s="24"/>
    </row>
    <row r="165" spans="1:12" s="120" customFormat="1">
      <c r="A165" s="1612"/>
      <c r="D165" s="1613"/>
      <c r="K165" s="24"/>
      <c r="L165" s="24"/>
    </row>
    <row r="166" spans="1:12" s="120" customFormat="1">
      <c r="A166" s="1612"/>
      <c r="D166" s="1613"/>
      <c r="K166" s="24"/>
      <c r="L166" s="24"/>
    </row>
    <row r="167" spans="1:12" s="120" customFormat="1">
      <c r="A167" s="1612"/>
      <c r="D167" s="1613"/>
      <c r="K167" s="24"/>
      <c r="L167" s="24"/>
    </row>
    <row r="168" spans="1:12" s="120" customFormat="1">
      <c r="A168" s="1612"/>
      <c r="D168" s="1613"/>
      <c r="K168" s="24"/>
      <c r="L168" s="24"/>
    </row>
    <row r="169" spans="1:12" s="120" customFormat="1">
      <c r="A169" s="1612"/>
      <c r="D169" s="1613"/>
      <c r="K169" s="24"/>
      <c r="L169" s="24"/>
    </row>
    <row r="170" spans="1:12" s="120" customFormat="1">
      <c r="A170" s="1612"/>
      <c r="D170" s="1613"/>
      <c r="K170" s="24"/>
      <c r="L170" s="24"/>
    </row>
    <row r="171" spans="1:12" s="120" customFormat="1">
      <c r="A171" s="1612"/>
      <c r="D171" s="1613"/>
      <c r="K171" s="24"/>
      <c r="L171" s="24"/>
    </row>
    <row r="172" spans="1:12" s="120" customFormat="1">
      <c r="A172" s="1612"/>
      <c r="D172" s="1613"/>
      <c r="K172" s="24"/>
      <c r="L172" s="24"/>
    </row>
    <row r="173" spans="1:12" s="120" customFormat="1">
      <c r="A173" s="1612"/>
      <c r="D173" s="1613"/>
      <c r="K173" s="24"/>
      <c r="L173" s="24"/>
    </row>
    <row r="174" spans="1:12" s="120"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8" customWidth="1"/>
    <col min="2" max="3" width="24.5" style="506" customWidth="1"/>
    <col min="4" max="4" width="2.625" style="506" customWidth="1"/>
    <col min="5" max="5" width="5.875" style="506" customWidth="1"/>
    <col min="6" max="7" width="27" style="506"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47" customWidth="1"/>
    <col min="19" max="29" width="9" style="747"/>
    <col min="30" max="16384" width="9" style="1518"/>
  </cols>
  <sheetData>
    <row r="1" spans="1:29" s="2255" customFormat="1" ht="18.75" thickBot="1">
      <c r="A1" s="3275" t="s">
        <v>2276</v>
      </c>
      <c r="B1" s="3276"/>
      <c r="C1" s="3276"/>
      <c r="D1" s="3276"/>
      <c r="E1" s="3276"/>
      <c r="F1" s="3276"/>
      <c r="G1" s="3276"/>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2273</v>
      </c>
      <c r="D2" s="1591"/>
      <c r="E2" s="2256"/>
      <c r="F2" s="2259"/>
      <c r="G2" s="2258" t="s">
        <v>2274</v>
      </c>
      <c r="H2" s="747"/>
      <c r="I2" s="747"/>
      <c r="J2" s="747"/>
      <c r="K2" s="747"/>
      <c r="L2" s="747"/>
      <c r="M2" s="747"/>
      <c r="N2" s="747"/>
      <c r="O2" s="747"/>
      <c r="P2" s="747"/>
      <c r="Q2" s="747"/>
    </row>
    <row r="3" spans="1:29" ht="24">
      <c r="A3" s="2243" t="s">
        <v>2275</v>
      </c>
      <c r="B3" s="2260" t="s">
        <v>2251</v>
      </c>
      <c r="C3" s="2261"/>
      <c r="D3" s="2262"/>
      <c r="E3" s="2244" t="s">
        <v>2275</v>
      </c>
      <c r="F3" s="2263" t="s">
        <v>2252</v>
      </c>
      <c r="G3" s="2264"/>
      <c r="H3" s="747"/>
      <c r="I3" s="747"/>
      <c r="J3" s="747"/>
      <c r="K3" s="747"/>
      <c r="L3" s="747"/>
      <c r="M3" s="747"/>
      <c r="N3" s="747"/>
      <c r="O3" s="747"/>
      <c r="P3" s="747"/>
      <c r="Q3" s="747"/>
    </row>
    <row r="4" spans="1:29">
      <c r="A4" s="2244"/>
      <c r="B4" s="313" t="s">
        <v>2253</v>
      </c>
      <c r="C4" s="2265"/>
      <c r="D4" s="2262"/>
      <c r="E4" s="2266"/>
      <c r="F4" s="1277" t="s">
        <v>2254</v>
      </c>
      <c r="G4" s="2267"/>
      <c r="H4" s="747"/>
      <c r="I4" s="747"/>
      <c r="J4" s="747"/>
      <c r="K4" s="747"/>
      <c r="L4" s="747"/>
      <c r="M4" s="747"/>
      <c r="N4" s="747"/>
      <c r="O4" s="747"/>
      <c r="P4" s="747"/>
      <c r="Q4" s="747"/>
    </row>
    <row r="5" spans="1:29">
      <c r="A5" s="2244"/>
      <c r="B5" s="313" t="s">
        <v>2255</v>
      </c>
      <c r="C5" s="2265"/>
      <c r="D5" s="2262"/>
      <c r="E5" s="2266"/>
      <c r="F5" s="313" t="s">
        <v>2256</v>
      </c>
      <c r="G5" s="2267"/>
      <c r="H5" s="747"/>
      <c r="I5" s="747"/>
      <c r="J5" s="747"/>
      <c r="K5" s="747"/>
      <c r="L5" s="747"/>
      <c r="M5" s="747"/>
      <c r="N5" s="747"/>
      <c r="O5" s="747"/>
      <c r="P5" s="747"/>
      <c r="Q5" s="747"/>
    </row>
    <row r="6" spans="1:29">
      <c r="A6" s="2244"/>
      <c r="B6" s="313" t="s">
        <v>2257</v>
      </c>
      <c r="C6" s="2267"/>
      <c r="D6" s="2262"/>
      <c r="E6" s="2266"/>
      <c r="F6" s="313" t="s">
        <v>2258</v>
      </c>
      <c r="G6" s="2267"/>
      <c r="H6" s="747"/>
      <c r="I6" s="747"/>
      <c r="J6" s="747"/>
      <c r="K6" s="747"/>
      <c r="L6" s="747"/>
      <c r="M6" s="747"/>
      <c r="N6" s="747"/>
      <c r="O6" s="747"/>
      <c r="P6" s="747"/>
      <c r="Q6" s="747"/>
    </row>
    <row r="7" spans="1:29" ht="15" thickBot="1">
      <c r="A7" s="2244"/>
      <c r="B7" s="313" t="s">
        <v>2256</v>
      </c>
      <c r="C7" s="2267"/>
      <c r="D7" s="2241"/>
      <c r="E7" s="2268"/>
      <c r="F7" s="2269" t="s">
        <v>2259</v>
      </c>
      <c r="G7" s="2270"/>
      <c r="H7" s="747"/>
      <c r="I7" s="747"/>
      <c r="J7" s="747"/>
      <c r="K7" s="747"/>
      <c r="L7" s="747"/>
      <c r="M7" s="747"/>
      <c r="N7" s="747"/>
      <c r="O7" s="747"/>
      <c r="P7" s="747"/>
      <c r="Q7" s="747"/>
    </row>
    <row r="8" spans="1:29">
      <c r="A8" s="2244"/>
      <c r="B8" s="313" t="s">
        <v>2258</v>
      </c>
      <c r="C8" s="2267"/>
      <c r="D8" s="2241"/>
      <c r="E8" s="2241"/>
      <c r="F8" s="119"/>
      <c r="G8" s="119"/>
      <c r="H8" s="747"/>
      <c r="I8" s="747"/>
      <c r="J8" s="747"/>
      <c r="K8" s="747"/>
      <c r="L8" s="747"/>
      <c r="M8" s="747"/>
      <c r="N8" s="747"/>
      <c r="O8" s="747"/>
      <c r="P8" s="747"/>
      <c r="Q8" s="747"/>
    </row>
    <row r="9" spans="1:29">
      <c r="A9" s="2244"/>
      <c r="B9" s="313" t="s">
        <v>2260</v>
      </c>
      <c r="C9" s="2265"/>
      <c r="D9" s="2262"/>
      <c r="E9" s="2241"/>
      <c r="F9" s="119"/>
      <c r="G9" s="119"/>
      <c r="H9" s="747"/>
      <c r="I9" s="747"/>
      <c r="J9" s="747"/>
      <c r="K9" s="747"/>
      <c r="L9" s="747"/>
      <c r="M9" s="747"/>
      <c r="N9" s="747"/>
      <c r="O9" s="747"/>
      <c r="P9" s="747"/>
      <c r="Q9" s="747"/>
    </row>
    <row r="10" spans="1:29" ht="15" thickBot="1">
      <c r="A10" s="2245"/>
      <c r="B10" s="2271" t="s">
        <v>2261</v>
      </c>
      <c r="C10" s="2272"/>
      <c r="D10" s="2262"/>
      <c r="E10" s="2262"/>
      <c r="F10" s="119"/>
      <c r="G10" s="119"/>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75" thickBot="1">
      <c r="A13" s="2280" t="s">
        <v>2277</v>
      </c>
      <c r="B13" s="2276"/>
      <c r="C13" s="2276"/>
      <c r="D13" s="2275"/>
      <c r="E13" s="2276"/>
      <c r="F13" s="2276"/>
      <c r="G13" s="2276"/>
    </row>
    <row r="14" spans="1:29" ht="15" thickBot="1">
      <c r="A14" s="2281"/>
      <c r="B14" s="2281"/>
      <c r="C14" s="2282" t="s">
        <v>2262</v>
      </c>
      <c r="D14" s="2262"/>
      <c r="E14" s="2283"/>
      <c r="F14" s="2283"/>
      <c r="G14" s="2258" t="s">
        <v>2263</v>
      </c>
    </row>
    <row r="15" spans="1:29" ht="24">
      <c r="A15" s="2246" t="s">
        <v>2264</v>
      </c>
      <c r="B15" s="2284" t="s">
        <v>2251</v>
      </c>
      <c r="C15" s="2285">
        <f>C3</f>
        <v>0</v>
      </c>
      <c r="D15" s="2262"/>
      <c r="E15" s="2247" t="s">
        <v>2265</v>
      </c>
      <c r="F15" s="2284" t="s">
        <v>2266</v>
      </c>
      <c r="G15" s="2286">
        <f>G3</f>
        <v>0</v>
      </c>
    </row>
    <row r="16" spans="1:29">
      <c r="A16" s="2248"/>
      <c r="B16" s="2287" t="s">
        <v>2253</v>
      </c>
      <c r="C16" s="2288">
        <f>C4</f>
        <v>0</v>
      </c>
      <c r="D16" s="2262"/>
      <c r="E16" s="2249"/>
      <c r="F16" s="2289" t="s">
        <v>2254</v>
      </c>
      <c r="G16" s="2290">
        <f>G4</f>
        <v>0</v>
      </c>
    </row>
    <row r="17" spans="1:17">
      <c r="A17" s="2248"/>
      <c r="B17" s="2287" t="s">
        <v>2255</v>
      </c>
      <c r="C17" s="2288">
        <f>C5</f>
        <v>0</v>
      </c>
      <c r="D17" s="2241"/>
      <c r="E17" s="2249"/>
      <c r="F17" s="2289" t="s">
        <v>2267</v>
      </c>
      <c r="G17" s="2291"/>
    </row>
    <row r="18" spans="1:17">
      <c r="A18" s="2248"/>
      <c r="B18" s="2289" t="s">
        <v>2257</v>
      </c>
      <c r="C18" s="2290">
        <f>C6</f>
        <v>0</v>
      </c>
      <c r="D18" s="2241"/>
      <c r="E18" s="2249"/>
      <c r="F18" s="2289" t="s">
        <v>2259</v>
      </c>
      <c r="G18" s="2290">
        <f>G7</f>
        <v>0</v>
      </c>
    </row>
    <row r="19" spans="1:17">
      <c r="A19" s="2248"/>
      <c r="B19" s="2289" t="s">
        <v>2268</v>
      </c>
      <c r="C19" s="2291"/>
      <c r="D19" s="2262"/>
      <c r="E19" s="2249"/>
      <c r="F19" s="313" t="s">
        <v>2256</v>
      </c>
      <c r="G19" s="2290">
        <f>G5</f>
        <v>0</v>
      </c>
    </row>
    <row r="20" spans="1:17">
      <c r="A20" s="2248"/>
      <c r="B20" s="2289" t="s">
        <v>2269</v>
      </c>
      <c r="C20" s="2288">
        <f>C9</f>
        <v>0</v>
      </c>
      <c r="D20" s="2241"/>
      <c r="E20" s="2249"/>
      <c r="F20" s="313" t="s">
        <v>2258</v>
      </c>
      <c r="G20" s="2290">
        <f>G6</f>
        <v>0</v>
      </c>
    </row>
    <row r="21" spans="1:17">
      <c r="A21" s="2248"/>
      <c r="B21" s="313" t="s">
        <v>2256</v>
      </c>
      <c r="C21" s="2290">
        <f>C7</f>
        <v>0</v>
      </c>
      <c r="D21" s="2262"/>
      <c r="E21" s="2249"/>
      <c r="F21" s="2289" t="s">
        <v>2270</v>
      </c>
      <c r="G21" s="2292"/>
    </row>
    <row r="22" spans="1:17" ht="13.5" customHeight="1">
      <c r="A22" s="2248"/>
      <c r="B22" s="313" t="s">
        <v>2258</v>
      </c>
      <c r="C22" s="2290">
        <f>C8</f>
        <v>0</v>
      </c>
      <c r="D22" s="2262"/>
      <c r="E22" s="2249"/>
      <c r="F22" s="2289" t="s">
        <v>2261</v>
      </c>
      <c r="G22" s="2291"/>
    </row>
    <row r="23" spans="1:17" s="747" customFormat="1" ht="15" thickBot="1">
      <c r="A23" s="2248"/>
      <c r="B23" s="2289" t="s">
        <v>2270</v>
      </c>
      <c r="C23" s="2292"/>
      <c r="D23" s="1610"/>
      <c r="E23" s="2250"/>
      <c r="F23" s="2293" t="s">
        <v>2271</v>
      </c>
      <c r="G23" s="2294"/>
      <c r="H23" s="2273"/>
      <c r="I23" s="2273"/>
      <c r="J23" s="2273"/>
      <c r="K23" s="2273"/>
      <c r="L23" s="2273"/>
      <c r="M23" s="2273"/>
      <c r="N23" s="2273"/>
      <c r="O23" s="2273"/>
      <c r="P23" s="2273"/>
      <c r="Q23" s="2273"/>
    </row>
    <row r="24" spans="1:17" s="747" customFormat="1" ht="15" thickBot="1">
      <c r="A24" s="2251"/>
      <c r="B24" s="2293" t="s">
        <v>2272</v>
      </c>
      <c r="C24" s="2295">
        <f>C10</f>
        <v>0</v>
      </c>
      <c r="D24" s="1610"/>
      <c r="E24" s="2241"/>
      <c r="F24" s="2241"/>
      <c r="G24" s="2241"/>
      <c r="H24" s="2273"/>
      <c r="I24" s="2273"/>
      <c r="J24" s="2273"/>
      <c r="K24" s="2273"/>
      <c r="L24" s="2273"/>
      <c r="M24" s="2273"/>
      <c r="N24" s="2273"/>
      <c r="O24" s="2273"/>
      <c r="P24" s="2273"/>
      <c r="Q24" s="2273"/>
    </row>
    <row r="25" spans="1:17" s="747" customFormat="1">
      <c r="B25" s="2273"/>
      <c r="C25" s="2273"/>
      <c r="D25" s="2273"/>
      <c r="H25" s="2273"/>
      <c r="I25" s="2273"/>
      <c r="J25" s="2273"/>
      <c r="K25" s="2273"/>
      <c r="L25" s="2273"/>
      <c r="M25" s="2273"/>
      <c r="N25" s="2273"/>
      <c r="O25" s="2273"/>
      <c r="P25" s="2273"/>
      <c r="Q25" s="2273"/>
    </row>
    <row r="26" spans="1:17" s="747" customFormat="1">
      <c r="B26" s="2273"/>
      <c r="C26" s="2273"/>
      <c r="D26" s="2273"/>
      <c r="H26" s="2273"/>
      <c r="I26" s="2273"/>
      <c r="J26" s="2273"/>
      <c r="K26" s="2273"/>
      <c r="L26" s="2273"/>
      <c r="M26" s="2273"/>
      <c r="N26" s="2273"/>
      <c r="O26" s="2273"/>
      <c r="P26" s="2273"/>
      <c r="Q26" s="2273"/>
    </row>
    <row r="27" spans="1:17" s="747" customFormat="1">
      <c r="B27" s="2273"/>
      <c r="C27" s="2273"/>
      <c r="D27" s="2273"/>
      <c r="H27" s="2273"/>
      <c r="I27" s="2273"/>
      <c r="J27" s="2273"/>
      <c r="K27" s="2273"/>
      <c r="L27" s="2273"/>
      <c r="M27" s="2273"/>
      <c r="N27" s="2273"/>
      <c r="O27" s="2273"/>
      <c r="P27" s="2273"/>
      <c r="Q27" s="2273"/>
    </row>
    <row r="28" spans="1:17" s="747" customFormat="1">
      <c r="B28" s="2273"/>
      <c r="C28" s="2273"/>
      <c r="D28" s="2273"/>
      <c r="H28" s="2273"/>
      <c r="I28" s="2273"/>
      <c r="J28" s="2273"/>
      <c r="K28" s="2273"/>
      <c r="L28" s="2273"/>
      <c r="M28" s="2273"/>
      <c r="N28" s="2273"/>
      <c r="O28" s="2273"/>
      <c r="P28" s="2273"/>
      <c r="Q28" s="2273"/>
    </row>
    <row r="29" spans="1:17" s="747" customFormat="1">
      <c r="B29" s="2273"/>
      <c r="C29" s="2273"/>
      <c r="D29" s="2273"/>
      <c r="H29" s="2273"/>
      <c r="I29" s="2273"/>
      <c r="J29" s="2273"/>
      <c r="K29" s="2273"/>
      <c r="L29" s="2273"/>
      <c r="M29" s="2273"/>
      <c r="N29" s="2273"/>
      <c r="O29" s="2273"/>
      <c r="P29" s="2273"/>
      <c r="Q29" s="2273"/>
    </row>
    <row r="30" spans="1:17" s="747" customFormat="1">
      <c r="B30" s="2273"/>
      <c r="C30" s="2273"/>
      <c r="D30" s="2273"/>
      <c r="H30" s="2273"/>
      <c r="I30" s="2273"/>
      <c r="J30" s="2273"/>
      <c r="K30" s="2273"/>
      <c r="L30" s="2273"/>
      <c r="M30" s="2273"/>
      <c r="N30" s="2273"/>
      <c r="O30" s="2273"/>
      <c r="P30" s="2273"/>
      <c r="Q30" s="2273"/>
    </row>
    <row r="31" spans="1:17" s="747" customFormat="1">
      <c r="B31" s="2273"/>
      <c r="C31" s="2273"/>
      <c r="D31" s="2273"/>
      <c r="H31" s="2273"/>
      <c r="I31" s="2273"/>
      <c r="J31" s="2273"/>
      <c r="K31" s="2273"/>
      <c r="L31" s="2273"/>
      <c r="M31" s="2273"/>
      <c r="N31" s="2273"/>
      <c r="O31" s="2273"/>
      <c r="P31" s="2273"/>
      <c r="Q31" s="2273"/>
    </row>
    <row r="32" spans="1:17" s="747" customFormat="1">
      <c r="B32" s="2273"/>
      <c r="C32" s="2273"/>
      <c r="D32" s="2273"/>
      <c r="H32" s="2273"/>
      <c r="I32" s="2273"/>
      <c r="J32" s="2273"/>
      <c r="K32" s="2273"/>
      <c r="L32" s="2273"/>
      <c r="M32" s="2273"/>
      <c r="N32" s="2273"/>
      <c r="O32" s="2273"/>
      <c r="P32" s="2273"/>
      <c r="Q32" s="2273"/>
    </row>
    <row r="33" spans="2:17" s="747" customFormat="1">
      <c r="B33" s="2273"/>
      <c r="C33" s="2273"/>
      <c r="D33" s="2273"/>
      <c r="H33" s="2273"/>
      <c r="I33" s="2273"/>
      <c r="J33" s="2273"/>
      <c r="K33" s="2273"/>
      <c r="L33" s="2273"/>
      <c r="M33" s="2273"/>
      <c r="N33" s="2273"/>
      <c r="O33" s="2273"/>
      <c r="P33" s="2273"/>
      <c r="Q33" s="2273"/>
    </row>
    <row r="34" spans="2:17" s="747" customFormat="1">
      <c r="B34" s="2273"/>
      <c r="C34" s="2273"/>
      <c r="D34" s="2273"/>
      <c r="H34" s="2273"/>
      <c r="I34" s="2273"/>
      <c r="J34" s="2273"/>
      <c r="K34" s="2273"/>
      <c r="L34" s="2273"/>
      <c r="M34" s="2273"/>
      <c r="N34" s="2273"/>
      <c r="O34" s="2273"/>
      <c r="P34" s="2273"/>
      <c r="Q34" s="2273"/>
    </row>
    <row r="35" spans="2:17" s="747" customFormat="1">
      <c r="B35" s="2273"/>
      <c r="C35" s="2273"/>
      <c r="D35" s="2273"/>
      <c r="H35" s="2273"/>
      <c r="I35" s="2273"/>
      <c r="J35" s="2273"/>
      <c r="K35" s="2273"/>
      <c r="L35" s="2273"/>
      <c r="M35" s="2273"/>
      <c r="N35" s="2273"/>
      <c r="O35" s="2273"/>
      <c r="P35" s="2273"/>
      <c r="Q35" s="2273"/>
    </row>
    <row r="36" spans="2:17" s="747" customFormat="1">
      <c r="B36" s="2273"/>
      <c r="C36" s="2273"/>
      <c r="D36" s="2273"/>
      <c r="H36" s="2273"/>
      <c r="I36" s="2273"/>
      <c r="J36" s="2273"/>
      <c r="K36" s="2273"/>
      <c r="L36" s="2273"/>
      <c r="M36" s="2273"/>
      <c r="N36" s="2273"/>
      <c r="O36" s="2273"/>
      <c r="P36" s="2273"/>
      <c r="Q36" s="2273"/>
    </row>
    <row r="37" spans="2:17" s="747" customFormat="1">
      <c r="B37" s="2273"/>
      <c r="C37" s="2273"/>
      <c r="D37" s="2273"/>
      <c r="H37" s="2273"/>
      <c r="I37" s="2273"/>
      <c r="J37" s="2273"/>
      <c r="K37" s="2273"/>
      <c r="L37" s="2273"/>
      <c r="M37" s="2273"/>
      <c r="N37" s="2273"/>
      <c r="O37" s="2273"/>
      <c r="P37" s="2273"/>
      <c r="Q37" s="2273"/>
    </row>
    <row r="38" spans="2:17" s="747" customFormat="1">
      <c r="B38" s="2273"/>
      <c r="C38" s="2273"/>
      <c r="D38" s="2273"/>
      <c r="E38" s="2273"/>
      <c r="F38" s="2273"/>
      <c r="G38" s="2273"/>
      <c r="H38" s="2273"/>
      <c r="I38" s="2273"/>
      <c r="J38" s="2273"/>
      <c r="K38" s="2273"/>
      <c r="L38" s="2273"/>
      <c r="M38" s="2273"/>
      <c r="N38" s="2273"/>
      <c r="O38" s="2273"/>
      <c r="P38" s="2273"/>
      <c r="Q38" s="2273"/>
    </row>
    <row r="39" spans="2:17" s="747" customFormat="1">
      <c r="B39" s="2273"/>
      <c r="C39" s="2273"/>
      <c r="D39" s="2273"/>
      <c r="E39" s="2273"/>
      <c r="F39" s="2273"/>
      <c r="G39" s="2273"/>
      <c r="H39" s="2273"/>
      <c r="I39" s="2273"/>
      <c r="J39" s="2273"/>
      <c r="K39" s="2273"/>
      <c r="L39" s="2273"/>
      <c r="M39" s="2273"/>
      <c r="N39" s="2273"/>
      <c r="O39" s="2273"/>
      <c r="P39" s="2273"/>
      <c r="Q39" s="2273"/>
    </row>
    <row r="40" spans="2:17" s="747" customFormat="1">
      <c r="B40" s="2273"/>
      <c r="C40" s="2273"/>
      <c r="D40" s="2273"/>
      <c r="E40" s="2273"/>
      <c r="F40" s="2273"/>
      <c r="G40" s="2273"/>
      <c r="H40" s="2273"/>
      <c r="I40" s="2273"/>
      <c r="J40" s="2273"/>
      <c r="K40" s="2273"/>
      <c r="L40" s="2273"/>
      <c r="M40" s="2273"/>
      <c r="N40" s="2273"/>
      <c r="O40" s="2273"/>
      <c r="P40" s="2273"/>
      <c r="Q40" s="2273"/>
    </row>
    <row r="41" spans="2:17" s="747" customFormat="1">
      <c r="B41" s="2273"/>
      <c r="C41" s="2273"/>
      <c r="D41" s="2273"/>
      <c r="E41" s="2273"/>
      <c r="F41" s="2273"/>
      <c r="G41" s="2273"/>
      <c r="H41" s="2273"/>
      <c r="I41" s="2273"/>
      <c r="J41" s="2273"/>
      <c r="K41" s="2273"/>
      <c r="L41" s="2273"/>
      <c r="M41" s="2273"/>
      <c r="N41" s="2273"/>
      <c r="O41" s="2273"/>
      <c r="P41" s="2273"/>
      <c r="Q41" s="2273"/>
    </row>
    <row r="42" spans="2:17" s="747" customFormat="1">
      <c r="B42" s="2273"/>
      <c r="C42" s="2273"/>
      <c r="D42" s="2273"/>
      <c r="E42" s="2273"/>
      <c r="F42" s="2273"/>
      <c r="G42" s="2273"/>
      <c r="H42" s="2273"/>
      <c r="I42" s="2273"/>
      <c r="J42" s="2273"/>
      <c r="K42" s="2273"/>
      <c r="L42" s="2273"/>
      <c r="M42" s="2273"/>
      <c r="N42" s="2273"/>
      <c r="O42" s="2273"/>
      <c r="P42" s="2273"/>
      <c r="Q42" s="2273"/>
    </row>
    <row r="43" spans="2:17" s="747" customFormat="1">
      <c r="B43" s="2273"/>
      <c r="C43" s="2273"/>
      <c r="D43" s="2273"/>
      <c r="E43" s="2273"/>
      <c r="F43" s="2273"/>
      <c r="G43" s="2273"/>
      <c r="H43" s="2273"/>
      <c r="I43" s="2273"/>
      <c r="J43" s="2273"/>
      <c r="K43" s="2273"/>
      <c r="L43" s="2273"/>
      <c r="M43" s="2273"/>
      <c r="N43" s="2273"/>
      <c r="O43" s="2273"/>
      <c r="P43" s="2273"/>
      <c r="Q43" s="2273"/>
    </row>
    <row r="44" spans="2:17" s="747" customFormat="1">
      <c r="B44" s="2273"/>
      <c r="C44" s="2273"/>
      <c r="D44" s="2273"/>
      <c r="E44" s="2273"/>
      <c r="F44" s="2273"/>
      <c r="G44" s="2273"/>
      <c r="H44" s="2273"/>
      <c r="I44" s="2273"/>
      <c r="J44" s="2273"/>
      <c r="K44" s="2273"/>
      <c r="L44" s="2273"/>
      <c r="M44" s="2273"/>
      <c r="N44" s="2273"/>
      <c r="O44" s="2273"/>
      <c r="P44" s="2273"/>
      <c r="Q44" s="2273"/>
    </row>
    <row r="45" spans="2:17" s="747" customFormat="1">
      <c r="B45" s="2273"/>
      <c r="C45" s="2273"/>
      <c r="D45" s="2273"/>
      <c r="E45" s="2273"/>
      <c r="F45" s="2273"/>
      <c r="G45" s="2273"/>
      <c r="H45" s="2273"/>
      <c r="I45" s="2273"/>
      <c r="J45" s="2273"/>
      <c r="K45" s="2273"/>
      <c r="L45" s="2273"/>
      <c r="M45" s="2273"/>
      <c r="N45" s="2273"/>
      <c r="O45" s="2273"/>
      <c r="P45" s="2273"/>
      <c r="Q45" s="2273"/>
    </row>
    <row r="46" spans="2:17" s="747" customFormat="1">
      <c r="B46" s="2273"/>
      <c r="C46" s="2273"/>
      <c r="D46" s="2273"/>
      <c r="E46" s="2273"/>
      <c r="F46" s="2273"/>
      <c r="G46" s="2273"/>
      <c r="H46" s="2273"/>
      <c r="I46" s="2273"/>
      <c r="J46" s="2273"/>
      <c r="K46" s="2273"/>
      <c r="L46" s="2273"/>
      <c r="M46" s="2273"/>
      <c r="N46" s="2273"/>
      <c r="O46" s="2273"/>
      <c r="P46" s="2273"/>
      <c r="Q46" s="2273"/>
    </row>
    <row r="47" spans="2:17" s="747" customFormat="1">
      <c r="B47" s="2273"/>
      <c r="C47" s="2273"/>
      <c r="D47" s="2273"/>
      <c r="E47" s="2273"/>
      <c r="F47" s="2273"/>
      <c r="G47" s="2273"/>
      <c r="H47" s="2273"/>
      <c r="I47" s="2273"/>
      <c r="J47" s="2273"/>
      <c r="K47" s="2273"/>
      <c r="L47" s="2273"/>
      <c r="M47" s="2273"/>
      <c r="N47" s="2273"/>
      <c r="O47" s="2273"/>
      <c r="P47" s="2273"/>
      <c r="Q47" s="2273"/>
    </row>
    <row r="48" spans="2:17" s="747" customFormat="1">
      <c r="B48" s="2273"/>
      <c r="C48" s="2273"/>
      <c r="D48" s="2273"/>
      <c r="E48" s="2273"/>
      <c r="F48" s="2273"/>
      <c r="G48" s="2273"/>
      <c r="H48" s="2273"/>
      <c r="I48" s="2273"/>
      <c r="J48" s="2273"/>
      <c r="K48" s="2273"/>
      <c r="L48" s="2273"/>
      <c r="M48" s="2273"/>
      <c r="N48" s="2273"/>
      <c r="O48" s="2273"/>
      <c r="P48" s="2273"/>
      <c r="Q48" s="2273"/>
    </row>
    <row r="49" spans="2:17" s="747" customFormat="1">
      <c r="B49" s="2273"/>
      <c r="C49" s="2273"/>
      <c r="D49" s="2273"/>
      <c r="E49" s="2273"/>
      <c r="F49" s="2273"/>
      <c r="G49" s="2273"/>
      <c r="H49" s="2273"/>
      <c r="I49" s="2273"/>
      <c r="J49" s="2273"/>
      <c r="K49" s="2273"/>
      <c r="L49" s="2273"/>
      <c r="M49" s="2273"/>
      <c r="N49" s="2273"/>
      <c r="O49" s="2273"/>
      <c r="P49" s="2273"/>
      <c r="Q49" s="2273"/>
    </row>
    <row r="50" spans="2:17" s="747" customFormat="1">
      <c r="B50" s="2273"/>
      <c r="C50" s="2273"/>
      <c r="D50" s="2273"/>
      <c r="E50" s="2273"/>
      <c r="F50" s="2273"/>
      <c r="G50" s="2273"/>
      <c r="H50" s="2273"/>
      <c r="I50" s="2273"/>
      <c r="J50" s="2273"/>
      <c r="K50" s="2273"/>
      <c r="L50" s="2273"/>
      <c r="M50" s="2273"/>
      <c r="N50" s="2273"/>
      <c r="O50" s="2273"/>
      <c r="P50" s="2273"/>
      <c r="Q50" s="2273"/>
    </row>
    <row r="51" spans="2:17" s="747" customFormat="1">
      <c r="B51" s="2273"/>
      <c r="C51" s="2273"/>
      <c r="D51" s="2273"/>
      <c r="E51" s="2273"/>
      <c r="F51" s="2273"/>
      <c r="G51" s="2273"/>
      <c r="H51" s="2273"/>
      <c r="I51" s="2273"/>
      <c r="J51" s="2273"/>
      <c r="K51" s="2273"/>
      <c r="L51" s="2273"/>
      <c r="M51" s="2273"/>
      <c r="N51" s="2273"/>
      <c r="O51" s="2273"/>
      <c r="P51" s="2273"/>
      <c r="Q51" s="2273"/>
    </row>
    <row r="52" spans="2:17" s="747" customFormat="1">
      <c r="B52" s="2273"/>
      <c r="C52" s="2273"/>
      <c r="D52" s="2273"/>
      <c r="E52" s="2273"/>
      <c r="F52" s="2273"/>
      <c r="G52" s="2273"/>
      <c r="H52" s="2273"/>
      <c r="I52" s="2273"/>
      <c r="J52" s="2273"/>
      <c r="K52" s="2273"/>
      <c r="L52" s="2273"/>
      <c r="M52" s="2273"/>
      <c r="N52" s="2273"/>
      <c r="O52" s="2273"/>
      <c r="P52" s="2273"/>
      <c r="Q52" s="2273"/>
    </row>
    <row r="53" spans="2:17" s="747" customFormat="1">
      <c r="B53" s="2273"/>
      <c r="C53" s="2273"/>
      <c r="D53" s="2273"/>
      <c r="E53" s="2273"/>
      <c r="F53" s="2273"/>
      <c r="G53" s="2273"/>
      <c r="H53" s="2273"/>
      <c r="I53" s="2273"/>
      <c r="J53" s="2273"/>
      <c r="K53" s="2273"/>
      <c r="L53" s="2273"/>
      <c r="M53" s="2273"/>
      <c r="N53" s="2273"/>
      <c r="O53" s="2273"/>
      <c r="P53" s="2273"/>
      <c r="Q53" s="2273"/>
    </row>
    <row r="54" spans="2:17" s="747" customFormat="1">
      <c r="B54" s="2273"/>
      <c r="C54" s="2273"/>
      <c r="D54" s="2273"/>
      <c r="E54" s="2273"/>
      <c r="F54" s="2273"/>
      <c r="G54" s="2273"/>
      <c r="H54" s="2273"/>
      <c r="I54" s="2273"/>
      <c r="J54" s="2273"/>
      <c r="K54" s="2273"/>
      <c r="L54" s="2273"/>
      <c r="M54" s="2273"/>
      <c r="N54" s="2273"/>
      <c r="O54" s="2273"/>
      <c r="P54" s="2273"/>
      <c r="Q54" s="2273"/>
    </row>
    <row r="55" spans="2:17" s="747" customFormat="1">
      <c r="B55" s="2273"/>
      <c r="C55" s="2273"/>
      <c r="D55" s="2273"/>
      <c r="E55" s="2273"/>
      <c r="F55" s="2273"/>
      <c r="G55" s="2273"/>
      <c r="H55" s="2273"/>
      <c r="I55" s="2273"/>
      <c r="J55" s="2273"/>
      <c r="K55" s="2273"/>
      <c r="L55" s="2273"/>
      <c r="M55" s="2273"/>
      <c r="N55" s="2273"/>
      <c r="O55" s="2273"/>
      <c r="P55" s="2273"/>
      <c r="Q55" s="2273"/>
    </row>
    <row r="56" spans="2:17" s="747" customFormat="1">
      <c r="B56" s="2273"/>
      <c r="C56" s="2273"/>
      <c r="D56" s="2273"/>
      <c r="E56" s="2273"/>
      <c r="F56" s="2273"/>
      <c r="G56" s="2273"/>
      <c r="H56" s="2273"/>
      <c r="I56" s="2273"/>
      <c r="J56" s="2273"/>
      <c r="K56" s="2273"/>
      <c r="L56" s="2273"/>
      <c r="M56" s="2273"/>
      <c r="N56" s="2273"/>
      <c r="O56" s="2273"/>
      <c r="P56" s="2273"/>
      <c r="Q56" s="2273"/>
    </row>
    <row r="57" spans="2:17" s="747" customFormat="1">
      <c r="B57" s="2273"/>
      <c r="C57" s="2273"/>
      <c r="D57" s="2273"/>
      <c r="E57" s="2273"/>
      <c r="F57" s="2273"/>
      <c r="G57" s="2273"/>
      <c r="H57" s="2273"/>
      <c r="I57" s="2273"/>
      <c r="J57" s="2273"/>
      <c r="K57" s="2273"/>
      <c r="L57" s="2273"/>
      <c r="M57" s="2273"/>
      <c r="N57" s="2273"/>
      <c r="O57" s="2273"/>
      <c r="P57" s="2273"/>
      <c r="Q57" s="2273"/>
    </row>
    <row r="58" spans="2:17" s="747" customFormat="1">
      <c r="B58" s="2273"/>
      <c r="C58" s="2273"/>
      <c r="D58" s="2273"/>
      <c r="E58" s="2273"/>
      <c r="F58" s="2273"/>
      <c r="G58" s="2273"/>
      <c r="H58" s="2273"/>
      <c r="I58" s="2273"/>
      <c r="J58" s="2273"/>
      <c r="K58" s="2273"/>
      <c r="L58" s="2273"/>
      <c r="M58" s="2273"/>
      <c r="N58" s="2273"/>
      <c r="O58" s="2273"/>
      <c r="P58" s="2273"/>
      <c r="Q58" s="2273"/>
    </row>
    <row r="59" spans="2:17" s="747" customFormat="1">
      <c r="B59" s="2273"/>
      <c r="C59" s="2273"/>
      <c r="D59" s="2273"/>
      <c r="E59" s="2273"/>
      <c r="F59" s="2273"/>
      <c r="G59" s="2273"/>
      <c r="H59" s="2273"/>
      <c r="I59" s="2273"/>
      <c r="J59" s="2273"/>
      <c r="K59" s="2273"/>
      <c r="L59" s="2273"/>
      <c r="M59" s="2273"/>
      <c r="N59" s="2273"/>
      <c r="O59" s="2273"/>
      <c r="P59" s="2273"/>
      <c r="Q59" s="2273"/>
    </row>
    <row r="60" spans="2:17" s="747" customFormat="1">
      <c r="B60" s="2273"/>
      <c r="C60" s="2273"/>
      <c r="D60" s="2273"/>
      <c r="E60" s="2273"/>
      <c r="F60" s="2273"/>
      <c r="G60" s="2273"/>
      <c r="H60" s="2273"/>
      <c r="I60" s="2273"/>
      <c r="J60" s="2273"/>
      <c r="K60" s="2273"/>
      <c r="L60" s="2273"/>
      <c r="M60" s="2273"/>
      <c r="N60" s="2273"/>
      <c r="O60" s="2273"/>
      <c r="P60" s="2273"/>
      <c r="Q60" s="2273"/>
    </row>
    <row r="61" spans="2:17" s="747" customFormat="1">
      <c r="B61" s="2273"/>
      <c r="C61" s="2273"/>
      <c r="D61" s="2273"/>
      <c r="E61" s="2273"/>
      <c r="F61" s="2273"/>
      <c r="G61" s="2273"/>
      <c r="H61" s="2273"/>
      <c r="I61" s="2273"/>
      <c r="J61" s="2273"/>
      <c r="K61" s="2273"/>
      <c r="L61" s="2273"/>
      <c r="M61" s="2273"/>
      <c r="N61" s="2273"/>
      <c r="O61" s="2273"/>
      <c r="P61" s="2273"/>
      <c r="Q61" s="2273"/>
    </row>
    <row r="62" spans="2:17" s="747" customFormat="1">
      <c r="B62" s="2273"/>
      <c r="C62" s="2273"/>
      <c r="D62" s="2273"/>
      <c r="E62" s="2273"/>
      <c r="F62" s="2273"/>
      <c r="G62" s="2273"/>
      <c r="H62" s="2273"/>
      <c r="I62" s="2273"/>
      <c r="J62" s="2273"/>
      <c r="K62" s="2273"/>
      <c r="L62" s="2273"/>
      <c r="M62" s="2273"/>
      <c r="N62" s="2273"/>
      <c r="O62" s="2273"/>
      <c r="P62" s="2273"/>
      <c r="Q62" s="2273"/>
    </row>
    <row r="63" spans="2:17" s="747" customFormat="1">
      <c r="B63" s="2273"/>
      <c r="C63" s="2273"/>
      <c r="D63" s="2273"/>
      <c r="E63" s="2273"/>
      <c r="F63" s="2273"/>
      <c r="G63" s="2273"/>
      <c r="H63" s="2273"/>
      <c r="I63" s="2273"/>
      <c r="J63" s="2273"/>
      <c r="K63" s="2273"/>
      <c r="L63" s="2273"/>
      <c r="M63" s="2273"/>
      <c r="N63" s="2273"/>
      <c r="O63" s="2273"/>
      <c r="P63" s="2273"/>
      <c r="Q63" s="2273"/>
    </row>
    <row r="64" spans="2:17" s="747" customFormat="1">
      <c r="B64" s="2273"/>
      <c r="C64" s="2273"/>
      <c r="D64" s="2273"/>
      <c r="E64" s="2273"/>
      <c r="F64" s="2273"/>
      <c r="G64" s="2273"/>
      <c r="H64" s="2273"/>
      <c r="I64" s="2273"/>
      <c r="J64" s="2273"/>
      <c r="K64" s="2273"/>
      <c r="L64" s="2273"/>
      <c r="M64" s="2273"/>
      <c r="N64" s="2273"/>
      <c r="O64" s="2273"/>
      <c r="P64" s="2273"/>
      <c r="Q64" s="2273"/>
    </row>
    <row r="65" spans="2:17" s="747" customFormat="1">
      <c r="B65" s="2273"/>
      <c r="C65" s="2273"/>
      <c r="D65" s="2273"/>
      <c r="E65" s="2273"/>
      <c r="F65" s="2273"/>
      <c r="G65" s="2273"/>
      <c r="H65" s="2273"/>
      <c r="I65" s="2273"/>
      <c r="J65" s="2273"/>
      <c r="K65" s="2273"/>
      <c r="L65" s="2273"/>
      <c r="M65" s="2273"/>
      <c r="N65" s="2273"/>
      <c r="O65" s="2273"/>
      <c r="P65" s="2273"/>
      <c r="Q65" s="2273"/>
    </row>
    <row r="66" spans="2:17" s="747" customFormat="1">
      <c r="B66" s="2273"/>
      <c r="C66" s="2273"/>
      <c r="D66" s="2273"/>
      <c r="E66" s="2273"/>
      <c r="F66" s="2273"/>
      <c r="G66" s="2273"/>
      <c r="H66" s="2273"/>
      <c r="I66" s="2273"/>
      <c r="J66" s="2273"/>
      <c r="K66" s="2273"/>
      <c r="L66" s="2273"/>
      <c r="M66" s="2273"/>
      <c r="N66" s="2273"/>
      <c r="O66" s="2273"/>
      <c r="P66" s="2273"/>
      <c r="Q66" s="2273"/>
    </row>
    <row r="67" spans="2:17" s="747" customFormat="1">
      <c r="B67" s="2273"/>
      <c r="C67" s="2273"/>
      <c r="D67" s="2273"/>
      <c r="E67" s="2273"/>
      <c r="F67" s="2273"/>
      <c r="G67" s="2273"/>
      <c r="H67" s="2273"/>
      <c r="I67" s="2273"/>
      <c r="J67" s="2273"/>
      <c r="K67" s="2273"/>
      <c r="L67" s="2273"/>
      <c r="M67" s="2273"/>
      <c r="N67" s="2273"/>
      <c r="O67" s="2273"/>
      <c r="P67" s="2273"/>
      <c r="Q67" s="2273"/>
    </row>
    <row r="68" spans="2:17" s="747" customFormat="1">
      <c r="B68" s="2273"/>
      <c r="C68" s="2273"/>
      <c r="D68" s="2273"/>
      <c r="E68" s="2273"/>
      <c r="F68" s="2273"/>
      <c r="G68" s="2273"/>
      <c r="H68" s="2273"/>
      <c r="I68" s="2273"/>
      <c r="J68" s="2273"/>
      <c r="K68" s="2273"/>
      <c r="L68" s="2273"/>
      <c r="M68" s="2273"/>
      <c r="N68" s="2273"/>
      <c r="O68" s="2273"/>
      <c r="P68" s="2273"/>
      <c r="Q68" s="2273"/>
    </row>
    <row r="69" spans="2:17" s="747" customFormat="1">
      <c r="B69" s="2273"/>
      <c r="C69" s="2273"/>
      <c r="D69" s="2273"/>
      <c r="E69" s="2273"/>
      <c r="F69" s="2273"/>
      <c r="G69" s="2273"/>
      <c r="H69" s="2273"/>
      <c r="I69" s="2273"/>
      <c r="J69" s="2273"/>
      <c r="K69" s="2273"/>
      <c r="L69" s="2273"/>
      <c r="M69" s="2273"/>
      <c r="N69" s="2273"/>
      <c r="O69" s="2273"/>
      <c r="P69" s="2273"/>
      <c r="Q69" s="2273"/>
    </row>
    <row r="70" spans="2:17" s="747" customFormat="1">
      <c r="B70" s="2273"/>
      <c r="C70" s="2273"/>
      <c r="D70" s="2273"/>
      <c r="E70" s="2273"/>
      <c r="F70" s="2273"/>
      <c r="G70" s="2273"/>
      <c r="H70" s="2273"/>
      <c r="I70" s="2273"/>
      <c r="J70" s="2273"/>
      <c r="K70" s="2273"/>
      <c r="L70" s="2273"/>
      <c r="M70" s="2273"/>
      <c r="N70" s="2273"/>
      <c r="O70" s="2273"/>
      <c r="P70" s="2273"/>
      <c r="Q70" s="2273"/>
    </row>
    <row r="71" spans="2:17" s="747" customFormat="1">
      <c r="B71" s="2273"/>
      <c r="C71" s="2273"/>
      <c r="D71" s="2273"/>
      <c r="E71" s="2273"/>
      <c r="F71" s="2273"/>
      <c r="G71" s="2273"/>
      <c r="H71" s="2273"/>
      <c r="I71" s="2273"/>
      <c r="J71" s="2273"/>
      <c r="K71" s="2273"/>
      <c r="L71" s="2273"/>
      <c r="M71" s="2273"/>
      <c r="N71" s="2273"/>
      <c r="O71" s="2273"/>
      <c r="P71" s="2273"/>
      <c r="Q71" s="2273"/>
    </row>
    <row r="72" spans="2:17" s="747" customFormat="1">
      <c r="B72" s="2273"/>
      <c r="C72" s="2273"/>
      <c r="D72" s="2273"/>
      <c r="E72" s="2273"/>
      <c r="F72" s="2273"/>
      <c r="G72" s="2273"/>
      <c r="H72" s="2273"/>
      <c r="I72" s="2273"/>
      <c r="J72" s="2273"/>
      <c r="K72" s="2273"/>
      <c r="L72" s="2273"/>
      <c r="M72" s="2273"/>
      <c r="N72" s="2273"/>
      <c r="O72" s="2273"/>
      <c r="P72" s="2273"/>
      <c r="Q72" s="2273"/>
    </row>
    <row r="73" spans="2:17" s="747" customFormat="1">
      <c r="B73" s="2273"/>
      <c r="C73" s="2273"/>
      <c r="D73" s="2273"/>
      <c r="E73" s="2273"/>
      <c r="F73" s="2273"/>
      <c r="G73" s="2273"/>
      <c r="H73" s="2273"/>
      <c r="I73" s="2273"/>
      <c r="J73" s="2273"/>
      <c r="K73" s="2273"/>
      <c r="L73" s="2273"/>
      <c r="M73" s="2273"/>
      <c r="N73" s="2273"/>
      <c r="O73" s="2273"/>
      <c r="P73" s="2273"/>
      <c r="Q73" s="2273"/>
    </row>
    <row r="74" spans="2:17" s="747" customFormat="1">
      <c r="B74" s="2273"/>
      <c r="C74" s="2273"/>
      <c r="D74" s="2273"/>
      <c r="E74" s="2273"/>
      <c r="F74" s="2273"/>
      <c r="G74" s="2273"/>
      <c r="H74" s="2273"/>
      <c r="I74" s="2273"/>
      <c r="J74" s="2273"/>
      <c r="K74" s="2273"/>
      <c r="L74" s="2273"/>
      <c r="M74" s="2273"/>
      <c r="N74" s="2273"/>
      <c r="O74" s="2273"/>
      <c r="P74" s="2273"/>
      <c r="Q74" s="2273"/>
    </row>
    <row r="75" spans="2:17" s="747" customFormat="1">
      <c r="B75" s="2273"/>
      <c r="C75" s="2273"/>
      <c r="D75" s="2273"/>
      <c r="E75" s="2273"/>
      <c r="F75" s="2273"/>
      <c r="G75" s="2273"/>
      <c r="H75" s="2273"/>
      <c r="I75" s="2273"/>
      <c r="J75" s="2273"/>
      <c r="K75" s="2273"/>
      <c r="L75" s="2273"/>
      <c r="M75" s="2273"/>
      <c r="N75" s="2273"/>
      <c r="O75" s="2273"/>
      <c r="P75" s="2273"/>
      <c r="Q75" s="2273"/>
    </row>
    <row r="76" spans="2:17" s="747" customFormat="1">
      <c r="B76" s="2273"/>
      <c r="C76" s="2273"/>
      <c r="D76" s="2273"/>
      <c r="E76" s="2273"/>
      <c r="F76" s="2273"/>
      <c r="G76" s="2273"/>
      <c r="H76" s="2273"/>
      <c r="I76" s="2273"/>
      <c r="J76" s="2273"/>
      <c r="K76" s="2273"/>
      <c r="L76" s="2273"/>
      <c r="M76" s="2273"/>
      <c r="N76" s="2273"/>
      <c r="O76" s="2273"/>
      <c r="P76" s="2273"/>
      <c r="Q76" s="2273"/>
    </row>
    <row r="77" spans="2:17" s="747" customFormat="1">
      <c r="B77" s="2273"/>
      <c r="C77" s="2273"/>
      <c r="D77" s="2273"/>
      <c r="E77" s="2273"/>
      <c r="F77" s="2273"/>
      <c r="G77" s="2273"/>
      <c r="H77" s="2273"/>
      <c r="I77" s="2273"/>
      <c r="J77" s="2273"/>
      <c r="K77" s="2273"/>
      <c r="L77" s="2273"/>
      <c r="M77" s="2273"/>
      <c r="N77" s="2273"/>
      <c r="O77" s="2273"/>
      <c r="P77" s="2273"/>
      <c r="Q77" s="2273"/>
    </row>
    <row r="78" spans="2:17" s="747" customFormat="1">
      <c r="B78" s="2273"/>
      <c r="C78" s="2273"/>
      <c r="D78" s="2273"/>
      <c r="E78" s="2273"/>
      <c r="F78" s="2273"/>
      <c r="G78" s="2273"/>
      <c r="H78" s="2273"/>
      <c r="I78" s="2273"/>
      <c r="J78" s="2273"/>
      <c r="K78" s="2273"/>
      <c r="L78" s="2273"/>
      <c r="M78" s="2273"/>
      <c r="N78" s="2273"/>
      <c r="O78" s="2273"/>
      <c r="P78" s="2273"/>
      <c r="Q78" s="2273"/>
    </row>
    <row r="79" spans="2:17" s="747" customFormat="1">
      <c r="B79" s="2273"/>
      <c r="C79" s="2273"/>
      <c r="D79" s="2273"/>
      <c r="E79" s="2273"/>
      <c r="F79" s="2273"/>
      <c r="G79" s="2273"/>
      <c r="H79" s="2273"/>
      <c r="I79" s="2273"/>
      <c r="J79" s="2273"/>
      <c r="K79" s="2273"/>
      <c r="L79" s="2273"/>
      <c r="M79" s="2273"/>
      <c r="N79" s="2273"/>
      <c r="O79" s="2273"/>
      <c r="P79" s="2273"/>
      <c r="Q79" s="2273"/>
    </row>
    <row r="80" spans="2:17" s="747" customFormat="1">
      <c r="B80" s="2273"/>
      <c r="C80" s="2273"/>
      <c r="D80" s="2273"/>
      <c r="E80" s="2273"/>
      <c r="F80" s="2273"/>
      <c r="G80" s="2273"/>
      <c r="H80" s="2273"/>
      <c r="I80" s="2273"/>
      <c r="J80" s="2273"/>
      <c r="K80" s="2273"/>
      <c r="L80" s="2273"/>
      <c r="M80" s="2273"/>
      <c r="N80" s="2273"/>
      <c r="O80" s="2273"/>
      <c r="P80" s="2273"/>
      <c r="Q80" s="2273"/>
    </row>
    <row r="81" spans="2:17" s="747" customFormat="1">
      <c r="B81" s="2273"/>
      <c r="C81" s="2273"/>
      <c r="D81" s="2273"/>
      <c r="E81" s="2273"/>
      <c r="F81" s="2273"/>
      <c r="G81" s="2273"/>
      <c r="H81" s="2273"/>
      <c r="I81" s="2273"/>
      <c r="J81" s="2273"/>
      <c r="K81" s="2273"/>
      <c r="L81" s="2273"/>
      <c r="M81" s="2273"/>
      <c r="N81" s="2273"/>
      <c r="O81" s="2273"/>
      <c r="P81" s="2273"/>
      <c r="Q81" s="2273"/>
    </row>
    <row r="82" spans="2:17" s="747" customFormat="1">
      <c r="B82" s="2273"/>
      <c r="C82" s="2273"/>
      <c r="D82" s="2273"/>
      <c r="E82" s="2273"/>
      <c r="F82" s="2273"/>
      <c r="G82" s="2273"/>
      <c r="H82" s="2273"/>
      <c r="I82" s="2273"/>
      <c r="J82" s="2273"/>
      <c r="K82" s="2273"/>
      <c r="L82" s="2273"/>
      <c r="M82" s="2273"/>
      <c r="N82" s="2273"/>
      <c r="O82" s="2273"/>
      <c r="P82" s="2273"/>
      <c r="Q82" s="2273"/>
    </row>
    <row r="83" spans="2:17" s="747" customFormat="1">
      <c r="B83" s="2273"/>
      <c r="C83" s="2273"/>
      <c r="D83" s="2273"/>
      <c r="E83" s="2273"/>
      <c r="F83" s="2273"/>
      <c r="G83" s="2273"/>
      <c r="H83" s="2273"/>
      <c r="I83" s="2273"/>
      <c r="J83" s="2273"/>
      <c r="K83" s="2273"/>
      <c r="L83" s="2273"/>
      <c r="M83" s="2273"/>
      <c r="N83" s="2273"/>
      <c r="O83" s="2273"/>
      <c r="P83" s="2273"/>
      <c r="Q83" s="2273"/>
    </row>
    <row r="84" spans="2:17" s="747" customFormat="1">
      <c r="B84" s="2273"/>
      <c r="C84" s="2273"/>
      <c r="D84" s="2273"/>
      <c r="E84" s="2273"/>
      <c r="F84" s="2273"/>
      <c r="G84" s="2273"/>
      <c r="H84" s="2273"/>
      <c r="I84" s="2273"/>
      <c r="J84" s="2273"/>
      <c r="K84" s="2273"/>
      <c r="L84" s="2273"/>
      <c r="M84" s="2273"/>
      <c r="N84" s="2273"/>
      <c r="O84" s="2273"/>
      <c r="P84" s="2273"/>
      <c r="Q84" s="2273"/>
    </row>
    <row r="85" spans="2:17" s="747" customFormat="1">
      <c r="B85" s="2273"/>
      <c r="C85" s="2273"/>
      <c r="D85" s="2273"/>
      <c r="E85" s="2273"/>
      <c r="F85" s="2273"/>
      <c r="G85" s="2273"/>
      <c r="H85" s="2273"/>
      <c r="I85" s="2273"/>
      <c r="J85" s="2273"/>
      <c r="K85" s="2273"/>
      <c r="L85" s="2273"/>
      <c r="M85" s="2273"/>
      <c r="N85" s="2273"/>
      <c r="O85" s="2273"/>
      <c r="P85" s="2273"/>
      <c r="Q85" s="2273"/>
    </row>
    <row r="86" spans="2:17" s="747" customFormat="1">
      <c r="B86" s="2273"/>
      <c r="C86" s="2273"/>
      <c r="D86" s="2273"/>
      <c r="E86" s="2273"/>
      <c r="F86" s="2273"/>
      <c r="G86" s="2273"/>
      <c r="H86" s="2273"/>
      <c r="I86" s="2273"/>
      <c r="J86" s="2273"/>
      <c r="K86" s="2273"/>
      <c r="L86" s="2273"/>
      <c r="M86" s="2273"/>
      <c r="N86" s="2273"/>
      <c r="O86" s="2273"/>
      <c r="P86" s="2273"/>
      <c r="Q86" s="2273"/>
    </row>
    <row r="87" spans="2:17" s="747" customFormat="1">
      <c r="B87" s="2273"/>
      <c r="C87" s="2273"/>
      <c r="D87" s="2273"/>
      <c r="E87" s="2273"/>
      <c r="F87" s="2273"/>
      <c r="G87" s="2273"/>
      <c r="H87" s="2273"/>
      <c r="I87" s="2273"/>
      <c r="J87" s="2273"/>
      <c r="K87" s="2273"/>
      <c r="L87" s="2273"/>
      <c r="M87" s="2273"/>
      <c r="N87" s="2273"/>
      <c r="O87" s="2273"/>
      <c r="P87" s="2273"/>
      <c r="Q87" s="2273"/>
    </row>
    <row r="88" spans="2:17" s="747" customFormat="1">
      <c r="B88" s="2273"/>
      <c r="C88" s="2273"/>
      <c r="D88" s="2273"/>
      <c r="E88" s="2273"/>
      <c r="F88" s="2273"/>
      <c r="G88" s="2273"/>
      <c r="H88" s="2273"/>
      <c r="I88" s="2273"/>
      <c r="J88" s="2273"/>
      <c r="K88" s="2273"/>
      <c r="L88" s="2273"/>
      <c r="M88" s="2273"/>
      <c r="N88" s="2273"/>
      <c r="O88" s="2273"/>
      <c r="P88" s="2273"/>
      <c r="Q88" s="2273"/>
    </row>
    <row r="89" spans="2:17" s="747" customFormat="1">
      <c r="B89" s="2273"/>
      <c r="C89" s="2273"/>
      <c r="D89" s="2273"/>
      <c r="E89" s="2273"/>
      <c r="F89" s="2273"/>
      <c r="G89" s="2273"/>
      <c r="H89" s="2273"/>
      <c r="I89" s="2273"/>
      <c r="J89" s="2273"/>
      <c r="K89" s="2273"/>
      <c r="L89" s="2273"/>
      <c r="M89" s="2273"/>
      <c r="N89" s="2273"/>
      <c r="O89" s="2273"/>
      <c r="P89" s="2273"/>
      <c r="Q89" s="2273"/>
    </row>
    <row r="90" spans="2:17" s="747" customFormat="1">
      <c r="B90" s="2273"/>
      <c r="C90" s="2273"/>
      <c r="D90" s="2273"/>
      <c r="E90" s="2273"/>
      <c r="F90" s="2273"/>
      <c r="G90" s="2273"/>
      <c r="H90" s="2273"/>
      <c r="I90" s="2273"/>
      <c r="J90" s="2273"/>
      <c r="K90" s="2273"/>
      <c r="L90" s="2273"/>
      <c r="M90" s="2273"/>
      <c r="N90" s="2273"/>
      <c r="O90" s="2273"/>
      <c r="P90" s="2273"/>
      <c r="Q90" s="2273"/>
    </row>
    <row r="91" spans="2:17" s="747" customFormat="1">
      <c r="B91" s="2273"/>
      <c r="C91" s="2273"/>
      <c r="D91" s="2273"/>
      <c r="E91" s="2273"/>
      <c r="F91" s="2273"/>
      <c r="G91" s="2273"/>
      <c r="H91" s="2273"/>
      <c r="I91" s="2273"/>
      <c r="J91" s="2273"/>
      <c r="K91" s="2273"/>
      <c r="L91" s="2273"/>
      <c r="M91" s="2273"/>
      <c r="N91" s="2273"/>
      <c r="O91" s="2273"/>
      <c r="P91" s="2273"/>
      <c r="Q91" s="2273"/>
    </row>
    <row r="92" spans="2:17" s="747" customFormat="1">
      <c r="B92" s="2273"/>
      <c r="C92" s="2273"/>
      <c r="D92" s="2273"/>
      <c r="E92" s="2273"/>
      <c r="F92" s="2273"/>
      <c r="G92" s="2273"/>
      <c r="H92" s="2273"/>
      <c r="I92" s="2273"/>
      <c r="J92" s="2273"/>
      <c r="K92" s="2273"/>
      <c r="L92" s="2273"/>
      <c r="M92" s="2273"/>
      <c r="N92" s="2273"/>
      <c r="O92" s="2273"/>
      <c r="P92" s="2273"/>
      <c r="Q92" s="2273"/>
    </row>
    <row r="93" spans="2:17" s="747" customFormat="1">
      <c r="B93" s="2273"/>
      <c r="C93" s="2273"/>
      <c r="D93" s="2273"/>
      <c r="E93" s="2273"/>
      <c r="F93" s="2273"/>
      <c r="G93" s="2273"/>
      <c r="H93" s="2273"/>
      <c r="I93" s="2273"/>
      <c r="J93" s="2273"/>
      <c r="K93" s="2273"/>
      <c r="L93" s="2273"/>
      <c r="M93" s="2273"/>
      <c r="N93" s="2273"/>
      <c r="O93" s="2273"/>
      <c r="P93" s="2273"/>
      <c r="Q93" s="2273"/>
    </row>
    <row r="94" spans="2:17" s="747" customFormat="1">
      <c r="B94" s="2273"/>
      <c r="C94" s="2273"/>
      <c r="D94" s="2273"/>
      <c r="E94" s="2273"/>
      <c r="F94" s="2273"/>
      <c r="G94" s="2273"/>
      <c r="H94" s="2273"/>
      <c r="I94" s="2273"/>
      <c r="J94" s="2273"/>
      <c r="K94" s="2273"/>
      <c r="L94" s="2273"/>
      <c r="M94" s="2273"/>
      <c r="N94" s="2273"/>
      <c r="O94" s="2273"/>
      <c r="P94" s="2273"/>
      <c r="Q94" s="2273"/>
    </row>
    <row r="95" spans="2:17" s="747" customFormat="1">
      <c r="B95" s="2273"/>
      <c r="C95" s="2273"/>
      <c r="D95" s="2273"/>
      <c r="E95" s="2273"/>
      <c r="F95" s="2273"/>
      <c r="G95" s="2273"/>
      <c r="H95" s="2273"/>
      <c r="I95" s="2273"/>
      <c r="J95" s="2273"/>
      <c r="K95" s="2273"/>
      <c r="L95" s="2273"/>
      <c r="M95" s="2273"/>
      <c r="N95" s="2273"/>
      <c r="O95" s="2273"/>
      <c r="P95" s="2273"/>
      <c r="Q95" s="2273"/>
    </row>
    <row r="96" spans="2:17" s="747" customFormat="1">
      <c r="B96" s="2273"/>
      <c r="C96" s="2273"/>
      <c r="D96" s="2273"/>
      <c r="E96" s="2273"/>
      <c r="F96" s="2273"/>
      <c r="G96" s="2273"/>
      <c r="H96" s="2273"/>
      <c r="I96" s="2273"/>
      <c r="J96" s="2273"/>
      <c r="K96" s="2273"/>
      <c r="L96" s="2273"/>
      <c r="M96" s="2273"/>
      <c r="N96" s="2273"/>
      <c r="O96" s="2273"/>
      <c r="P96" s="2273"/>
      <c r="Q96" s="2273"/>
    </row>
    <row r="97" spans="2:17" s="747" customFormat="1">
      <c r="B97" s="2273"/>
      <c r="C97" s="2273"/>
      <c r="D97" s="2273"/>
      <c r="E97" s="2273"/>
      <c r="F97" s="2273"/>
      <c r="G97" s="2273"/>
      <c r="H97" s="2273"/>
      <c r="I97" s="2273"/>
      <c r="J97" s="2273"/>
      <c r="K97" s="2273"/>
      <c r="L97" s="2273"/>
      <c r="M97" s="2273"/>
      <c r="N97" s="2273"/>
      <c r="O97" s="2273"/>
      <c r="P97" s="2273"/>
      <c r="Q97" s="2273"/>
    </row>
    <row r="98" spans="2:17" s="747" customFormat="1">
      <c r="B98" s="2273"/>
      <c r="C98" s="2273"/>
      <c r="D98" s="2273"/>
      <c r="E98" s="2273"/>
      <c r="F98" s="2273"/>
      <c r="G98" s="2273"/>
      <c r="H98" s="2273"/>
      <c r="I98" s="2273"/>
      <c r="J98" s="2273"/>
      <c r="K98" s="2273"/>
      <c r="L98" s="2273"/>
      <c r="M98" s="2273"/>
      <c r="N98" s="2273"/>
      <c r="O98" s="2273"/>
      <c r="P98" s="2273"/>
      <c r="Q98" s="2273"/>
    </row>
    <row r="99" spans="2:17" s="747" customFormat="1">
      <c r="B99" s="2273"/>
      <c r="C99" s="2273"/>
      <c r="D99" s="2273"/>
      <c r="E99" s="2273"/>
      <c r="F99" s="2273"/>
      <c r="G99" s="2273"/>
      <c r="H99" s="2273"/>
      <c r="I99" s="2273"/>
      <c r="J99" s="2273"/>
      <c r="K99" s="2273"/>
      <c r="L99" s="2273"/>
      <c r="M99" s="2273"/>
      <c r="N99" s="2273"/>
      <c r="O99" s="2273"/>
      <c r="P99" s="2273"/>
      <c r="Q99" s="2273"/>
    </row>
    <row r="100" spans="2:17" s="747" customFormat="1">
      <c r="B100" s="2273"/>
      <c r="C100" s="2273"/>
      <c r="D100" s="2273"/>
      <c r="E100" s="2273"/>
      <c r="F100" s="2273"/>
      <c r="G100" s="2273"/>
      <c r="H100" s="2273"/>
      <c r="I100" s="2273"/>
      <c r="J100" s="2273"/>
      <c r="K100" s="2273"/>
      <c r="L100" s="2273"/>
      <c r="M100" s="2273"/>
      <c r="N100" s="2273"/>
      <c r="O100" s="2273"/>
      <c r="P100" s="2273"/>
      <c r="Q100" s="2273"/>
    </row>
    <row r="101" spans="2:17" s="747" customFormat="1">
      <c r="B101" s="2273"/>
      <c r="C101" s="2273"/>
      <c r="D101" s="2273"/>
      <c r="E101" s="2273"/>
      <c r="F101" s="2273"/>
      <c r="G101" s="2273"/>
      <c r="H101" s="2273"/>
      <c r="I101" s="2273"/>
      <c r="J101" s="2273"/>
      <c r="K101" s="2273"/>
      <c r="L101" s="2273"/>
      <c r="M101" s="2273"/>
      <c r="N101" s="2273"/>
      <c r="O101" s="2273"/>
      <c r="P101" s="2273"/>
      <c r="Q101" s="2273"/>
    </row>
    <row r="102" spans="2:17" s="747" customFormat="1">
      <c r="B102" s="2273"/>
      <c r="C102" s="2273"/>
      <c r="D102" s="2273"/>
      <c r="E102" s="2273"/>
      <c r="F102" s="2273"/>
      <c r="G102" s="2273"/>
      <c r="H102" s="2273"/>
      <c r="I102" s="2273"/>
      <c r="J102" s="2273"/>
      <c r="K102" s="2273"/>
      <c r="L102" s="2273"/>
      <c r="M102" s="2273"/>
      <c r="N102" s="2273"/>
      <c r="O102" s="2273"/>
      <c r="P102" s="2273"/>
      <c r="Q102" s="2273"/>
    </row>
    <row r="103" spans="2:17" s="747" customFormat="1">
      <c r="B103" s="2273"/>
      <c r="C103" s="2273"/>
      <c r="D103" s="2273"/>
      <c r="E103" s="2273"/>
      <c r="F103" s="2273"/>
      <c r="G103" s="2273"/>
      <c r="H103" s="2273"/>
      <c r="I103" s="2273"/>
      <c r="J103" s="2273"/>
      <c r="K103" s="2273"/>
      <c r="L103" s="2273"/>
      <c r="M103" s="2273"/>
      <c r="N103" s="2273"/>
      <c r="O103" s="2273"/>
      <c r="P103" s="2273"/>
      <c r="Q103" s="2273"/>
    </row>
    <row r="104" spans="2:17" s="747" customFormat="1">
      <c r="B104" s="2273"/>
      <c r="C104" s="2273"/>
      <c r="D104" s="2273"/>
      <c r="E104" s="2273"/>
      <c r="F104" s="2273"/>
      <c r="G104" s="2273"/>
      <c r="H104" s="2273"/>
      <c r="I104" s="2273"/>
      <c r="J104" s="2273"/>
      <c r="K104" s="2273"/>
      <c r="L104" s="2273"/>
      <c r="M104" s="2273"/>
      <c r="N104" s="2273"/>
      <c r="O104" s="2273"/>
      <c r="P104" s="2273"/>
      <c r="Q104" s="2273"/>
    </row>
    <row r="105" spans="2:17" s="747" customFormat="1">
      <c r="B105" s="2273"/>
      <c r="C105" s="2273"/>
      <c r="D105" s="2273"/>
      <c r="E105" s="2273"/>
      <c r="F105" s="2273"/>
      <c r="G105" s="2273"/>
      <c r="H105" s="2273"/>
      <c r="I105" s="2273"/>
      <c r="J105" s="2273"/>
      <c r="K105" s="2273"/>
      <c r="L105" s="2273"/>
      <c r="M105" s="2273"/>
      <c r="N105" s="2273"/>
      <c r="O105" s="2273"/>
      <c r="P105" s="2273"/>
      <c r="Q105" s="2273"/>
    </row>
    <row r="106" spans="2:17" s="747" customFormat="1">
      <c r="B106" s="2273"/>
      <c r="C106" s="2273"/>
      <c r="D106" s="2273"/>
      <c r="E106" s="2273"/>
      <c r="F106" s="2273"/>
      <c r="G106" s="2273"/>
      <c r="H106" s="2273"/>
      <c r="I106" s="2273"/>
      <c r="J106" s="2273"/>
      <c r="K106" s="2273"/>
      <c r="L106" s="2273"/>
      <c r="M106" s="2273"/>
      <c r="N106" s="2273"/>
      <c r="O106" s="2273"/>
      <c r="P106" s="2273"/>
      <c r="Q106" s="2273"/>
    </row>
    <row r="107" spans="2:17" s="747" customFormat="1">
      <c r="B107" s="2273"/>
      <c r="C107" s="2273"/>
      <c r="D107" s="2273"/>
      <c r="E107" s="2273"/>
      <c r="F107" s="2273"/>
      <c r="G107" s="2273"/>
      <c r="H107" s="2273"/>
      <c r="I107" s="2273"/>
      <c r="J107" s="2273"/>
      <c r="K107" s="2273"/>
      <c r="L107" s="2273"/>
      <c r="M107" s="2273"/>
      <c r="N107" s="2273"/>
      <c r="O107" s="2273"/>
      <c r="P107" s="2273"/>
      <c r="Q107" s="2273"/>
    </row>
    <row r="108" spans="2:17" s="747" customFormat="1">
      <c r="B108" s="2273"/>
      <c r="C108" s="2273"/>
      <c r="D108" s="2273"/>
      <c r="E108" s="2273"/>
      <c r="F108" s="2273"/>
      <c r="G108" s="2273"/>
      <c r="H108" s="2273"/>
      <c r="I108" s="2273"/>
      <c r="J108" s="2273"/>
      <c r="K108" s="2273"/>
      <c r="L108" s="2273"/>
      <c r="M108" s="2273"/>
      <c r="N108" s="2273"/>
      <c r="O108" s="2273"/>
      <c r="P108" s="2273"/>
      <c r="Q108" s="2273"/>
    </row>
    <row r="109" spans="2:17" s="747" customFormat="1">
      <c r="B109" s="2273"/>
      <c r="C109" s="2273"/>
      <c r="D109" s="2273"/>
      <c r="E109" s="2273"/>
      <c r="F109" s="2273"/>
      <c r="G109" s="2273"/>
      <c r="H109" s="2273"/>
      <c r="I109" s="2273"/>
      <c r="J109" s="2273"/>
      <c r="K109" s="2273"/>
      <c r="L109" s="2273"/>
      <c r="M109" s="2273"/>
      <c r="N109" s="2273"/>
      <c r="O109" s="2273"/>
      <c r="P109" s="2273"/>
      <c r="Q109" s="2273"/>
    </row>
    <row r="110" spans="2:17" s="747" customFormat="1">
      <c r="B110" s="2273"/>
      <c r="C110" s="2273"/>
      <c r="D110" s="2273"/>
      <c r="E110" s="2273"/>
      <c r="F110" s="2273"/>
      <c r="G110" s="2273"/>
      <c r="H110" s="2273"/>
      <c r="I110" s="2273"/>
      <c r="J110" s="2273"/>
      <c r="K110" s="2273"/>
      <c r="L110" s="2273"/>
      <c r="M110" s="2273"/>
      <c r="N110" s="2273"/>
      <c r="O110" s="2273"/>
      <c r="P110" s="2273"/>
      <c r="Q110" s="2273"/>
    </row>
    <row r="111" spans="2:17" s="747" customFormat="1">
      <c r="B111" s="2273"/>
      <c r="C111" s="2273"/>
      <c r="D111" s="2273"/>
      <c r="E111" s="2273"/>
      <c r="F111" s="2273"/>
      <c r="G111" s="2273"/>
      <c r="H111" s="2273"/>
      <c r="I111" s="2273"/>
      <c r="J111" s="2273"/>
      <c r="K111" s="2273"/>
      <c r="L111" s="2273"/>
      <c r="M111" s="2273"/>
      <c r="N111" s="2273"/>
      <c r="O111" s="2273"/>
      <c r="P111" s="2273"/>
      <c r="Q111" s="2273"/>
    </row>
    <row r="112" spans="2:17" s="747" customFormat="1">
      <c r="B112" s="2273"/>
      <c r="C112" s="2273"/>
      <c r="D112" s="2273"/>
      <c r="E112" s="2273"/>
      <c r="F112" s="2273"/>
      <c r="G112" s="2273"/>
      <c r="H112" s="2273"/>
      <c r="I112" s="2273"/>
      <c r="J112" s="2273"/>
      <c r="K112" s="2273"/>
      <c r="L112" s="2273"/>
      <c r="M112" s="2273"/>
      <c r="N112" s="2273"/>
      <c r="O112" s="2273"/>
      <c r="P112" s="2273"/>
      <c r="Q112" s="2273"/>
    </row>
    <row r="113" spans="2:17" s="747" customFormat="1">
      <c r="B113" s="2273"/>
      <c r="C113" s="2273"/>
      <c r="D113" s="2273"/>
      <c r="E113" s="2273"/>
      <c r="F113" s="2273"/>
      <c r="G113" s="2273"/>
      <c r="H113" s="2273"/>
      <c r="I113" s="2273"/>
      <c r="J113" s="2273"/>
      <c r="K113" s="2273"/>
      <c r="L113" s="2273"/>
      <c r="M113" s="2273"/>
      <c r="N113" s="2273"/>
      <c r="O113" s="2273"/>
      <c r="P113" s="2273"/>
      <c r="Q113" s="2273"/>
    </row>
    <row r="114" spans="2:17" s="747" customFormat="1">
      <c r="B114" s="2273"/>
      <c r="C114" s="2273"/>
      <c r="D114" s="2273"/>
      <c r="E114" s="2273"/>
      <c r="F114" s="2273"/>
      <c r="G114" s="2273"/>
      <c r="H114" s="2273"/>
      <c r="I114" s="2273"/>
      <c r="J114" s="2273"/>
      <c r="K114" s="2273"/>
      <c r="L114" s="2273"/>
      <c r="M114" s="2273"/>
      <c r="N114" s="2273"/>
      <c r="O114" s="2273"/>
      <c r="P114" s="2273"/>
      <c r="Q114" s="2273"/>
    </row>
    <row r="115" spans="2:17" s="747" customFormat="1">
      <c r="B115" s="2273"/>
      <c r="C115" s="2273"/>
      <c r="D115" s="2273"/>
      <c r="E115" s="2273"/>
      <c r="F115" s="2273"/>
      <c r="G115" s="2273"/>
      <c r="H115" s="2273"/>
      <c r="I115" s="2273"/>
      <c r="J115" s="2273"/>
      <c r="K115" s="2273"/>
      <c r="L115" s="2273"/>
      <c r="M115" s="2273"/>
      <c r="N115" s="2273"/>
      <c r="O115" s="2273"/>
      <c r="P115" s="2273"/>
      <c r="Q115" s="2273"/>
    </row>
    <row r="116" spans="2:17" s="747" customFormat="1">
      <c r="B116" s="2273"/>
      <c r="C116" s="2273"/>
      <c r="D116" s="2273"/>
      <c r="E116" s="2273"/>
      <c r="F116" s="2273"/>
      <c r="G116" s="2273"/>
      <c r="H116" s="2273"/>
      <c r="I116" s="2273"/>
      <c r="J116" s="2273"/>
      <c r="K116" s="2273"/>
      <c r="L116" s="2273"/>
      <c r="M116" s="2273"/>
      <c r="N116" s="2273"/>
      <c r="O116" s="2273"/>
      <c r="P116" s="2273"/>
      <c r="Q116" s="2273"/>
    </row>
    <row r="117" spans="2:17" s="747" customFormat="1">
      <c r="B117" s="2273"/>
      <c r="C117" s="2273"/>
      <c r="D117" s="2273"/>
      <c r="E117" s="2273"/>
      <c r="F117" s="2273"/>
      <c r="G117" s="2273"/>
      <c r="H117" s="2273"/>
      <c r="I117" s="2273"/>
      <c r="J117" s="2273"/>
      <c r="K117" s="2273"/>
      <c r="L117" s="2273"/>
      <c r="M117" s="2273"/>
      <c r="N117" s="2273"/>
      <c r="O117" s="2273"/>
      <c r="P117" s="2273"/>
      <c r="Q117" s="2273"/>
    </row>
    <row r="118" spans="2:17" s="747" customFormat="1">
      <c r="B118" s="2273"/>
      <c r="C118" s="2273"/>
      <c r="D118" s="2273"/>
      <c r="E118" s="2273"/>
      <c r="F118" s="2273"/>
      <c r="G118" s="2273"/>
      <c r="H118" s="2273"/>
      <c r="I118" s="2273"/>
      <c r="J118" s="2273"/>
      <c r="K118" s="2273"/>
      <c r="L118" s="2273"/>
      <c r="M118" s="2273"/>
      <c r="N118" s="2273"/>
      <c r="O118" s="2273"/>
      <c r="P118" s="2273"/>
      <c r="Q118" s="2273"/>
    </row>
    <row r="119" spans="2:17" s="747" customFormat="1">
      <c r="B119" s="2273"/>
      <c r="C119" s="2273"/>
      <c r="D119" s="2273"/>
      <c r="E119" s="2273"/>
      <c r="F119" s="2273"/>
      <c r="G119" s="2273"/>
      <c r="H119" s="2273"/>
      <c r="I119" s="2273"/>
      <c r="J119" s="2273"/>
      <c r="K119" s="2273"/>
      <c r="L119" s="2273"/>
      <c r="M119" s="2273"/>
      <c r="N119" s="2273"/>
      <c r="O119" s="2273"/>
      <c r="P119" s="2273"/>
      <c r="Q119" s="2273"/>
    </row>
    <row r="120" spans="2:17" s="747" customFormat="1">
      <c r="B120" s="2273"/>
      <c r="C120" s="2273"/>
      <c r="D120" s="2273"/>
      <c r="E120" s="2273"/>
      <c r="F120" s="2273"/>
      <c r="G120" s="2273"/>
      <c r="H120" s="2273"/>
      <c r="I120" s="2273"/>
      <c r="J120" s="2273"/>
      <c r="K120" s="2273"/>
      <c r="L120" s="2273"/>
      <c r="M120" s="2273"/>
      <c r="N120" s="2273"/>
      <c r="O120" s="2273"/>
      <c r="P120" s="2273"/>
      <c r="Q120" s="2273"/>
    </row>
    <row r="121" spans="2:17" s="747" customFormat="1">
      <c r="B121" s="2273"/>
      <c r="C121" s="2273"/>
      <c r="D121" s="2273"/>
      <c r="E121" s="2273"/>
      <c r="F121" s="2273"/>
      <c r="G121" s="2273"/>
      <c r="H121" s="2273"/>
      <c r="I121" s="2273"/>
      <c r="J121" s="2273"/>
      <c r="K121" s="2273"/>
      <c r="L121" s="2273"/>
      <c r="M121" s="2273"/>
      <c r="N121" s="2273"/>
      <c r="O121" s="2273"/>
      <c r="P121" s="2273"/>
      <c r="Q121" s="2273"/>
    </row>
    <row r="122" spans="2:17" s="747" customFormat="1">
      <c r="B122" s="2273"/>
      <c r="C122" s="2273"/>
      <c r="D122" s="2273"/>
      <c r="E122" s="2273"/>
      <c r="F122" s="2273"/>
      <c r="G122" s="2273"/>
      <c r="H122" s="2273"/>
      <c r="I122" s="2273"/>
      <c r="J122" s="2273"/>
      <c r="K122" s="2273"/>
      <c r="L122" s="2273"/>
      <c r="M122" s="2273"/>
      <c r="N122" s="2273"/>
      <c r="O122" s="2273"/>
      <c r="P122" s="2273"/>
      <c r="Q122" s="2273"/>
    </row>
    <row r="123" spans="2:17" s="747" customFormat="1">
      <c r="B123" s="2273"/>
      <c r="C123" s="2273"/>
      <c r="D123" s="2273"/>
      <c r="E123" s="2273"/>
      <c r="F123" s="2273"/>
      <c r="G123" s="2273"/>
      <c r="H123" s="2273"/>
      <c r="I123" s="2273"/>
      <c r="J123" s="2273"/>
      <c r="K123" s="2273"/>
      <c r="L123" s="2273"/>
      <c r="M123" s="2273"/>
      <c r="N123" s="2273"/>
      <c r="O123" s="2273"/>
      <c r="P123" s="2273"/>
      <c r="Q123" s="2273"/>
    </row>
    <row r="124" spans="2:17" s="747" customFormat="1">
      <c r="B124" s="2273"/>
      <c r="C124" s="2273"/>
      <c r="D124" s="2273"/>
      <c r="E124" s="2273"/>
      <c r="F124" s="2273"/>
      <c r="G124" s="2273"/>
      <c r="H124" s="2273"/>
      <c r="I124" s="2273"/>
      <c r="J124" s="2273"/>
      <c r="K124" s="2273"/>
      <c r="L124" s="2273"/>
      <c r="M124" s="2273"/>
      <c r="N124" s="2273"/>
      <c r="O124" s="2273"/>
      <c r="P124" s="2273"/>
      <c r="Q124" s="2273"/>
    </row>
    <row r="125" spans="2:17" s="747" customFormat="1">
      <c r="B125" s="2273"/>
      <c r="C125" s="2273"/>
      <c r="D125" s="2273"/>
      <c r="E125" s="2273"/>
      <c r="F125" s="2273"/>
      <c r="G125" s="2273"/>
      <c r="H125" s="2273"/>
      <c r="I125" s="2273"/>
      <c r="J125" s="2273"/>
      <c r="K125" s="2273"/>
      <c r="L125" s="2273"/>
      <c r="M125" s="2273"/>
      <c r="N125" s="2273"/>
      <c r="O125" s="2273"/>
      <c r="P125" s="2273"/>
      <c r="Q125" s="2273"/>
    </row>
    <row r="126" spans="2:17" s="747" customFormat="1">
      <c r="B126" s="2273"/>
      <c r="C126" s="2273"/>
      <c r="D126" s="2273"/>
      <c r="E126" s="2273"/>
      <c r="F126" s="2273"/>
      <c r="G126" s="2273"/>
      <c r="H126" s="2273"/>
      <c r="I126" s="2273"/>
      <c r="J126" s="2273"/>
      <c r="K126" s="2273"/>
      <c r="L126" s="2273"/>
      <c r="M126" s="2273"/>
      <c r="N126" s="2273"/>
      <c r="O126" s="2273"/>
      <c r="P126" s="2273"/>
      <c r="Q126" s="2273"/>
    </row>
    <row r="127" spans="2:17" s="747" customFormat="1">
      <c r="B127" s="2273"/>
      <c r="C127" s="2273"/>
      <c r="D127" s="2273"/>
      <c r="E127" s="2273"/>
      <c r="F127" s="2273"/>
      <c r="G127" s="2273"/>
      <c r="H127" s="2273"/>
      <c r="I127" s="2273"/>
      <c r="J127" s="2273"/>
      <c r="K127" s="2273"/>
      <c r="L127" s="2273"/>
      <c r="M127" s="2273"/>
      <c r="N127" s="2273"/>
      <c r="O127" s="2273"/>
      <c r="P127" s="2273"/>
      <c r="Q127" s="2273"/>
    </row>
    <row r="128" spans="2:17" s="747" customFormat="1">
      <c r="B128" s="2273"/>
      <c r="C128" s="2273"/>
      <c r="D128" s="2273"/>
      <c r="E128" s="2273"/>
      <c r="F128" s="2273"/>
      <c r="G128" s="2273"/>
      <c r="H128" s="2273"/>
      <c r="I128" s="2273"/>
      <c r="J128" s="2273"/>
      <c r="K128" s="2273"/>
      <c r="L128" s="2273"/>
      <c r="M128" s="2273"/>
      <c r="N128" s="2273"/>
      <c r="O128" s="2273"/>
      <c r="P128" s="2273"/>
      <c r="Q128" s="2273"/>
    </row>
    <row r="129" spans="2:17" s="747" customFormat="1">
      <c r="B129" s="2273"/>
      <c r="C129" s="2273"/>
      <c r="D129" s="2273"/>
      <c r="E129" s="2273"/>
      <c r="F129" s="2273"/>
      <c r="G129" s="2273"/>
      <c r="H129" s="2273"/>
      <c r="I129" s="2273"/>
      <c r="J129" s="2273"/>
      <c r="K129" s="2273"/>
      <c r="L129" s="2273"/>
      <c r="M129" s="2273"/>
      <c r="N129" s="2273"/>
      <c r="O129" s="2273"/>
      <c r="P129" s="2273"/>
      <c r="Q129" s="2273"/>
    </row>
    <row r="130" spans="2:17" s="747" customFormat="1">
      <c r="B130" s="2273"/>
      <c r="C130" s="2273"/>
      <c r="D130" s="2273"/>
      <c r="E130" s="2273"/>
      <c r="F130" s="2273"/>
      <c r="G130" s="2273"/>
      <c r="H130" s="2273"/>
      <c r="I130" s="2273"/>
      <c r="J130" s="2273"/>
      <c r="K130" s="2273"/>
      <c r="L130" s="2273"/>
      <c r="M130" s="2273"/>
      <c r="N130" s="2273"/>
      <c r="O130" s="2273"/>
      <c r="P130" s="2273"/>
      <c r="Q130" s="2273"/>
    </row>
    <row r="131" spans="2:17" s="747" customFormat="1">
      <c r="B131" s="2273"/>
      <c r="C131" s="2273"/>
      <c r="D131" s="2273"/>
      <c r="E131" s="2273"/>
      <c r="F131" s="2273"/>
      <c r="G131" s="2273"/>
      <c r="H131" s="2273"/>
      <c r="I131" s="2273"/>
      <c r="J131" s="2273"/>
      <c r="K131" s="2273"/>
      <c r="L131" s="2273"/>
      <c r="M131" s="2273"/>
      <c r="N131" s="2273"/>
      <c r="O131" s="2273"/>
      <c r="P131" s="2273"/>
      <c r="Q131" s="2273"/>
    </row>
    <row r="132" spans="2:17" s="747" customFormat="1">
      <c r="B132" s="2273"/>
      <c r="C132" s="2273"/>
      <c r="D132" s="2273"/>
      <c r="E132" s="2273"/>
      <c r="F132" s="2273"/>
      <c r="G132" s="2273"/>
      <c r="H132" s="2273"/>
      <c r="I132" s="2273"/>
      <c r="J132" s="2273"/>
      <c r="K132" s="2273"/>
      <c r="L132" s="2273"/>
      <c r="M132" s="2273"/>
      <c r="N132" s="2273"/>
      <c r="O132" s="2273"/>
      <c r="P132" s="2273"/>
      <c r="Q132" s="2273"/>
    </row>
    <row r="133" spans="2:17" s="747" customFormat="1">
      <c r="B133" s="2273"/>
      <c r="C133" s="2273"/>
      <c r="D133" s="2273"/>
      <c r="E133" s="2273"/>
      <c r="F133" s="2273"/>
      <c r="G133" s="2273"/>
      <c r="H133" s="2273"/>
      <c r="I133" s="2273"/>
      <c r="J133" s="2273"/>
      <c r="K133" s="2273"/>
      <c r="L133" s="2273"/>
      <c r="M133" s="2273"/>
      <c r="N133" s="2273"/>
      <c r="O133" s="2273"/>
      <c r="P133" s="2273"/>
      <c r="Q133" s="2273"/>
    </row>
    <row r="134" spans="2:17" s="747" customFormat="1">
      <c r="B134" s="2273"/>
      <c r="C134" s="2273"/>
      <c r="D134" s="2273"/>
      <c r="E134" s="2273"/>
      <c r="F134" s="2273"/>
      <c r="G134" s="2273"/>
      <c r="H134" s="2273"/>
      <c r="I134" s="2273"/>
      <c r="J134" s="2273"/>
      <c r="K134" s="2273"/>
      <c r="L134" s="2273"/>
      <c r="M134" s="2273"/>
      <c r="N134" s="2273"/>
      <c r="O134" s="2273"/>
      <c r="P134" s="2273"/>
      <c r="Q134" s="2273"/>
    </row>
    <row r="135" spans="2:17" s="747" customFormat="1">
      <c r="B135" s="2273"/>
      <c r="C135" s="2273"/>
      <c r="D135" s="2273"/>
      <c r="E135" s="2273"/>
      <c r="F135" s="2273"/>
      <c r="G135" s="2273"/>
      <c r="H135" s="2273"/>
      <c r="I135" s="2273"/>
      <c r="J135" s="2273"/>
      <c r="K135" s="2273"/>
      <c r="L135" s="2273"/>
      <c r="M135" s="2273"/>
      <c r="N135" s="2273"/>
      <c r="O135" s="2273"/>
      <c r="P135" s="2273"/>
      <c r="Q135" s="2273"/>
    </row>
    <row r="136" spans="2:17" s="747" customFormat="1">
      <c r="B136" s="2273"/>
      <c r="C136" s="2273"/>
      <c r="D136" s="2273"/>
      <c r="E136" s="2273"/>
      <c r="F136" s="2273"/>
      <c r="G136" s="2273"/>
      <c r="H136" s="2273"/>
      <c r="I136" s="2273"/>
      <c r="J136" s="2273"/>
      <c r="K136" s="2273"/>
      <c r="L136" s="2273"/>
      <c r="M136" s="2273"/>
      <c r="N136" s="2273"/>
      <c r="O136" s="2273"/>
      <c r="P136" s="2273"/>
      <c r="Q136" s="2273"/>
    </row>
    <row r="137" spans="2:17" s="747" customFormat="1">
      <c r="B137" s="2273"/>
      <c r="C137" s="2273"/>
      <c r="D137" s="2273"/>
      <c r="E137" s="2273"/>
      <c r="F137" s="2273"/>
      <c r="G137" s="2273"/>
      <c r="H137" s="2273"/>
      <c r="I137" s="2273"/>
      <c r="J137" s="2273"/>
      <c r="K137" s="2273"/>
      <c r="L137" s="2273"/>
      <c r="M137" s="2273"/>
      <c r="N137" s="2273"/>
      <c r="O137" s="2273"/>
      <c r="P137" s="2273"/>
      <c r="Q137" s="2273"/>
    </row>
    <row r="138" spans="2:17" s="747" customFormat="1">
      <c r="B138" s="2273"/>
      <c r="C138" s="2273"/>
      <c r="D138" s="2273"/>
      <c r="E138" s="2273"/>
      <c r="F138" s="2273"/>
      <c r="G138" s="2273"/>
      <c r="H138" s="2273"/>
      <c r="I138" s="2273"/>
      <c r="J138" s="2273"/>
      <c r="K138" s="2273"/>
      <c r="L138" s="2273"/>
      <c r="M138" s="2273"/>
      <c r="N138" s="2273"/>
      <c r="O138" s="2273"/>
      <c r="P138" s="2273"/>
      <c r="Q138" s="2273"/>
    </row>
    <row r="139" spans="2:17" s="747" customFormat="1">
      <c r="B139" s="2273"/>
      <c r="C139" s="2273"/>
      <c r="D139" s="2273"/>
      <c r="E139" s="2273"/>
      <c r="F139" s="2273"/>
      <c r="G139" s="2273"/>
      <c r="H139" s="2273"/>
      <c r="I139" s="2273"/>
      <c r="J139" s="2273"/>
      <c r="K139" s="2273"/>
      <c r="L139" s="2273"/>
      <c r="M139" s="2273"/>
      <c r="N139" s="2273"/>
      <c r="O139" s="2273"/>
      <c r="P139" s="2273"/>
      <c r="Q139" s="2273"/>
    </row>
    <row r="140" spans="2:17" s="747" customFormat="1">
      <c r="B140" s="2273"/>
      <c r="C140" s="2273"/>
      <c r="D140" s="2273"/>
      <c r="E140" s="2273"/>
      <c r="F140" s="2273"/>
      <c r="G140" s="2273"/>
      <c r="H140" s="2273"/>
      <c r="I140" s="2273"/>
      <c r="J140" s="2273"/>
      <c r="K140" s="2273"/>
      <c r="L140" s="2273"/>
      <c r="M140" s="2273"/>
      <c r="N140" s="2273"/>
      <c r="O140" s="2273"/>
      <c r="P140" s="2273"/>
      <c r="Q140" s="2273"/>
    </row>
    <row r="141" spans="2:17" s="747" customFormat="1">
      <c r="B141" s="2273"/>
      <c r="C141" s="2273"/>
      <c r="D141" s="2273"/>
      <c r="E141" s="2273"/>
      <c r="F141" s="2273"/>
      <c r="G141" s="2273"/>
      <c r="H141" s="2273"/>
      <c r="I141" s="2273"/>
      <c r="J141" s="2273"/>
      <c r="K141" s="2273"/>
      <c r="L141" s="2273"/>
      <c r="M141" s="2273"/>
      <c r="N141" s="2273"/>
      <c r="O141" s="2273"/>
      <c r="P141" s="2273"/>
      <c r="Q141" s="2273"/>
    </row>
    <row r="142" spans="2:17" s="747" customFormat="1">
      <c r="B142" s="2273"/>
      <c r="C142" s="2273"/>
      <c r="D142" s="2273"/>
      <c r="E142" s="2273"/>
      <c r="F142" s="2273"/>
      <c r="G142" s="2273"/>
      <c r="H142" s="2273"/>
      <c r="I142" s="2273"/>
      <c r="J142" s="2273"/>
      <c r="K142" s="2273"/>
      <c r="L142" s="2273"/>
      <c r="M142" s="2273"/>
      <c r="N142" s="2273"/>
      <c r="O142" s="2273"/>
      <c r="P142" s="2273"/>
      <c r="Q142" s="2273"/>
    </row>
    <row r="143" spans="2:17" s="747" customFormat="1">
      <c r="B143" s="2273"/>
      <c r="C143" s="2273"/>
      <c r="D143" s="2273"/>
      <c r="E143" s="2273"/>
      <c r="F143" s="2273"/>
      <c r="G143" s="2273"/>
      <c r="H143" s="2273"/>
      <c r="I143" s="2273"/>
      <c r="J143" s="2273"/>
      <c r="K143" s="2273"/>
      <c r="L143" s="2273"/>
      <c r="M143" s="2273"/>
      <c r="N143" s="2273"/>
      <c r="O143" s="2273"/>
      <c r="P143" s="2273"/>
      <c r="Q143" s="2273"/>
    </row>
    <row r="144" spans="2:17" s="747" customFormat="1">
      <c r="B144" s="2273"/>
      <c r="C144" s="2273"/>
      <c r="D144" s="2273"/>
      <c r="E144" s="2273"/>
      <c r="F144" s="2273"/>
      <c r="G144" s="2273"/>
      <c r="H144" s="2273"/>
      <c r="I144" s="2273"/>
      <c r="J144" s="2273"/>
      <c r="K144" s="2273"/>
      <c r="L144" s="2273"/>
      <c r="M144" s="2273"/>
      <c r="N144" s="2273"/>
      <c r="O144" s="2273"/>
      <c r="P144" s="2273"/>
      <c r="Q144" s="2273"/>
    </row>
    <row r="145" spans="2:17" s="747" customFormat="1">
      <c r="B145" s="2273"/>
      <c r="C145" s="2273"/>
      <c r="D145" s="2273"/>
      <c r="E145" s="2273"/>
      <c r="F145" s="2273"/>
      <c r="G145" s="2273"/>
      <c r="H145" s="2273"/>
      <c r="I145" s="2273"/>
      <c r="J145" s="2273"/>
      <c r="K145" s="2273"/>
      <c r="L145" s="2273"/>
      <c r="M145" s="2273"/>
      <c r="N145" s="2273"/>
      <c r="O145" s="2273"/>
      <c r="P145" s="2273"/>
      <c r="Q145" s="2273"/>
    </row>
    <row r="146" spans="2:17" s="747" customFormat="1">
      <c r="B146" s="2273"/>
      <c r="C146" s="2273"/>
      <c r="D146" s="2273"/>
      <c r="E146" s="2273"/>
      <c r="F146" s="2273"/>
      <c r="G146" s="2273"/>
      <c r="H146" s="2273"/>
      <c r="I146" s="2273"/>
      <c r="J146" s="2273"/>
      <c r="K146" s="2273"/>
      <c r="L146" s="2273"/>
      <c r="M146" s="2273"/>
      <c r="N146" s="2273"/>
      <c r="O146" s="2273"/>
      <c r="P146" s="2273"/>
      <c r="Q146" s="2273"/>
    </row>
    <row r="147" spans="2:17" s="747" customFormat="1">
      <c r="B147" s="2273"/>
      <c r="C147" s="2273"/>
      <c r="D147" s="2273"/>
      <c r="E147" s="2273"/>
      <c r="F147" s="2273"/>
      <c r="G147" s="2273"/>
      <c r="H147" s="2273"/>
      <c r="I147" s="2273"/>
      <c r="J147" s="2273"/>
      <c r="K147" s="2273"/>
      <c r="L147" s="2273"/>
      <c r="M147" s="2273"/>
      <c r="N147" s="2273"/>
      <c r="O147" s="2273"/>
      <c r="P147" s="2273"/>
      <c r="Q147" s="2273"/>
    </row>
    <row r="148" spans="2:17" s="747" customFormat="1">
      <c r="B148" s="2273"/>
      <c r="C148" s="2273"/>
      <c r="D148" s="2273"/>
      <c r="E148" s="2273"/>
      <c r="F148" s="2273"/>
      <c r="G148" s="2273"/>
      <c r="H148" s="2273"/>
      <c r="I148" s="2273"/>
      <c r="J148" s="2273"/>
      <c r="K148" s="2273"/>
      <c r="L148" s="2273"/>
      <c r="M148" s="2273"/>
      <c r="N148" s="2273"/>
      <c r="O148" s="2273"/>
      <c r="P148" s="2273"/>
      <c r="Q148" s="2273"/>
    </row>
    <row r="149" spans="2:17" s="747" customFormat="1">
      <c r="B149" s="2273"/>
      <c r="C149" s="2273"/>
      <c r="D149" s="2273"/>
      <c r="E149" s="2273"/>
      <c r="F149" s="2273"/>
      <c r="G149" s="2273"/>
      <c r="H149" s="2273"/>
      <c r="I149" s="2273"/>
      <c r="J149" s="2273"/>
      <c r="K149" s="2273"/>
      <c r="L149" s="2273"/>
      <c r="M149" s="2273"/>
      <c r="N149" s="2273"/>
      <c r="O149" s="2273"/>
      <c r="P149" s="2273"/>
      <c r="Q149" s="2273"/>
    </row>
    <row r="150" spans="2:17" s="747" customFormat="1">
      <c r="B150" s="2273"/>
      <c r="C150" s="2273"/>
      <c r="D150" s="2273"/>
      <c r="E150" s="2273"/>
      <c r="F150" s="2273"/>
      <c r="G150" s="2273"/>
      <c r="H150" s="2273"/>
      <c r="I150" s="2273"/>
      <c r="J150" s="2273"/>
      <c r="K150" s="2273"/>
      <c r="L150" s="2273"/>
      <c r="M150" s="2273"/>
      <c r="N150" s="2273"/>
      <c r="O150" s="2273"/>
      <c r="P150" s="2273"/>
      <c r="Q150" s="2273"/>
    </row>
    <row r="151" spans="2:17" s="747" customFormat="1">
      <c r="B151" s="2273"/>
      <c r="C151" s="2273"/>
      <c r="D151" s="2273"/>
      <c r="E151" s="2273"/>
      <c r="F151" s="2273"/>
      <c r="G151" s="2273"/>
      <c r="H151" s="2273"/>
      <c r="I151" s="2273"/>
      <c r="J151" s="2273"/>
      <c r="K151" s="2273"/>
      <c r="L151" s="2273"/>
      <c r="M151" s="2273"/>
      <c r="N151" s="2273"/>
      <c r="O151" s="2273"/>
      <c r="P151" s="2273"/>
      <c r="Q151" s="2273"/>
    </row>
    <row r="152" spans="2:17" s="747" customFormat="1">
      <c r="B152" s="2273"/>
      <c r="C152" s="2273"/>
      <c r="D152" s="2273"/>
      <c r="E152" s="2273"/>
      <c r="F152" s="2273"/>
      <c r="G152" s="2273"/>
      <c r="H152" s="2273"/>
      <c r="I152" s="2273"/>
      <c r="J152" s="2273"/>
      <c r="K152" s="2273"/>
      <c r="L152" s="2273"/>
      <c r="M152" s="2273"/>
      <c r="N152" s="2273"/>
      <c r="O152" s="2273"/>
      <c r="P152" s="2273"/>
      <c r="Q152" s="2273"/>
    </row>
    <row r="153" spans="2:17" s="747" customFormat="1">
      <c r="B153" s="2273"/>
      <c r="C153" s="2273"/>
      <c r="D153" s="2273"/>
      <c r="E153" s="2273"/>
      <c r="F153" s="2273"/>
      <c r="G153" s="2273"/>
      <c r="H153" s="2273"/>
      <c r="I153" s="2273"/>
      <c r="J153" s="2273"/>
      <c r="K153" s="2273"/>
      <c r="L153" s="2273"/>
      <c r="M153" s="2273"/>
      <c r="N153" s="2273"/>
      <c r="O153" s="2273"/>
      <c r="P153" s="2273"/>
      <c r="Q153" s="2273"/>
    </row>
    <row r="154" spans="2:17" s="747" customFormat="1">
      <c r="B154" s="2273"/>
      <c r="C154" s="2273"/>
      <c r="D154" s="2273"/>
      <c r="E154" s="2273"/>
      <c r="F154" s="2273"/>
      <c r="G154" s="2273"/>
      <c r="H154" s="2273"/>
      <c r="I154" s="2273"/>
      <c r="J154" s="2273"/>
      <c r="K154" s="2273"/>
      <c r="L154" s="2273"/>
      <c r="M154" s="2273"/>
      <c r="N154" s="2273"/>
      <c r="O154" s="2273"/>
      <c r="P154" s="2273"/>
      <c r="Q154" s="2273"/>
    </row>
    <row r="155" spans="2:17" s="747" customFormat="1">
      <c r="B155" s="2273"/>
      <c r="C155" s="2273"/>
      <c r="D155" s="2273"/>
      <c r="E155" s="2273"/>
      <c r="F155" s="2273"/>
      <c r="G155" s="2273"/>
      <c r="H155" s="2273"/>
      <c r="I155" s="2273"/>
      <c r="J155" s="2273"/>
      <c r="K155" s="2273"/>
      <c r="L155" s="2273"/>
      <c r="M155" s="2273"/>
      <c r="N155" s="2273"/>
      <c r="O155" s="2273"/>
      <c r="P155" s="2273"/>
      <c r="Q155" s="2273"/>
    </row>
    <row r="156" spans="2:17" s="747" customFormat="1">
      <c r="B156" s="2273"/>
      <c r="C156" s="2273"/>
      <c r="D156" s="2273"/>
      <c r="E156" s="2273"/>
      <c r="F156" s="2273"/>
      <c r="G156" s="2273"/>
      <c r="H156" s="2273"/>
      <c r="I156" s="2273"/>
      <c r="J156" s="2273"/>
      <c r="K156" s="2273"/>
      <c r="L156" s="2273"/>
      <c r="M156" s="2273"/>
      <c r="N156" s="2273"/>
      <c r="O156" s="2273"/>
      <c r="P156" s="2273"/>
      <c r="Q156" s="2273"/>
    </row>
    <row r="157" spans="2:17" s="747" customFormat="1">
      <c r="B157" s="2273"/>
      <c r="C157" s="2273"/>
      <c r="D157" s="2273"/>
      <c r="E157" s="2273"/>
      <c r="F157" s="2273"/>
      <c r="G157" s="2273"/>
      <c r="H157" s="2273"/>
      <c r="I157" s="2273"/>
      <c r="J157" s="2273"/>
      <c r="K157" s="2273"/>
      <c r="L157" s="2273"/>
      <c r="M157" s="2273"/>
      <c r="N157" s="2273"/>
      <c r="O157" s="2273"/>
      <c r="P157" s="2273"/>
      <c r="Q157" s="2273"/>
    </row>
    <row r="158" spans="2:17" s="747" customFormat="1">
      <c r="B158" s="2273"/>
      <c r="C158" s="2273"/>
      <c r="D158" s="2273"/>
      <c r="E158" s="2273"/>
      <c r="F158" s="2273"/>
      <c r="G158" s="2273"/>
      <c r="H158" s="2273"/>
      <c r="I158" s="2273"/>
      <c r="J158" s="2273"/>
      <c r="K158" s="2273"/>
      <c r="L158" s="2273"/>
      <c r="M158" s="2273"/>
      <c r="N158" s="2273"/>
      <c r="O158" s="2273"/>
      <c r="P158" s="2273"/>
      <c r="Q158" s="2273"/>
    </row>
    <row r="159" spans="2:17" s="747" customFormat="1">
      <c r="B159" s="2273"/>
      <c r="C159" s="2273"/>
      <c r="D159" s="2273"/>
      <c r="E159" s="2273"/>
      <c r="F159" s="2273"/>
      <c r="G159" s="2273"/>
      <c r="H159" s="2273"/>
      <c r="I159" s="2273"/>
      <c r="J159" s="2273"/>
      <c r="K159" s="2273"/>
      <c r="L159" s="2273"/>
      <c r="M159" s="2273"/>
      <c r="N159" s="2273"/>
      <c r="O159" s="2273"/>
      <c r="P159" s="2273"/>
      <c r="Q159" s="2273"/>
    </row>
    <row r="160" spans="2:17" s="747" customFormat="1">
      <c r="B160" s="2273"/>
      <c r="C160" s="2273"/>
      <c r="D160" s="2273"/>
      <c r="E160" s="2273"/>
      <c r="F160" s="2273"/>
      <c r="G160" s="2273"/>
      <c r="H160" s="2273"/>
      <c r="I160" s="2273"/>
      <c r="J160" s="2273"/>
      <c r="K160" s="2273"/>
      <c r="L160" s="2273"/>
      <c r="M160" s="2273"/>
      <c r="N160" s="2273"/>
      <c r="O160" s="2273"/>
      <c r="P160" s="2273"/>
      <c r="Q160" s="2273"/>
    </row>
    <row r="161" spans="2:17" s="747" customFormat="1">
      <c r="B161" s="2273"/>
      <c r="C161" s="2273"/>
      <c r="D161" s="2273"/>
      <c r="E161" s="2273"/>
      <c r="F161" s="2273"/>
      <c r="G161" s="2273"/>
      <c r="H161" s="2273"/>
      <c r="I161" s="2273"/>
      <c r="J161" s="2273"/>
      <c r="K161" s="2273"/>
      <c r="L161" s="2273"/>
      <c r="M161" s="2273"/>
      <c r="N161" s="2273"/>
      <c r="O161" s="2273"/>
      <c r="P161" s="2273"/>
      <c r="Q161" s="2273"/>
    </row>
    <row r="162" spans="2:17" s="747" customFormat="1">
      <c r="B162" s="2273"/>
      <c r="C162" s="2273"/>
      <c r="D162" s="2273"/>
      <c r="E162" s="2273"/>
      <c r="F162" s="2273"/>
      <c r="G162" s="2273"/>
      <c r="H162" s="2273"/>
      <c r="I162" s="2273"/>
      <c r="J162" s="2273"/>
      <c r="K162" s="2273"/>
      <c r="L162" s="2273"/>
      <c r="M162" s="2273"/>
      <c r="N162" s="2273"/>
      <c r="O162" s="2273"/>
      <c r="P162" s="2273"/>
      <c r="Q162" s="2273"/>
    </row>
    <row r="163" spans="2:17" s="747" customFormat="1">
      <c r="B163" s="2273"/>
      <c r="C163" s="2273"/>
      <c r="D163" s="2273"/>
      <c r="E163" s="2273"/>
      <c r="F163" s="2273"/>
      <c r="G163" s="2273"/>
      <c r="H163" s="2273"/>
      <c r="I163" s="2273"/>
      <c r="J163" s="2273"/>
      <c r="K163" s="2273"/>
      <c r="L163" s="2273"/>
      <c r="M163" s="2273"/>
      <c r="N163" s="2273"/>
      <c r="O163" s="2273"/>
      <c r="P163" s="2273"/>
      <c r="Q163" s="2273"/>
    </row>
    <row r="164" spans="2:17" s="747" customFormat="1">
      <c r="B164" s="2273"/>
      <c r="C164" s="2273"/>
      <c r="D164" s="2273"/>
      <c r="E164" s="2273"/>
      <c r="F164" s="2273"/>
      <c r="G164" s="2273"/>
      <c r="H164" s="2273"/>
      <c r="I164" s="2273"/>
      <c r="J164" s="2273"/>
      <c r="K164" s="2273"/>
      <c r="L164" s="2273"/>
      <c r="M164" s="2273"/>
      <c r="N164" s="2273"/>
      <c r="O164" s="2273"/>
      <c r="P164" s="2273"/>
      <c r="Q164" s="2273"/>
    </row>
    <row r="165" spans="2:17" s="747" customFormat="1">
      <c r="B165" s="2273"/>
      <c r="C165" s="2273"/>
      <c r="D165" s="2273"/>
      <c r="E165" s="2273"/>
      <c r="F165" s="2273"/>
      <c r="G165" s="2273"/>
      <c r="H165" s="2273"/>
      <c r="I165" s="2273"/>
      <c r="J165" s="2273"/>
      <c r="K165" s="2273"/>
      <c r="L165" s="2273"/>
      <c r="M165" s="2273"/>
      <c r="N165" s="2273"/>
      <c r="O165" s="2273"/>
      <c r="P165" s="2273"/>
      <c r="Q165" s="2273"/>
    </row>
    <row r="166" spans="2:17" s="747" customFormat="1">
      <c r="B166" s="2273"/>
      <c r="C166" s="2273"/>
      <c r="D166" s="2273"/>
      <c r="E166" s="2273"/>
      <c r="F166" s="2273"/>
      <c r="G166" s="2273"/>
      <c r="H166" s="2273"/>
      <c r="I166" s="2273"/>
      <c r="J166" s="2273"/>
      <c r="K166" s="2273"/>
      <c r="L166" s="2273"/>
      <c r="M166" s="2273"/>
      <c r="N166" s="2273"/>
      <c r="O166" s="2273"/>
      <c r="P166" s="2273"/>
      <c r="Q166" s="2273"/>
    </row>
    <row r="167" spans="2:17" s="747" customFormat="1">
      <c r="B167" s="2273"/>
      <c r="C167" s="2273"/>
      <c r="D167" s="2273"/>
      <c r="E167" s="2273"/>
      <c r="F167" s="2273"/>
      <c r="G167" s="2273"/>
      <c r="H167" s="2273"/>
      <c r="I167" s="2273"/>
      <c r="J167" s="2273"/>
      <c r="K167" s="2273"/>
      <c r="L167" s="2273"/>
      <c r="M167" s="2273"/>
      <c r="N167" s="2273"/>
      <c r="O167" s="2273"/>
      <c r="P167" s="2273"/>
      <c r="Q167" s="2273"/>
    </row>
    <row r="168" spans="2:17" s="747" customFormat="1">
      <c r="B168" s="2273"/>
      <c r="C168" s="2273"/>
      <c r="D168" s="2273"/>
      <c r="E168" s="2273"/>
      <c r="F168" s="2273"/>
      <c r="G168" s="2273"/>
      <c r="H168" s="2273"/>
      <c r="I168" s="2273"/>
      <c r="J168" s="2273"/>
      <c r="K168" s="2273"/>
      <c r="L168" s="2273"/>
      <c r="M168" s="2273"/>
      <c r="N168" s="2273"/>
      <c r="O168" s="2273"/>
      <c r="P168" s="2273"/>
      <c r="Q168" s="2273"/>
    </row>
    <row r="169" spans="2:17" s="747" customFormat="1">
      <c r="B169" s="2273"/>
      <c r="C169" s="2273"/>
      <c r="D169" s="2273"/>
      <c r="E169" s="2273"/>
      <c r="F169" s="2273"/>
      <c r="G169" s="2273"/>
      <c r="H169" s="2273"/>
      <c r="I169" s="2273"/>
      <c r="J169" s="2273"/>
      <c r="K169" s="2273"/>
      <c r="L169" s="2273"/>
      <c r="M169" s="2273"/>
      <c r="N169" s="2273"/>
      <c r="O169" s="2273"/>
      <c r="P169" s="2273"/>
      <c r="Q169" s="2273"/>
    </row>
    <row r="170" spans="2:17" s="747" customFormat="1">
      <c r="B170" s="2273"/>
      <c r="C170" s="2273"/>
      <c r="D170" s="2273"/>
      <c r="E170" s="2273"/>
      <c r="F170" s="2273"/>
      <c r="G170" s="2273"/>
      <c r="H170" s="2273"/>
      <c r="I170" s="2273"/>
      <c r="J170" s="2273"/>
      <c r="K170" s="2273"/>
      <c r="L170" s="2273"/>
      <c r="M170" s="2273"/>
      <c r="N170" s="2273"/>
      <c r="O170" s="2273"/>
      <c r="P170" s="2273"/>
      <c r="Q170" s="2273"/>
    </row>
    <row r="171" spans="2:17" s="747" customFormat="1">
      <c r="B171" s="2273"/>
      <c r="C171" s="2273"/>
      <c r="D171" s="2273"/>
      <c r="E171" s="2273"/>
      <c r="F171" s="2273"/>
      <c r="G171" s="2273"/>
      <c r="H171" s="2273"/>
      <c r="I171" s="2273"/>
      <c r="J171" s="2273"/>
      <c r="K171" s="2273"/>
      <c r="L171" s="2273"/>
      <c r="M171" s="2273"/>
      <c r="N171" s="2273"/>
      <c r="O171" s="2273"/>
      <c r="P171" s="2273"/>
      <c r="Q171" s="2273"/>
    </row>
    <row r="172" spans="2:17" s="747" customFormat="1">
      <c r="B172" s="2273"/>
      <c r="C172" s="2273"/>
      <c r="D172" s="2273"/>
      <c r="E172" s="2273"/>
      <c r="F172" s="2273"/>
      <c r="G172" s="2273"/>
      <c r="H172" s="2273"/>
      <c r="I172" s="2273"/>
      <c r="J172" s="2273"/>
      <c r="K172" s="2273"/>
      <c r="L172" s="2273"/>
      <c r="M172" s="2273"/>
      <c r="N172" s="2273"/>
      <c r="O172" s="2273"/>
      <c r="P172" s="2273"/>
      <c r="Q172" s="2273"/>
    </row>
    <row r="173" spans="2:17" s="747" customFormat="1">
      <c r="B173" s="2273"/>
      <c r="C173" s="2273"/>
      <c r="D173" s="2273"/>
      <c r="E173" s="2273"/>
      <c r="F173" s="2273"/>
      <c r="G173" s="2273"/>
      <c r="H173" s="2273"/>
      <c r="I173" s="2273"/>
      <c r="J173" s="2273"/>
      <c r="K173" s="2273"/>
      <c r="L173" s="2273"/>
      <c r="M173" s="2273"/>
      <c r="N173" s="2273"/>
      <c r="O173" s="2273"/>
      <c r="P173" s="2273"/>
      <c r="Q173" s="2273"/>
    </row>
    <row r="174" spans="2:17" s="747" customFormat="1">
      <c r="B174" s="2273"/>
      <c r="C174" s="2273"/>
      <c r="D174" s="2273"/>
      <c r="E174" s="2273"/>
      <c r="F174" s="2273"/>
      <c r="G174" s="2273"/>
      <c r="H174" s="2273"/>
      <c r="I174" s="2273"/>
      <c r="J174" s="2273"/>
      <c r="K174" s="2273"/>
      <c r="L174" s="2273"/>
      <c r="M174" s="2273"/>
      <c r="N174" s="2273"/>
      <c r="O174" s="2273"/>
      <c r="P174" s="2273"/>
      <c r="Q174" s="2273"/>
    </row>
    <row r="175" spans="2:17" s="747" customFormat="1">
      <c r="B175" s="2273"/>
      <c r="C175" s="2273"/>
      <c r="D175" s="2273"/>
      <c r="E175" s="2273"/>
      <c r="F175" s="2273"/>
      <c r="G175" s="2273"/>
      <c r="H175" s="2273"/>
      <c r="I175" s="2273"/>
      <c r="J175" s="2273"/>
      <c r="K175" s="2273"/>
      <c r="L175" s="2273"/>
      <c r="M175" s="2273"/>
      <c r="N175" s="2273"/>
      <c r="O175" s="2273"/>
      <c r="P175" s="2273"/>
      <c r="Q175" s="2273"/>
    </row>
    <row r="176" spans="2:17" s="747" customFormat="1">
      <c r="B176" s="2273"/>
      <c r="C176" s="2273"/>
      <c r="D176" s="2273"/>
      <c r="E176" s="2273"/>
      <c r="F176" s="2273"/>
      <c r="G176" s="2273"/>
      <c r="H176" s="2273"/>
      <c r="I176" s="2273"/>
      <c r="J176" s="2273"/>
      <c r="K176" s="2273"/>
      <c r="L176" s="2273"/>
      <c r="M176" s="2273"/>
      <c r="N176" s="2273"/>
      <c r="O176" s="2273"/>
      <c r="P176" s="2273"/>
      <c r="Q176" s="2273"/>
    </row>
    <row r="177" spans="1:17" s="747" customFormat="1">
      <c r="B177" s="2273"/>
      <c r="C177" s="2273"/>
      <c r="D177" s="2273"/>
      <c r="E177" s="2273"/>
      <c r="F177" s="2273"/>
      <c r="G177" s="2273"/>
      <c r="H177" s="2273"/>
      <c r="I177" s="2273"/>
      <c r="J177" s="2273"/>
      <c r="K177" s="2273"/>
      <c r="L177" s="2273"/>
      <c r="M177" s="2273"/>
      <c r="N177" s="2273"/>
      <c r="O177" s="2273"/>
      <c r="P177" s="2273"/>
      <c r="Q177" s="2273"/>
    </row>
    <row r="178" spans="1:17" s="747" customFormat="1">
      <c r="B178" s="2273"/>
      <c r="C178" s="2273"/>
      <c r="D178" s="2273"/>
      <c r="E178" s="2273"/>
      <c r="F178" s="2273"/>
      <c r="G178" s="2273"/>
      <c r="H178" s="2273"/>
      <c r="I178" s="2273"/>
      <c r="J178" s="2273"/>
      <c r="K178" s="2273"/>
      <c r="L178" s="2273"/>
      <c r="M178" s="2273"/>
      <c r="N178" s="2273"/>
      <c r="O178" s="2273"/>
      <c r="P178" s="2273"/>
      <c r="Q178" s="2273"/>
    </row>
    <row r="179" spans="1:17" s="747" customFormat="1">
      <c r="B179" s="2273"/>
      <c r="C179" s="2273"/>
      <c r="D179" s="2273"/>
      <c r="E179" s="2273"/>
      <c r="F179" s="2273"/>
      <c r="G179" s="2273"/>
      <c r="H179" s="2273"/>
      <c r="I179" s="2273"/>
      <c r="J179" s="2273"/>
      <c r="K179" s="2273"/>
      <c r="L179" s="2273"/>
      <c r="M179" s="2273"/>
      <c r="N179" s="2273"/>
      <c r="O179" s="2273"/>
      <c r="P179" s="2273"/>
      <c r="Q179" s="2273"/>
    </row>
    <row r="180" spans="1:17" s="747" customFormat="1">
      <c r="B180" s="2273"/>
      <c r="C180" s="2273"/>
      <c r="D180" s="2273"/>
      <c r="E180" s="2273"/>
      <c r="F180" s="2273"/>
      <c r="G180" s="2273"/>
      <c r="H180" s="2273"/>
      <c r="I180" s="2273"/>
      <c r="J180" s="2273"/>
      <c r="K180" s="2273"/>
      <c r="L180" s="2273"/>
      <c r="M180" s="2273"/>
      <c r="N180" s="2273"/>
      <c r="O180" s="2273"/>
      <c r="P180" s="2273"/>
      <c r="Q180" s="2273"/>
    </row>
    <row r="181" spans="1:17" s="747" customFormat="1">
      <c r="B181" s="2273"/>
      <c r="C181" s="2273"/>
      <c r="D181" s="2273"/>
      <c r="E181" s="2273"/>
      <c r="F181" s="2273"/>
      <c r="G181" s="2273"/>
      <c r="H181" s="2273"/>
      <c r="I181" s="2273"/>
      <c r="J181" s="2273"/>
      <c r="K181" s="2273"/>
      <c r="L181" s="2273"/>
      <c r="M181" s="2273"/>
      <c r="N181" s="2273"/>
      <c r="O181" s="2273"/>
      <c r="P181" s="2273"/>
      <c r="Q181" s="2273"/>
    </row>
    <row r="182" spans="1:17" s="747" customFormat="1">
      <c r="B182" s="2273"/>
      <c r="C182" s="2273"/>
      <c r="D182" s="2273"/>
      <c r="E182" s="2273"/>
      <c r="F182" s="2273"/>
      <c r="G182" s="2273"/>
      <c r="H182" s="2273"/>
      <c r="I182" s="2273"/>
      <c r="J182" s="2273"/>
      <c r="K182" s="2273"/>
      <c r="L182" s="2273"/>
      <c r="M182" s="2273"/>
      <c r="N182" s="2273"/>
      <c r="O182" s="2273"/>
      <c r="P182" s="2273"/>
      <c r="Q182" s="2273"/>
    </row>
    <row r="183" spans="1:17" s="747" customFormat="1">
      <c r="B183" s="2273"/>
      <c r="C183" s="2273"/>
      <c r="D183" s="2273"/>
      <c r="E183" s="2273"/>
      <c r="F183" s="2273"/>
      <c r="G183" s="2273"/>
      <c r="H183" s="2273"/>
      <c r="I183" s="2273"/>
      <c r="J183" s="2273"/>
      <c r="K183" s="2273"/>
      <c r="L183" s="2273"/>
      <c r="M183" s="2273"/>
      <c r="N183" s="2273"/>
      <c r="O183" s="2273"/>
      <c r="P183" s="2273"/>
      <c r="Q183" s="2273"/>
    </row>
    <row r="184" spans="1:17" s="747" customFormat="1">
      <c r="B184" s="2273"/>
      <c r="C184" s="2273"/>
      <c r="D184" s="2273"/>
      <c r="E184" s="2273"/>
      <c r="F184" s="2273"/>
      <c r="G184" s="2273"/>
      <c r="H184" s="2273"/>
      <c r="I184" s="2273"/>
      <c r="J184" s="2273"/>
      <c r="K184" s="2273"/>
      <c r="L184" s="2273"/>
      <c r="M184" s="2273"/>
      <c r="N184" s="2273"/>
      <c r="O184" s="2273"/>
      <c r="P184" s="2273"/>
      <c r="Q184" s="2273"/>
    </row>
    <row r="185" spans="1:17" s="747" customFormat="1">
      <c r="B185" s="2273"/>
      <c r="C185" s="2273"/>
      <c r="D185" s="2273"/>
      <c r="E185" s="2273"/>
      <c r="F185" s="2273"/>
      <c r="G185" s="2273"/>
      <c r="H185" s="2273"/>
      <c r="I185" s="2273"/>
      <c r="J185" s="2273"/>
      <c r="K185" s="2273"/>
      <c r="L185" s="2273"/>
      <c r="M185" s="2273"/>
      <c r="N185" s="2273"/>
      <c r="O185" s="2273"/>
      <c r="P185" s="2273"/>
      <c r="Q185" s="2273"/>
    </row>
    <row r="186" spans="1:17">
      <c r="A186" s="747"/>
      <c r="B186" s="2273"/>
      <c r="C186" s="2273"/>
      <c r="E186" s="2273"/>
      <c r="F186" s="2273"/>
      <c r="G186" s="2273"/>
    </row>
    <row r="187" spans="1:17">
      <c r="A187" s="747"/>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189" t="str">
        <f>项目基本情况!B1</f>
        <v>北京市房地产抵押价值预评估</v>
      </c>
      <c r="C37" s="3189"/>
      <c r="D37" s="3189"/>
      <c r="E37" s="3189"/>
      <c r="F37" s="3189"/>
      <c r="G37" s="3189"/>
      <c r="H37" s="3189"/>
      <c r="I37" s="3189"/>
    </row>
    <row r="38" spans="1:9">
      <c r="A38" s="790"/>
      <c r="B38" s="790"/>
    </row>
    <row r="39" spans="1:9">
      <c r="A39" s="788" t="s">
        <v>371</v>
      </c>
      <c r="B39" s="788" t="s">
        <v>373</v>
      </c>
    </row>
    <row r="40" spans="1:9">
      <c r="A40" s="788"/>
      <c r="B40" s="1374">
        <f>项目基本情况!B5</f>
        <v>0</v>
      </c>
    </row>
    <row r="41" spans="1:9">
      <c r="A41" s="788"/>
      <c r="B41" s="788"/>
    </row>
    <row r="42" spans="1:9">
      <c r="A42" s="788" t="s">
        <v>371</v>
      </c>
      <c r="B42" s="788" t="s">
        <v>374</v>
      </c>
    </row>
    <row r="43" spans="1:9">
      <c r="A43" s="788"/>
      <c r="B43" s="1374" t="s">
        <v>375</v>
      </c>
    </row>
    <row r="44" spans="1:9">
      <c r="A44" s="788"/>
      <c r="B44" s="788"/>
    </row>
    <row r="45" spans="1:9">
      <c r="A45" s="788" t="s">
        <v>371</v>
      </c>
      <c r="B45" s="788" t="s">
        <v>376</v>
      </c>
    </row>
    <row r="46" spans="1:9" s="788" customFormat="1" ht="12.75">
      <c r="B46" s="1374" t="str">
        <f>项目基本情况!K4</f>
        <v>（注册号：0)、（注册号：0)</v>
      </c>
    </row>
    <row r="47" spans="1:9">
      <c r="A47" s="788"/>
      <c r="B47" s="788" t="str">
        <f>项目基本情况!K5</f>
        <v>（注册号：0)、（注册号：0)</v>
      </c>
    </row>
    <row r="48" spans="1:9">
      <c r="A48" s="788" t="s">
        <v>371</v>
      </c>
      <c r="B48" s="788"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4" zoomScaleNormal="80" zoomScaleSheetLayoutView="100" workbookViewId="0">
      <selection activeCell="H8" sqref="H8"/>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74353.649999999776</v>
      </c>
      <c r="C1" s="2458"/>
      <c r="D1" s="2458"/>
      <c r="E1" s="2458"/>
      <c r="F1" s="2458"/>
      <c r="G1" s="2459"/>
      <c r="H1" s="2459"/>
      <c r="I1" s="2459"/>
      <c r="J1" s="2459"/>
      <c r="K1" s="2459"/>
    </row>
    <row r="2" spans="1:11" ht="16.5">
      <c r="A2" s="2296" t="s">
        <v>653</v>
      </c>
      <c r="B2" s="2296">
        <f>SUM(C14:C23)</f>
        <v>25963.4</v>
      </c>
      <c r="C2" s="2458"/>
      <c r="D2" s="2458"/>
      <c r="E2" s="2458"/>
      <c r="F2" s="2458"/>
      <c r="G2" s="2459"/>
      <c r="H2" s="2459"/>
      <c r="I2" s="2459"/>
      <c r="J2" s="2459"/>
      <c r="K2" s="2459"/>
    </row>
    <row r="3" spans="1:11" ht="16.5">
      <c r="A3" s="2296" t="s">
        <v>662</v>
      </c>
      <c r="B3" s="2298">
        <f>项目基本情况!D3</f>
        <v>45924</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 ca="1">SUM(D14:D23)</f>
        <v>130953</v>
      </c>
      <c r="C5" s="2296">
        <f ca="1">IF(B5=D14,结果表!H102,ROUND(B5*10000/$B$1,0))</f>
        <v>17612</v>
      </c>
      <c r="D5" s="2296">
        <f ca="1">ROUND(B5*10000/$B$2,0)</f>
        <v>50438</v>
      </c>
      <c r="E5" s="2458"/>
      <c r="F5" s="2459"/>
      <c r="G5" s="2459"/>
      <c r="H5" s="2459"/>
      <c r="I5" s="2459"/>
      <c r="J5" s="2459"/>
      <c r="K5" s="2459"/>
    </row>
    <row r="6" spans="1:11" ht="16.5">
      <c r="A6" s="2296" t="s">
        <v>656</v>
      </c>
      <c r="B6" s="2296">
        <f ca="1">SUM(G14:G23)</f>
        <v>130953</v>
      </c>
      <c r="C6" s="2296">
        <f ca="1">IF(B6=G14,结果表!H108,ROUND(B6*10000/$B$1,0))</f>
        <v>17612</v>
      </c>
      <c r="D6" s="2296">
        <f ca="1">ROUND(B6*10000/$B$2,0)</f>
        <v>50438</v>
      </c>
      <c r="E6" s="2458"/>
      <c r="F6" s="2459"/>
      <c r="G6" s="2459"/>
      <c r="H6" s="2459"/>
      <c r="I6" s="2459"/>
      <c r="J6" s="2459"/>
      <c r="K6" s="2459"/>
    </row>
    <row r="7" spans="1:11" ht="16.5">
      <c r="A7" s="2296" t="s">
        <v>664</v>
      </c>
      <c r="B7" s="2296">
        <f>SUM(H14:H23)</f>
        <v>0</v>
      </c>
      <c r="C7" s="2296" t="str">
        <f>IF(B7=H14,结果表!H110,ROUND(B7*10000/$B$1,0))</f>
        <v>——</v>
      </c>
      <c r="D7" s="2296">
        <f>ROUND(B7*10000/$B$2,0)</f>
        <v>0</v>
      </c>
      <c r="E7" s="2458"/>
      <c r="F7" s="2459"/>
      <c r="G7" s="2459"/>
      <c r="H7" s="2459"/>
      <c r="I7" s="2459"/>
      <c r="J7" s="2459"/>
      <c r="K7" s="2459"/>
    </row>
    <row r="8" spans="1:11" ht="16.5">
      <c r="A8" s="2296" t="s">
        <v>587</v>
      </c>
      <c r="B8" s="2296">
        <f>SUM(I14:I23)</f>
        <v>0</v>
      </c>
      <c r="C8" s="2296" t="str">
        <f>IF(B8=I14,结果表!H112,ROUND(B8*10000/$B$1,0))</f>
        <v>——</v>
      </c>
      <c r="D8" s="2296">
        <f>ROUND(B8*10000/$B$2,0)</f>
        <v>0</v>
      </c>
      <c r="E8" s="2458"/>
      <c r="F8" s="2459"/>
      <c r="G8" s="2459"/>
      <c r="H8" s="2459"/>
      <c r="I8" s="2459"/>
      <c r="J8" s="2459"/>
      <c r="K8" s="2459"/>
    </row>
    <row r="9" spans="1:11" ht="16.5">
      <c r="A9" s="2296" t="s">
        <v>655</v>
      </c>
      <c r="B9" s="1240"/>
      <c r="C9" s="2458"/>
      <c r="D9" s="2458"/>
      <c r="E9" s="2458"/>
      <c r="F9" s="2459"/>
      <c r="G9" s="2459"/>
      <c r="H9" s="2459"/>
      <c r="I9" s="2459"/>
      <c r="J9" s="2459"/>
      <c r="K9" s="2459"/>
    </row>
    <row r="10" spans="1:11" ht="16.5">
      <c r="A10" s="2296" t="s">
        <v>654</v>
      </c>
      <c r="B10" s="2296">
        <f>IF(E10="",0,ROUND(B1*(E10*365/G10)/10000,0))</f>
        <v>0</v>
      </c>
      <c r="C10" s="2296" t="s">
        <v>3344</v>
      </c>
      <c r="D10" s="2296" t="s">
        <v>3345</v>
      </c>
      <c r="E10" s="3133"/>
      <c r="F10" s="3137" t="s">
        <v>3346</v>
      </c>
      <c r="G10" s="3134"/>
      <c r="H10" s="2459"/>
      <c r="I10" s="2459"/>
      <c r="J10" s="2459"/>
      <c r="K10" s="2459"/>
    </row>
    <row r="11" spans="1:11" ht="16.5">
      <c r="A11" s="2296" t="s">
        <v>670</v>
      </c>
      <c r="B11" s="1240"/>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2302">
        <f>'数据-汇总表'!E3</f>
        <v>74353.649999999776</v>
      </c>
      <c r="C14" s="2302">
        <f>'数据-汇总表'!D3</f>
        <v>25963.4</v>
      </c>
      <c r="D14" s="2302">
        <f ca="1">结果表!G19</f>
        <v>130953</v>
      </c>
      <c r="E14" s="2302">
        <f ca="1">ROUND(D14*10000/B14,0)</f>
        <v>17612</v>
      </c>
      <c r="F14" s="2302">
        <f ca="1">ROUND(D14*10000/C14,0)</f>
        <v>50438</v>
      </c>
      <c r="G14" s="2302">
        <f ca="1">D14</f>
        <v>130953</v>
      </c>
      <c r="H14" s="2302"/>
      <c r="I14" s="2302"/>
      <c r="J14" s="2459"/>
      <c r="K14" s="2459"/>
    </row>
    <row r="15" spans="1:11" ht="16.5">
      <c r="A15" s="2301" t="s">
        <v>649</v>
      </c>
      <c r="B15" s="2303"/>
      <c r="C15" s="2303"/>
      <c r="D15" s="2303"/>
      <c r="E15" s="2302" t="e">
        <f t="shared" ref="E15:E23" si="0">ROUND(D15*10000/B15,0)</f>
        <v>#DIV/0!</v>
      </c>
      <c r="F15" s="2302" t="e">
        <f t="shared" ref="F15:F23" si="1">ROUND(D15*10000/C15,0)</f>
        <v>#DIV/0!</v>
      </c>
      <c r="G15" s="1240"/>
      <c r="H15" s="1240"/>
      <c r="I15" s="2303"/>
      <c r="J15" s="2459"/>
      <c r="K15" s="2459"/>
    </row>
    <row r="16" spans="1:11" ht="16.5">
      <c r="A16" s="2301" t="s">
        <v>648</v>
      </c>
      <c r="B16" s="2303"/>
      <c r="C16" s="2303"/>
      <c r="D16" s="2303"/>
      <c r="E16" s="2302" t="e">
        <f t="shared" si="0"/>
        <v>#DIV/0!</v>
      </c>
      <c r="F16" s="2302" t="e">
        <f t="shared" si="1"/>
        <v>#DIV/0!</v>
      </c>
      <c r="G16" s="1240"/>
      <c r="H16" s="1240"/>
      <c r="I16" s="2303"/>
      <c r="J16" s="2459"/>
      <c r="K16" s="2459"/>
    </row>
    <row r="17" spans="1:11" ht="16.5">
      <c r="A17" s="2301" t="s">
        <v>647</v>
      </c>
      <c r="B17" s="2303"/>
      <c r="C17" s="2303"/>
      <c r="D17" s="2303"/>
      <c r="E17" s="2302" t="e">
        <f t="shared" si="0"/>
        <v>#DIV/0!</v>
      </c>
      <c r="F17" s="2302" t="e">
        <f t="shared" si="1"/>
        <v>#DIV/0!</v>
      </c>
      <c r="G17" s="1240"/>
      <c r="H17" s="1240"/>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0" t="e">
        <f t="shared" si="0"/>
        <v>#DIV/0!</v>
      </c>
      <c r="F23" s="1240"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56" sqref="I56"/>
    </sheetView>
  </sheetViews>
  <sheetFormatPr defaultColWidth="12.625" defaultRowHeight="21.75" customHeight="1"/>
  <cols>
    <col min="1" max="2" width="12.625" style="1557"/>
    <col min="3" max="4" width="12.625" style="1557" customWidth="1"/>
    <col min="5" max="9" width="12.625" style="1557"/>
    <col min="10" max="11" width="12.625" style="682" customWidth="1"/>
    <col min="12" max="12" width="12.625" style="682"/>
    <col min="13" max="13" width="14.125" style="682" bestFit="1" customWidth="1"/>
    <col min="14" max="26" width="12.625" style="682"/>
    <col min="27" max="35" width="12.625" style="1619"/>
    <col min="36" max="16384" width="12.625" style="1557"/>
  </cols>
  <sheetData>
    <row r="1" spans="1:12" ht="21.75" customHeight="1" thickBot="1">
      <c r="A1" s="1517" t="s">
        <v>1262</v>
      </c>
      <c r="B1" s="644"/>
      <c r="C1" s="1616"/>
      <c r="D1" s="644"/>
      <c r="E1" s="644"/>
      <c r="F1" s="1617" t="s">
        <v>1263</v>
      </c>
      <c r="G1" s="1449"/>
      <c r="H1" s="1617" t="str">
        <f>IF(G1="现房","——","估价对象范围")</f>
        <v>估价对象范围</v>
      </c>
      <c r="I1" s="1618"/>
    </row>
    <row r="2" spans="1:12" ht="21.75" customHeight="1" thickBot="1">
      <c r="A2" s="3311" t="str">
        <f>项目基本情况!S2</f>
        <v>北京市房地产</v>
      </c>
      <c r="B2" s="3312"/>
      <c r="C2" s="3312"/>
      <c r="D2" s="3312"/>
      <c r="E2" s="3312"/>
      <c r="F2" s="3312"/>
      <c r="G2" s="3312"/>
      <c r="H2" s="3312"/>
      <c r="I2" s="3313"/>
    </row>
    <row r="3" spans="1:12" ht="12.75">
      <c r="A3" s="3315" t="s">
        <v>1264</v>
      </c>
      <c r="B3" s="3316"/>
      <c r="C3" s="3316"/>
      <c r="D3" s="3316"/>
      <c r="E3" s="3316"/>
      <c r="F3" s="3316"/>
      <c r="G3" s="3316"/>
      <c r="H3" s="3316"/>
      <c r="I3" s="3316"/>
    </row>
    <row r="4" spans="1:12" ht="14.25">
      <c r="A4" s="1620" t="s">
        <v>1265</v>
      </c>
      <c r="B4" s="1621" t="s">
        <v>1266</v>
      </c>
      <c r="C4" s="1622" t="s">
        <v>3664</v>
      </c>
      <c r="D4" s="1622" t="s">
        <v>3665</v>
      </c>
      <c r="E4" s="3317" t="s">
        <v>1267</v>
      </c>
      <c r="F4" s="3318"/>
      <c r="G4" s="3318"/>
      <c r="H4" s="3318"/>
      <c r="I4" s="3319"/>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假设开发法</v>
      </c>
    </row>
    <row r="5" spans="1:12" ht="12.75">
      <c r="A5" s="3291" t="s">
        <v>1268</v>
      </c>
      <c r="B5" s="3278">
        <v>25</v>
      </c>
      <c r="C5" s="3294"/>
      <c r="D5" s="3314"/>
      <c r="E5" s="121" t="s">
        <v>1269</v>
      </c>
      <c r="F5" s="1623"/>
      <c r="G5" s="1623"/>
      <c r="H5" s="1623"/>
      <c r="I5" s="1277"/>
    </row>
    <row r="6" spans="1:12" ht="12.75">
      <c r="A6" s="3291"/>
      <c r="B6" s="3278"/>
      <c r="C6" s="3295"/>
      <c r="D6" s="3314"/>
      <c r="E6" s="121" t="s">
        <v>1270</v>
      </c>
      <c r="F6" s="1623"/>
      <c r="G6" s="1623"/>
      <c r="H6" s="1623"/>
      <c r="I6" s="1277"/>
    </row>
    <row r="7" spans="1:12" ht="12.75">
      <c r="A7" s="3291"/>
      <c r="B7" s="3278"/>
      <c r="C7" s="3296"/>
      <c r="D7" s="3314"/>
      <c r="E7" s="121" t="s">
        <v>1271</v>
      </c>
      <c r="F7" s="1623"/>
      <c r="G7" s="1623"/>
      <c r="H7" s="1623"/>
      <c r="I7" s="1277"/>
    </row>
    <row r="8" spans="1:12" ht="12.75">
      <c r="A8" s="3291" t="s">
        <v>1272</v>
      </c>
      <c r="B8" s="3278">
        <v>15</v>
      </c>
      <c r="C8" s="3294"/>
      <c r="D8" s="3314"/>
      <c r="E8" s="121" t="s">
        <v>1273</v>
      </c>
      <c r="F8" s="1623"/>
      <c r="G8" s="1623"/>
      <c r="H8" s="1623"/>
      <c r="I8" s="1277"/>
    </row>
    <row r="9" spans="1:12" ht="12.75">
      <c r="A9" s="3291"/>
      <c r="B9" s="3278"/>
      <c r="C9" s="3296"/>
      <c r="D9" s="3314"/>
      <c r="E9" s="121" t="s">
        <v>1274</v>
      </c>
      <c r="F9" s="1623"/>
      <c r="G9" s="1623"/>
      <c r="H9" s="1623"/>
      <c r="I9" s="1277"/>
    </row>
    <row r="10" spans="1:12" ht="12.75">
      <c r="A10" s="3291" t="s">
        <v>1275</v>
      </c>
      <c r="B10" s="3278">
        <v>15</v>
      </c>
      <c r="C10" s="3294"/>
      <c r="D10" s="3314"/>
      <c r="E10" s="121" t="s">
        <v>1276</v>
      </c>
      <c r="F10" s="1623"/>
      <c r="G10" s="1623"/>
      <c r="H10" s="1623"/>
      <c r="I10" s="1277"/>
    </row>
    <row r="11" spans="1:12" ht="12.75">
      <c r="A11" s="3291"/>
      <c r="B11" s="3278"/>
      <c r="C11" s="3296"/>
      <c r="D11" s="3314"/>
      <c r="E11" s="121" t="s">
        <v>1277</v>
      </c>
      <c r="F11" s="1623"/>
      <c r="G11" s="1623"/>
      <c r="H11" s="1623"/>
      <c r="I11" s="1277"/>
    </row>
    <row r="12" spans="1:12" ht="12.75">
      <c r="A12" s="3291" t="s">
        <v>1278</v>
      </c>
      <c r="B12" s="3278">
        <v>15</v>
      </c>
      <c r="C12" s="3294"/>
      <c r="D12" s="3314"/>
      <c r="E12" s="121" t="s">
        <v>1279</v>
      </c>
      <c r="F12" s="1623"/>
      <c r="G12" s="1623"/>
      <c r="H12" s="1623"/>
      <c r="I12" s="1277"/>
    </row>
    <row r="13" spans="1:12" ht="12.75">
      <c r="A13" s="3291"/>
      <c r="B13" s="3278"/>
      <c r="C13" s="3296"/>
      <c r="D13" s="3314"/>
      <c r="E13" s="121" t="s">
        <v>1280</v>
      </c>
      <c r="F13" s="1623"/>
      <c r="G13" s="1623"/>
      <c r="H13" s="1623"/>
      <c r="I13" s="1277"/>
    </row>
    <row r="14" spans="1:12" ht="12.75">
      <c r="A14" s="3291" t="s">
        <v>1281</v>
      </c>
      <c r="B14" s="3278">
        <v>30</v>
      </c>
      <c r="C14" s="3294">
        <v>5</v>
      </c>
      <c r="D14" s="3314">
        <v>5</v>
      </c>
      <c r="E14" s="121" t="s">
        <v>1282</v>
      </c>
      <c r="F14" s="1623"/>
      <c r="G14" s="1623"/>
      <c r="H14" s="1623"/>
      <c r="I14" s="1277"/>
    </row>
    <row r="15" spans="1:12" ht="12.75">
      <c r="A15" s="3291"/>
      <c r="B15" s="3278"/>
      <c r="C15" s="3295"/>
      <c r="D15" s="3314"/>
      <c r="E15" s="121" t="s">
        <v>1283</v>
      </c>
      <c r="F15" s="1623"/>
      <c r="G15" s="1623"/>
      <c r="H15" s="1623"/>
      <c r="I15" s="1277"/>
    </row>
    <row r="16" spans="1:12" ht="12.75">
      <c r="A16" s="3291"/>
      <c r="B16" s="3278"/>
      <c r="C16" s="3296"/>
      <c r="D16" s="3314"/>
      <c r="E16" s="121" t="s">
        <v>1284</v>
      </c>
      <c r="F16" s="1623"/>
      <c r="G16" s="1623"/>
      <c r="H16" s="1623"/>
      <c r="I16" s="1277"/>
    </row>
    <row r="17" spans="1:36" ht="15">
      <c r="A17" s="1624" t="s">
        <v>1285</v>
      </c>
      <c r="B17" s="54"/>
      <c r="C17" s="122">
        <f>SUM(C5:C16)</f>
        <v>5</v>
      </c>
      <c r="D17" s="122">
        <f>SUM(D5:D16)</f>
        <v>5</v>
      </c>
      <c r="E17" s="119"/>
      <c r="F17" s="119"/>
      <c r="G17" s="119"/>
      <c r="H17" s="119"/>
      <c r="I17" s="119"/>
      <c r="K17" s="292"/>
      <c r="L17" s="292" t="s">
        <v>1286</v>
      </c>
      <c r="M17" s="292" t="s">
        <v>1287</v>
      </c>
    </row>
    <row r="18" spans="1:36" ht="31.9" customHeight="1" thickBot="1">
      <c r="A18" s="1625" t="s">
        <v>1288</v>
      </c>
      <c r="B18" s="1538"/>
      <c r="C18" s="123">
        <f>ROUND(C17/SUM(C17:D17),2)</f>
        <v>0.5</v>
      </c>
      <c r="D18" s="123">
        <f>1-C18</f>
        <v>0.5</v>
      </c>
      <c r="E18" s="3301" t="s">
        <v>2130</v>
      </c>
      <c r="F18" s="3302"/>
      <c r="G18" s="3302"/>
      <c r="H18" s="3302"/>
      <c r="I18" s="3302"/>
      <c r="K18" s="292" t="s">
        <v>1289</v>
      </c>
      <c r="L18" s="292">
        <f>IF(C1="",'数据-汇总表'!E3,SUMIF(项目类型,C1,'数据-汇总表'!E17:E26)+SUMIF(项目类型,C1,'数据-汇总表'!I17:I26))</f>
        <v>74353.649999999776</v>
      </c>
      <c r="M18" s="292">
        <f>IF(C1="",'数据-汇总表'!E3,SUMIF(项目类型,C1,'数据-汇总表'!E17:E26))</f>
        <v>74353.649999999776</v>
      </c>
    </row>
    <row r="19" spans="1:36" ht="15">
      <c r="A19" s="1626" t="s">
        <v>1290</v>
      </c>
      <c r="B19" s="1627" t="s">
        <v>1291</v>
      </c>
      <c r="C19" s="124">
        <f ca="1">SUMIF(INDIRECT("'"&amp;C4&amp;"'"&amp;"!A:A"),结果表!B19,INDIRECT("'"&amp;C4&amp;"'"&amp;"!B:B"))</f>
        <v>140001</v>
      </c>
      <c r="D19" s="125">
        <f ca="1">SUMIF(INDIRECT("'"&amp;D4&amp;"'"&amp;"!A:A"),结果表!B19,INDIRECT("'"&amp;D4&amp;"'"&amp;"!B:B"))</f>
        <v>121904</v>
      </c>
      <c r="E19" s="1626" t="s">
        <v>1292</v>
      </c>
      <c r="F19" s="1627" t="s">
        <v>1291</v>
      </c>
      <c r="G19" s="126">
        <f ca="1">ROUND(C19*$C$18+D19*$D$18,0)</f>
        <v>130953</v>
      </c>
      <c r="H19" s="1628" t="s">
        <v>1293</v>
      </c>
      <c r="I19" s="119"/>
      <c r="K19" s="292" t="s">
        <v>1294</v>
      </c>
      <c r="L19" s="292">
        <f>IF(C1="",'数据-汇总表'!D3,SUMIF(项目类型,C1,'数据-汇总表'!D17:D26)+SUMIF(项目类型,C1,'数据-汇总表'!H17:H27))</f>
        <v>25963.4</v>
      </c>
      <c r="M19" s="292">
        <f>IF(C1="",'数据-汇总表'!D3,SUMIF(项目类型,C1,'数据-汇总表'!D17:D26))</f>
        <v>25963.4</v>
      </c>
    </row>
    <row r="20" spans="1:36" ht="15">
      <c r="A20" s="1629"/>
      <c r="B20" s="43" t="s">
        <v>1295</v>
      </c>
      <c r="C20" s="127">
        <f ca="1">SUMIF(INDIRECT("'"&amp;C4&amp;"'"&amp;"!A:A"),结果表!B20,INDIRECT("'"&amp;C4&amp;"'"&amp;"!B:B"))</f>
        <v>18829</v>
      </c>
      <c r="D20" s="128">
        <f ca="1">SUMIF(INDIRECT("'"&amp;D4&amp;"'"&amp;"!A:A"),结果表!B20,INDIRECT("'"&amp;D4&amp;"'"&amp;"!B:B"))</f>
        <v>16395</v>
      </c>
      <c r="E20" s="1629"/>
      <c r="F20" s="43" t="s">
        <v>1295</v>
      </c>
      <c r="G20" s="129">
        <f ca="1">ROUND(C20*$C$18+D20*$D$18,0)</f>
        <v>17612</v>
      </c>
      <c r="H20" s="756" t="s">
        <v>1296</v>
      </c>
      <c r="I20" s="119"/>
    </row>
    <row r="21" spans="1:36" ht="15" customHeight="1" thickBot="1">
      <c r="A21" s="447"/>
      <c r="B21" s="91" t="s">
        <v>1297</v>
      </c>
      <c r="C21" s="676">
        <f ca="1">ROUND(C19*10000/L19,0)</f>
        <v>53922</v>
      </c>
      <c r="D21" s="677">
        <f ca="1">ROUND(D19*10000/L19,0)</f>
        <v>46952</v>
      </c>
      <c r="E21" s="447"/>
      <c r="F21" s="91" t="s">
        <v>1297</v>
      </c>
      <c r="G21" s="130">
        <f ca="1">ROUND(G19*10000/L19,0)</f>
        <v>50438</v>
      </c>
      <c r="H21" s="1630" t="s">
        <v>1296</v>
      </c>
      <c r="I21" s="119"/>
    </row>
    <row r="22" spans="1:36" ht="15" thickBot="1">
      <c r="A22" s="1560" t="s">
        <v>1298</v>
      </c>
      <c r="B22" s="1631"/>
      <c r="C22" s="1632"/>
      <c r="D22" s="678">
        <f ca="1">IF(C19&lt;D19,D19/C19-1,C19/D19-1)</f>
        <v>0.14845288095550591</v>
      </c>
      <c r="E22" s="119"/>
      <c r="F22" s="119"/>
      <c r="G22" s="119"/>
      <c r="H22" s="119"/>
      <c r="I22" s="119"/>
    </row>
    <row r="23" spans="1:36" ht="13.5" thickBot="1">
      <c r="A23" s="644"/>
      <c r="B23" s="644"/>
      <c r="C23" s="644"/>
      <c r="D23" s="644"/>
      <c r="E23" s="119"/>
      <c r="F23" s="119"/>
      <c r="G23" s="119"/>
      <c r="H23" s="119"/>
      <c r="I23" s="119"/>
    </row>
    <row r="24" spans="1:36" ht="14.25">
      <c r="A24" s="3285" t="s">
        <v>1299</v>
      </c>
      <c r="B24" s="1627" t="s">
        <v>1291</v>
      </c>
      <c r="C24" s="126">
        <f>IF(B30=0,0,D30)</f>
        <v>0</v>
      </c>
      <c r="D24" s="1633"/>
      <c r="E24" s="119"/>
      <c r="F24" s="119"/>
      <c r="G24" s="119"/>
      <c r="H24" s="119"/>
      <c r="I24" s="119"/>
    </row>
    <row r="25" spans="1:36" ht="14.25">
      <c r="A25" s="3286"/>
      <c r="B25" s="43" t="s">
        <v>1295</v>
      </c>
      <c r="C25" s="131">
        <f>IF(B30=0,0,C30)</f>
        <v>0</v>
      </c>
      <c r="D25" s="1634"/>
      <c r="E25" s="119"/>
      <c r="F25" s="119"/>
      <c r="G25" s="119"/>
      <c r="H25" s="119"/>
      <c r="I25" s="119"/>
    </row>
    <row r="26" spans="1:36" ht="13.5" customHeight="1">
      <c r="A26" s="1635" t="s">
        <v>1300</v>
      </c>
      <c r="B26" s="132" t="s">
        <v>1301</v>
      </c>
      <c r="C26" s="132" t="s">
        <v>1302</v>
      </c>
      <c r="D26" s="133" t="s">
        <v>1303</v>
      </c>
      <c r="E26" s="119"/>
      <c r="F26" s="119"/>
      <c r="G26" s="119"/>
      <c r="H26" s="119"/>
      <c r="I26" s="119"/>
    </row>
    <row r="27" spans="1:36" ht="14.25">
      <c r="A27" s="1635"/>
      <c r="B27" s="132">
        <v>0</v>
      </c>
      <c r="C27" s="132">
        <v>0</v>
      </c>
      <c r="D27" s="133">
        <f>ROUND(C27*B27/10000,0)</f>
        <v>0</v>
      </c>
      <c r="E27" s="119"/>
      <c r="F27" s="119"/>
      <c r="G27" s="119"/>
      <c r="H27" s="119"/>
      <c r="I27" s="119"/>
    </row>
    <row r="28" spans="1:36" ht="14.25">
      <c r="A28" s="1635"/>
      <c r="B28" s="132"/>
      <c r="C28" s="132"/>
      <c r="D28" s="133"/>
      <c r="E28" s="119"/>
      <c r="F28" s="119"/>
      <c r="G28" s="119"/>
      <c r="H28" s="119"/>
      <c r="I28" s="119"/>
    </row>
    <row r="29" spans="1:36" ht="14.25">
      <c r="A29" s="1635"/>
      <c r="B29" s="132"/>
      <c r="C29" s="132"/>
      <c r="D29" s="133"/>
      <c r="E29" s="119"/>
      <c r="F29" s="119"/>
      <c r="G29" s="119"/>
      <c r="H29" s="119"/>
      <c r="I29" s="119"/>
    </row>
    <row r="30" spans="1:36" ht="15" thickBot="1">
      <c r="A30" s="132" t="s">
        <v>1304</v>
      </c>
      <c r="B30" s="132"/>
      <c r="C30" s="132"/>
      <c r="D30" s="132"/>
      <c r="E30" s="2123" t="s">
        <v>2131</v>
      </c>
      <c r="F30" s="119"/>
      <c r="G30" s="119"/>
      <c r="H30" s="119"/>
      <c r="I30" s="119"/>
    </row>
    <row r="31" spans="1:36" s="2129" customFormat="1" ht="26.45" customHeight="1" thickTop="1" thickBot="1">
      <c r="A31" s="2124"/>
      <c r="B31" s="2125"/>
      <c r="C31" s="2125"/>
      <c r="D31" s="2125"/>
      <c r="E31" s="2125"/>
      <c r="F31" s="2125"/>
      <c r="G31" s="2125"/>
      <c r="H31" s="2125"/>
      <c r="I31" s="2126" t="s">
        <v>2132</v>
      </c>
      <c r="J31" s="2460"/>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6" t="s">
        <v>1305</v>
      </c>
      <c r="B32" s="1531"/>
      <c r="C32" s="134">
        <f ca="1">IF(D32="总价",G19-C24,G20-C25)</f>
        <v>130953</v>
      </c>
      <c r="D32" s="1637" t="s">
        <v>3666</v>
      </c>
      <c r="E32" s="119"/>
      <c r="F32" s="119"/>
      <c r="G32" s="119"/>
      <c r="H32" s="119"/>
      <c r="I32" s="119"/>
    </row>
    <row r="33" spans="1:15" ht="15">
      <c r="A33" s="736" t="s">
        <v>1306</v>
      </c>
      <c r="B33" s="121"/>
      <c r="C33" s="1638" t="s">
        <v>3667</v>
      </c>
      <c r="D33" s="1639" t="s">
        <v>3664</v>
      </c>
      <c r="E33" s="1640" t="s">
        <v>1307</v>
      </c>
      <c r="F33" s="1641" t="str">
        <f>IF(D32="楼面单价","取值（单价）","取值（总价）")</f>
        <v>取值（总价）</v>
      </c>
      <c r="G33" s="119"/>
      <c r="H33" s="119"/>
      <c r="I33" s="119"/>
    </row>
    <row r="34" spans="1:15" ht="15">
      <c r="A34" s="1642"/>
      <c r="B34" s="1643" t="s">
        <v>1308</v>
      </c>
      <c r="C34" s="138">
        <f ca="1">IF(C33="自定义",F34,C32-C35)</f>
        <v>114191</v>
      </c>
      <c r="D34" s="804">
        <f ca="1">IF(C33="自定义",ROUND(C34/C32,3),IF(C33="收益比率",SUMIF(INDIRECT("'"&amp;D33&amp;"'"&amp;"!b:b"),"土地收益比率",INDIRECT("'"&amp;D33&amp;"'"&amp;"!c:c")),SUMIF(INDIRECT("'"&amp;D33&amp;"'"&amp;"!b:b"),"土地成本比率",INDIRECT("'"&amp;D33&amp;"'"&amp;"!c:c"))))</f>
        <v>0.872</v>
      </c>
      <c r="E34" s="1644" t="s">
        <v>1309</v>
      </c>
      <c r="F34" s="1239"/>
      <c r="G34" s="119"/>
      <c r="H34" s="119"/>
      <c r="I34" s="119"/>
    </row>
    <row r="35" spans="1:15" ht="15.75" thickBot="1">
      <c r="A35" s="1645"/>
      <c r="B35" s="1646" t="s">
        <v>1310</v>
      </c>
      <c r="C35" s="1086">
        <f ca="1">IF(C33="自定义",F35,ROUND(C32*D35,0))</f>
        <v>16762</v>
      </c>
      <c r="D35" s="1087">
        <f ca="1">IF(C33="自定义",ROUND(C35/C32,3),IF(C33="收益比率",SUMIF(INDIRECT("'"&amp;D33&amp;"'"&amp;"!b:b"),"建筑物收益比率",INDIRECT("'"&amp;D33&amp;"'"&amp;"!c:c")),SUMIF(INDIRECT("'"&amp;D33&amp;"'"&amp;"!b:b"),"建筑物成本比率",INDIRECT("'"&amp;D33&amp;"'"&amp;"!c:c"))))</f>
        <v>0.128</v>
      </c>
      <c r="E35" s="1647" t="s">
        <v>1311</v>
      </c>
      <c r="F35" s="144"/>
      <c r="G35" s="119"/>
      <c r="H35" s="119"/>
      <c r="I35" s="119"/>
    </row>
    <row r="36" spans="1:15" ht="15.75" thickBot="1">
      <c r="A36" s="3305" t="s">
        <v>1312</v>
      </c>
      <c r="B36" s="1648" t="s">
        <v>1313</v>
      </c>
      <c r="C36" s="135"/>
      <c r="D36" s="1649"/>
      <c r="E36" s="1563"/>
      <c r="F36" s="1650"/>
      <c r="G36" s="119"/>
      <c r="H36" s="119"/>
      <c r="I36" s="119"/>
    </row>
    <row r="37" spans="1:15" ht="15.75" thickBot="1">
      <c r="A37" s="3306"/>
      <c r="B37" s="1551" t="s">
        <v>1314</v>
      </c>
      <c r="C37" s="137"/>
      <c r="D37" s="1067"/>
      <c r="E37" s="1067"/>
      <c r="F37" s="1650"/>
      <c r="G37" s="119"/>
      <c r="H37" s="119"/>
      <c r="I37" s="119"/>
    </row>
    <row r="38" spans="1:15" ht="15.75" thickBot="1">
      <c r="A38" s="3307"/>
      <c r="B38" s="1651" t="s">
        <v>1315</v>
      </c>
      <c r="C38" s="639"/>
      <c r="D38" s="1652" t="s">
        <v>1316</v>
      </c>
      <c r="E38" s="1067"/>
      <c r="F38" s="1650"/>
      <c r="G38" s="119"/>
      <c r="H38" s="119"/>
      <c r="I38" s="119"/>
    </row>
    <row r="39" spans="1:15" ht="15">
      <c r="A39" s="1629" t="s">
        <v>1317</v>
      </c>
      <c r="B39" s="1653" t="s">
        <v>1318</v>
      </c>
      <c r="C39" s="1654" t="s">
        <v>1319</v>
      </c>
      <c r="D39" s="1654" t="s">
        <v>1320</v>
      </c>
      <c r="E39" s="1655" t="s">
        <v>1321</v>
      </c>
      <c r="F39" s="1650"/>
      <c r="G39" s="119"/>
      <c r="H39" s="119"/>
      <c r="I39" s="119"/>
    </row>
    <row r="40" spans="1:15" ht="14.25">
      <c r="A40" s="1656" t="s">
        <v>1322</v>
      </c>
      <c r="B40" s="139"/>
      <c r="C40" s="140"/>
      <c r="D40" s="140"/>
      <c r="E40" s="141"/>
      <c r="F40" s="1650"/>
      <c r="G40" s="119"/>
      <c r="H40" s="119"/>
      <c r="I40" s="119"/>
    </row>
    <row r="41" spans="1:15" ht="14.25">
      <c r="A41" s="1656" t="s">
        <v>1323</v>
      </c>
      <c r="B41" s="139"/>
      <c r="C41" s="140"/>
      <c r="D41" s="140"/>
      <c r="E41" s="141"/>
      <c r="F41" s="1650"/>
      <c r="G41" s="119"/>
      <c r="H41" s="119"/>
      <c r="I41" s="119"/>
    </row>
    <row r="42" spans="1:15" ht="15" thickBot="1">
      <c r="A42" s="1657"/>
      <c r="B42" s="142"/>
      <c r="C42" s="143"/>
      <c r="D42" s="143"/>
      <c r="E42" s="144"/>
      <c r="F42" s="1650"/>
      <c r="G42" s="119"/>
      <c r="H42" s="119"/>
      <c r="I42" s="119"/>
    </row>
    <row r="43" spans="1:15" ht="12.75">
      <c r="A43" s="1463"/>
      <c r="B43" s="1463"/>
      <c r="C43" s="1463"/>
      <c r="D43" s="1463"/>
      <c r="E43" s="1463"/>
      <c r="F43" s="1658"/>
      <c r="G43" s="1658"/>
      <c r="H43" s="1658"/>
      <c r="I43" s="1659"/>
    </row>
    <row r="44" spans="1:15" ht="18.75">
      <c r="A44" s="1460" t="s">
        <v>1324</v>
      </c>
      <c r="B44" s="1660"/>
      <c r="C44" s="1660"/>
      <c r="D44" s="1661"/>
      <c r="E44" s="1661"/>
      <c r="F44" s="1662"/>
      <c r="G44" s="1662"/>
      <c r="H44" s="1662"/>
      <c r="I44" s="1662"/>
      <c r="J44" s="1663" t="s">
        <v>1325</v>
      </c>
      <c r="K44" s="4"/>
      <c r="L44" s="4"/>
      <c r="M44" s="4"/>
      <c r="N44" s="4"/>
      <c r="O44" s="4"/>
    </row>
    <row r="45" spans="1:15" ht="14.25" customHeight="1" thickBot="1">
      <c r="A45" s="3282" t="s">
        <v>1326</v>
      </c>
      <c r="B45" s="3283"/>
      <c r="C45" s="3284"/>
      <c r="D45" s="145">
        <f ca="1">ROUND(H101*F45,0)</f>
        <v>130953</v>
      </c>
      <c r="E45" s="146" t="s">
        <v>1327</v>
      </c>
      <c r="F45" s="147">
        <v>1</v>
      </c>
      <c r="G45" s="148" t="s">
        <v>1328</v>
      </c>
      <c r="H45" s="119"/>
      <c r="I45" s="119"/>
      <c r="J45" s="3360" t="s">
        <v>1329</v>
      </c>
      <c r="K45" s="3360"/>
      <c r="L45" s="3360"/>
      <c r="M45" s="3360"/>
      <c r="N45" s="3360"/>
      <c r="O45" s="3360"/>
    </row>
    <row r="46" spans="1:15" ht="14.25" customHeight="1">
      <c r="A46" s="3279" t="s">
        <v>1330</v>
      </c>
      <c r="B46" s="3280"/>
      <c r="C46" s="3280"/>
      <c r="D46" s="3280"/>
      <c r="E46" s="3280"/>
      <c r="F46" s="3280"/>
      <c r="G46" s="3281"/>
      <c r="H46" s="1664"/>
      <c r="I46" s="149"/>
      <c r="J46" s="2306">
        <v>1</v>
      </c>
      <c r="K46" s="3341" t="s">
        <v>1331</v>
      </c>
      <c r="L46" s="3341"/>
      <c r="M46" s="3361"/>
      <c r="N46" s="3361"/>
      <c r="O46" s="3361"/>
    </row>
    <row r="47" spans="1:15" ht="12" customHeight="1">
      <c r="A47" s="150" t="s">
        <v>1332</v>
      </c>
      <c r="B47" s="151"/>
      <c r="C47" s="152"/>
      <c r="D47" s="1020" t="s">
        <v>1333</v>
      </c>
      <c r="E47" s="292" t="s">
        <v>1334</v>
      </c>
      <c r="F47" s="153" t="s">
        <v>1335</v>
      </c>
      <c r="G47" s="2329" t="s">
        <v>1336</v>
      </c>
      <c r="H47" s="2330"/>
      <c r="I47" s="149"/>
      <c r="J47" s="2306">
        <v>2</v>
      </c>
      <c r="K47" s="3341" t="s">
        <v>1337</v>
      </c>
      <c r="L47" s="3341"/>
      <c r="M47" s="3362">
        <f>'数据-取费表'!B2</f>
        <v>45924</v>
      </c>
      <c r="N47" s="3362"/>
      <c r="O47" s="3362"/>
    </row>
    <row r="48" spans="1:15" ht="25.5">
      <c r="A48" s="3310" t="s">
        <v>1338</v>
      </c>
      <c r="B48" s="3293"/>
      <c r="C48" s="3293"/>
      <c r="D48" s="12">
        <f ca="1">IF(H48="情况1",0,IF(H48="情况2",D52,IF(H48="情况3",D53,IF(H48="情况4",D54))))</f>
        <v>6984</v>
      </c>
      <c r="E48" s="1252" t="str">
        <f>IF(H48="情况4","(销售额-原购置价)×税（费）率","销售额×税（费）率")</f>
        <v>销售额×税（费）率</v>
      </c>
      <c r="F48" s="2331">
        <f>IF(H48="情况1","免征",'数据-取费表'!B41)</f>
        <v>5.6000000000000001E-2</v>
      </c>
      <c r="G48" s="2332" t="s">
        <v>1339</v>
      </c>
      <c r="H48" s="2333" t="s">
        <v>3668</v>
      </c>
      <c r="I48" s="1664"/>
      <c r="J48" s="2306">
        <v>3</v>
      </c>
      <c r="K48" s="3341" t="s">
        <v>1340</v>
      </c>
      <c r="L48" s="3341"/>
      <c r="M48" s="3363">
        <f ca="1">H101</f>
        <v>130953</v>
      </c>
      <c r="N48" s="3363"/>
      <c r="O48" s="3363"/>
    </row>
    <row r="49" spans="1:35" ht="25.5" customHeight="1">
      <c r="A49" s="2148" t="s">
        <v>1341</v>
      </c>
      <c r="B49" s="3277" t="s">
        <v>1342</v>
      </c>
      <c r="C49" s="3277"/>
      <c r="D49" s="1474">
        <v>0</v>
      </c>
      <c r="E49" s="314" t="s">
        <v>1343</v>
      </c>
      <c r="F49" s="2229" t="s">
        <v>28</v>
      </c>
      <c r="G49" s="3347"/>
      <c r="H49" s="2130" t="s">
        <v>2133</v>
      </c>
      <c r="I49" s="2131"/>
      <c r="J49" s="2306">
        <v>4</v>
      </c>
      <c r="K49" s="3341" t="str">
        <f>IF(项目基本情况!E8="房地产抵押价值","房地产抵押价值","抵押担保权已注销时的房地产抵押价值")</f>
        <v>房地产抵押价值</v>
      </c>
      <c r="L49" s="3341"/>
      <c r="M49" s="3363">
        <f ca="1">IF(项目基本情况!E8="房地产抵押价值",H107,H109)</f>
        <v>130953</v>
      </c>
      <c r="N49" s="3363"/>
      <c r="O49" s="3363"/>
    </row>
    <row r="50" spans="1:35" ht="25.5" customHeight="1">
      <c r="A50" s="2334"/>
      <c r="B50" s="3277" t="s">
        <v>1344</v>
      </c>
      <c r="C50" s="3277"/>
      <c r="D50" s="2185"/>
      <c r="E50" s="321"/>
      <c r="F50" s="2229"/>
      <c r="G50" s="3348"/>
      <c r="H50" s="2132" t="s">
        <v>2134</v>
      </c>
      <c r="I50" s="2131"/>
      <c r="J50" s="3360" t="s">
        <v>1345</v>
      </c>
      <c r="K50" s="3360"/>
      <c r="L50" s="3360"/>
      <c r="M50" s="3360"/>
      <c r="N50" s="3360"/>
      <c r="O50" s="3360"/>
    </row>
    <row r="51" spans="1:35" ht="20.45" customHeight="1">
      <c r="A51" s="2335"/>
      <c r="B51" s="3277" t="s">
        <v>1346</v>
      </c>
      <c r="C51" s="3277"/>
      <c r="D51" s="1020"/>
      <c r="E51" s="317"/>
      <c r="F51" s="2229"/>
      <c r="G51" s="3349"/>
      <c r="H51" s="2132" t="s">
        <v>2135</v>
      </c>
      <c r="I51" s="2131"/>
      <c r="J51" s="2307" t="s">
        <v>1347</v>
      </c>
      <c r="K51" s="3341" t="s">
        <v>1348</v>
      </c>
      <c r="L51" s="3341"/>
      <c r="M51" s="2307" t="s">
        <v>1349</v>
      </c>
      <c r="N51" s="2307" t="s">
        <v>1350</v>
      </c>
      <c r="O51" s="2307" t="s">
        <v>1351</v>
      </c>
    </row>
    <row r="52" spans="1:35" ht="24" customHeight="1">
      <c r="A52" s="2149" t="s">
        <v>1352</v>
      </c>
      <c r="B52" s="3277" t="s">
        <v>1353</v>
      </c>
      <c r="C52" s="3277"/>
      <c r="D52" s="1020">
        <f ca="1">ROUND(D45*'数据-取费表'!B41/(1+'数据-取费表'!C42),0)</f>
        <v>6984</v>
      </c>
      <c r="E52" s="1252" t="s">
        <v>1354</v>
      </c>
      <c r="F52" s="2336">
        <f>'数据-取费表'!B41</f>
        <v>5.6000000000000001E-2</v>
      </c>
      <c r="G52" s="2337"/>
      <c r="H52" s="2327"/>
      <c r="I52" s="1665"/>
      <c r="J52" s="2306">
        <v>1</v>
      </c>
      <c r="K52" s="3342" t="s">
        <v>1355</v>
      </c>
      <c r="L52" s="3342"/>
      <c r="M52" s="2308">
        <f ca="1">D48</f>
        <v>6984</v>
      </c>
      <c r="N52" s="2306" t="str">
        <f>E48</f>
        <v>销售额×税（费）率</v>
      </c>
      <c r="O52" s="2309">
        <f>F48</f>
        <v>5.6000000000000001E-2</v>
      </c>
    </row>
    <row r="53" spans="1:35" ht="12" customHeight="1">
      <c r="A53" s="2149" t="s">
        <v>1356</v>
      </c>
      <c r="B53" s="3303" t="s">
        <v>2281</v>
      </c>
      <c r="C53" s="3304"/>
      <c r="D53" s="1020">
        <f ca="1">ROUND(D45*'数据-取费表'!B41/(1+'数据-取费表'!C42),0)</f>
        <v>6984</v>
      </c>
      <c r="E53" s="1252" t="s">
        <v>1354</v>
      </c>
      <c r="F53" s="2336">
        <f>'数据-取费表'!B41</f>
        <v>5.6000000000000001E-2</v>
      </c>
      <c r="G53" s="2337"/>
      <c r="H53" s="2327"/>
      <c r="I53" s="1665"/>
      <c r="J53" s="2306">
        <v>2</v>
      </c>
      <c r="K53" s="3342" t="s">
        <v>1357</v>
      </c>
      <c r="L53" s="3342"/>
      <c r="M53" s="2308">
        <f t="shared" ref="M53:O54" ca="1" si="0">D55</f>
        <v>65</v>
      </c>
      <c r="N53" s="2306" t="str">
        <f t="shared" si="0"/>
        <v>销售额×税（费）率</v>
      </c>
      <c r="O53" s="2309">
        <f t="shared" si="0"/>
        <v>5.0000000000000001E-4</v>
      </c>
    </row>
    <row r="54" spans="1:35" ht="12" customHeight="1">
      <c r="A54" s="2149" t="s">
        <v>1358</v>
      </c>
      <c r="B54" s="3303" t="s">
        <v>2282</v>
      </c>
      <c r="C54" s="3304"/>
      <c r="D54" s="1020">
        <f ca="1">C68</f>
        <v>6984</v>
      </c>
      <c r="E54" s="317" t="s">
        <v>1359</v>
      </c>
      <c r="F54" s="2336">
        <f>'数据-取费表'!B41</f>
        <v>5.6000000000000001E-2</v>
      </c>
      <c r="G54" s="2337"/>
      <c r="H54" s="2338"/>
      <c r="I54" s="1665"/>
      <c r="J54" s="2306">
        <v>3</v>
      </c>
      <c r="K54" s="3342" t="s">
        <v>1360</v>
      </c>
      <c r="L54" s="3342"/>
      <c r="M54" s="2308">
        <f t="shared" ca="1" si="0"/>
        <v>74120</v>
      </c>
      <c r="N54" s="2306" t="str">
        <f t="shared" si="0"/>
        <v>增值额×税（费）率</v>
      </c>
      <c r="O54" s="2310" t="str">
        <f t="shared" si="0"/>
        <v>——</v>
      </c>
    </row>
    <row r="55" spans="1:35" ht="24" customHeight="1">
      <c r="A55" s="3292" t="s">
        <v>1361</v>
      </c>
      <c r="B55" s="3293"/>
      <c r="C55" s="3293"/>
      <c r="D55" s="12">
        <f ca="1">IF(H55="个人住宅",0,ROUND(D45*I55,0))</f>
        <v>65</v>
      </c>
      <c r="E55" s="1252" t="s">
        <v>1362</v>
      </c>
      <c r="F55" s="2336">
        <f>IF(H55="正常",I55,"免征")</f>
        <v>5.0000000000000001E-4</v>
      </c>
      <c r="G55" s="2337"/>
      <c r="H55" s="2333" t="s">
        <v>3581</v>
      </c>
      <c r="I55" s="155">
        <f>'数据-取费表'!B49</f>
        <v>5.0000000000000001E-4</v>
      </c>
      <c r="J55" s="2306" t="str">
        <f>IF(H59="非个人房产","",4)</f>
        <v/>
      </c>
      <c r="K55" s="3342" t="str">
        <f>IF(H59="非个人房产","——","个人所得税")</f>
        <v>——</v>
      </c>
      <c r="L55" s="3342"/>
      <c r="M55" s="2311" t="str">
        <f>D59</f>
        <v>——</v>
      </c>
      <c r="N55" s="1879" t="str">
        <f>E59</f>
        <v>——</v>
      </c>
      <c r="O55" s="2312" t="str">
        <f>F59</f>
        <v>——</v>
      </c>
    </row>
    <row r="56" spans="1:35" ht="24.75">
      <c r="A56" s="3292" t="s">
        <v>1363</v>
      </c>
      <c r="B56" s="3293"/>
      <c r="C56" s="3293"/>
      <c r="D56" s="12">
        <f ca="1">IF(H56="个人住宅",D57,D58)</f>
        <v>74120</v>
      </c>
      <c r="E56" s="1252" t="s">
        <v>1364</v>
      </c>
      <c r="F56" s="2336" t="str">
        <f>IF(H56="正常",F58,"免征")</f>
        <v>——</v>
      </c>
      <c r="G56" s="2339" t="s">
        <v>1365</v>
      </c>
      <c r="H56" s="2340" t="s">
        <v>3581</v>
      </c>
      <c r="I56" s="1666"/>
      <c r="J56" s="2306" t="str">
        <f>IF(项目基本情况!K6="上海银行",IF(J55="",4,J55+1),"")</f>
        <v/>
      </c>
      <c r="K56" s="3365" t="str">
        <f>IF(项目基本情况!K6="上海银行","其他处置费用","")</f>
        <v/>
      </c>
      <c r="L56" s="3366"/>
      <c r="M56" s="2308" t="str">
        <f>IF(项目基本情况!K6="上海银行",M69,"")</f>
        <v/>
      </c>
      <c r="N56" s="3365" t="str">
        <f>IF(项目基本情况!K6="上海银行","包含处置中涉及的律师、诉讼、拍卖、评估等费用","")</f>
        <v/>
      </c>
      <c r="O56" s="3368"/>
    </row>
    <row r="57" spans="1:35" ht="12.75">
      <c r="A57" s="2149" t="s">
        <v>1341</v>
      </c>
      <c r="B57" s="3303" t="s">
        <v>1366</v>
      </c>
      <c r="C57" s="3304"/>
      <c r="D57" s="1474">
        <v>0</v>
      </c>
      <c r="E57" s="314" t="s">
        <v>1343</v>
      </c>
      <c r="F57" s="292"/>
      <c r="G57" s="2337"/>
      <c r="H57" s="2341"/>
      <c r="I57" s="1666"/>
      <c r="J57" s="3342">
        <f>IF(AND(J55="",J56=""),4,IF(项目基本情况!K6="上海银行",结果表!J56+1,结果表!J55+1))</f>
        <v>4</v>
      </c>
      <c r="K57" s="3342" t="s">
        <v>1367</v>
      </c>
      <c r="L57" s="2313" t="s">
        <v>1368</v>
      </c>
      <c r="M57" s="2314"/>
      <c r="N57" s="2315">
        <f ca="1">SUMIF(M52:M56,"&lt;9e307")</f>
        <v>81169</v>
      </c>
      <c r="O57" s="2316"/>
      <c r="P57" s="2461">
        <f ca="1">N57/M49</f>
        <v>0.61983306988003328</v>
      </c>
    </row>
    <row r="58" spans="1:35" ht="24.75">
      <c r="A58" s="2149" t="s">
        <v>1352</v>
      </c>
      <c r="B58" s="3303" t="s">
        <v>1369</v>
      </c>
      <c r="C58" s="3277"/>
      <c r="D58" s="12">
        <f ca="1">IF(H58="转让取得",C81,C97)</f>
        <v>74120</v>
      </c>
      <c r="E58" s="1252" t="s">
        <v>1364</v>
      </c>
      <c r="F58" s="292" t="s">
        <v>28</v>
      </c>
      <c r="G58" s="2337"/>
      <c r="H58" s="2340" t="s">
        <v>3669</v>
      </c>
      <c r="I58" s="1666"/>
      <c r="J58" s="3342"/>
      <c r="K58" s="3342"/>
      <c r="L58" s="2313" t="s">
        <v>1370</v>
      </c>
      <c r="M58" s="2317"/>
      <c r="N58" s="2318" t="str">
        <f ca="1">NUMBERSTRING(INT(N57*10000),2)&amp;"元整"</f>
        <v>捌亿壹仟壹佰陆拾玖万元整</v>
      </c>
      <c r="O58" s="2319"/>
    </row>
    <row r="59" spans="1:35" ht="24.75" thickBot="1">
      <c r="A59" s="3345" t="s">
        <v>1371</v>
      </c>
      <c r="B59" s="3346"/>
      <c r="C59" s="3346"/>
      <c r="D59" s="2342" t="str">
        <f>IF(H59="非个人房产","——",IF(H59="个人住宅（满五唯一有凭证）",0,IF(H59="个人其他（无凭证）",ROUND(D45/(1+'数据-取费表'!C42)*F59,0),ROUND(C67*F59,0))))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4" t="s">
        <v>3670</v>
      </c>
      <c r="I59" s="2133" t="s">
        <v>2136</v>
      </c>
      <c r="J59" s="3343">
        <f>J57+1</f>
        <v>5</v>
      </c>
      <c r="K59" s="3342" t="s">
        <v>1372</v>
      </c>
      <c r="L59" s="2306" t="s">
        <v>1368</v>
      </c>
      <c r="M59" s="2320"/>
      <c r="N59" s="2321">
        <f ca="1">M49-N57</f>
        <v>49784</v>
      </c>
      <c r="O59" s="2322"/>
    </row>
    <row r="60" spans="1:35" ht="12" customHeight="1">
      <c r="A60" s="1667"/>
      <c r="B60" s="644"/>
      <c r="C60" s="644"/>
      <c r="D60" s="644"/>
      <c r="E60" s="1462"/>
      <c r="F60" s="1666"/>
      <c r="G60" s="1666"/>
      <c r="H60" s="149"/>
      <c r="I60" s="119"/>
      <c r="J60" s="3344"/>
      <c r="K60" s="3342"/>
      <c r="L60" s="2313" t="s">
        <v>1370</v>
      </c>
      <c r="M60" s="2317"/>
      <c r="N60" s="2318" t="str">
        <f ca="1">NUMBERSTRING(INT(N59*10000),2)&amp;"元整"</f>
        <v>肆亿玖仟柒佰捌拾肆万元整</v>
      </c>
      <c r="O60" s="2319"/>
    </row>
    <row r="61" spans="1:35" ht="13.5" thickBot="1">
      <c r="A61" s="3290" t="s">
        <v>1373</v>
      </c>
      <c r="B61" s="3290"/>
      <c r="C61" s="3290"/>
      <c r="D61" s="3290"/>
      <c r="E61" s="3290"/>
      <c r="F61" s="1666"/>
      <c r="G61" s="1666"/>
      <c r="H61" s="149"/>
      <c r="I61" s="119"/>
      <c r="J61" s="2306">
        <f>J59+1</f>
        <v>6</v>
      </c>
      <c r="K61" s="3342" t="s">
        <v>1374</v>
      </c>
      <c r="L61" s="3342"/>
      <c r="M61" s="2323"/>
      <c r="N61" s="2324">
        <f ca="1">ROUND(N59*10000/'数据-汇总表'!E3,0)</f>
        <v>6696</v>
      </c>
      <c r="O61" s="2325"/>
    </row>
    <row r="62" spans="1:35" ht="12.75">
      <c r="A62" s="3308" t="s">
        <v>1375</v>
      </c>
      <c r="B62" s="3309"/>
      <c r="C62" s="1861"/>
      <c r="D62" s="1861" t="s">
        <v>1376</v>
      </c>
      <c r="E62" s="156" t="s">
        <v>1377</v>
      </c>
      <c r="F62" s="1666"/>
      <c r="G62" s="1666"/>
      <c r="H62" s="149"/>
      <c r="I62" s="119"/>
    </row>
    <row r="63" spans="1:35" ht="12.75">
      <c r="A63" s="163" t="s">
        <v>330</v>
      </c>
      <c r="B63" s="157" t="s">
        <v>1378</v>
      </c>
      <c r="C63" s="2346">
        <f ca="1">ROUND((C64+C65)/(1+'数据-取费表'!C42),0)</f>
        <v>124717</v>
      </c>
      <c r="D63" s="157"/>
      <c r="E63" s="158"/>
      <c r="F63" s="1666"/>
      <c r="G63" s="1666"/>
      <c r="H63" s="149"/>
      <c r="I63" s="119"/>
      <c r="J63" s="3367" t="s">
        <v>1379</v>
      </c>
      <c r="K63" s="1241" t="s">
        <v>1380</v>
      </c>
      <c r="L63" s="1241">
        <f ca="1">IF(M49&gt;10000,M49*0.5%,IF(AND(M49&gt;1000,M49&lt;=10000),M49*1%,IF(AND(M49&gt;100,M49&lt;=1000),M49*3%,IF(AND(M49&gt;10,M49&lt;=100),M49*5%,M49*8%))))</f>
        <v>654.76499999999999</v>
      </c>
      <c r="M63" s="292">
        <f ca="1">ROUND(L63,1)</f>
        <v>654.79999999999995</v>
      </c>
      <c r="N63" s="2326"/>
      <c r="Z63" s="1619"/>
      <c r="AI63" s="1557"/>
    </row>
    <row r="64" spans="1:35" ht="14.25" customHeight="1">
      <c r="A64" s="159" t="s">
        <v>325</v>
      </c>
      <c r="B64" s="160" t="s">
        <v>1381</v>
      </c>
      <c r="C64" s="2347">
        <f ca="1">D45</f>
        <v>130953</v>
      </c>
      <c r="D64" s="160" t="s">
        <v>26</v>
      </c>
      <c r="E64" s="162"/>
      <c r="F64" s="1666"/>
      <c r="G64" s="1666"/>
      <c r="H64" s="149"/>
      <c r="I64" s="119"/>
      <c r="J64" s="3367"/>
      <c r="K64" s="1241" t="s">
        <v>1382</v>
      </c>
      <c r="L64" s="1241">
        <f ca="1">IF(M49&gt;2000,M49*0.5%,IF(AND(M49&gt;1000,M49&lt;=2000),M49*0.6%,IF(AND(M49&gt;500,M49&lt;=1000),M49*0.7%,IF(AND(M49&gt;200,M49&lt;=500),M49*0.8%,IF(AND(M49&gt;100,M49&lt;=200),M49*0.9%,IF(AND(M49&gt;50,M49&lt;=100),M49*1%,IF(AND(M49&gt;20,M49&lt;=50),M49*1.5%,IF(AND(M49&gt;10,M49&lt;=20),M49*2%,IF(AND(M49&gt;1,M49&lt;=10),M49*2.5%)))))))))</f>
        <v>654.76499999999999</v>
      </c>
      <c r="M64" s="292">
        <f t="shared" ref="M64:M65" ca="1" si="1">ROUND(L64,1)</f>
        <v>654.79999999999995</v>
      </c>
      <c r="N64" s="2327" t="s">
        <v>1383</v>
      </c>
      <c r="Z64" s="1619"/>
      <c r="AI64" s="1557"/>
    </row>
    <row r="65" spans="1:35" ht="14.25" customHeight="1">
      <c r="A65" s="159" t="s">
        <v>326</v>
      </c>
      <c r="B65" s="160" t="s">
        <v>1384</v>
      </c>
      <c r="C65" s="2348"/>
      <c r="D65" s="160"/>
      <c r="E65" s="162"/>
      <c r="F65" s="1666"/>
      <c r="G65" s="1666"/>
      <c r="H65" s="149"/>
      <c r="I65" s="119"/>
      <c r="J65" s="3367"/>
      <c r="K65" s="1241" t="s">
        <v>1385</v>
      </c>
      <c r="L65" s="1241">
        <f ca="1">IF(M49&gt;1000,M49*0.1%,IF(AND(M49&gt;500,M49&lt;=1000),M49*0.5%,IF(AND(M49&gt;50,M49&lt;=500),M49*1%,IF(AND(M49&gt;1,M49&lt;=50),M49*1.5%))))</f>
        <v>130.953</v>
      </c>
      <c r="M65" s="292">
        <f t="shared" ca="1" si="1"/>
        <v>131</v>
      </c>
      <c r="N65" s="2327" t="s">
        <v>1383</v>
      </c>
      <c r="Z65" s="1619"/>
      <c r="AI65" s="1557"/>
    </row>
    <row r="66" spans="1:35" ht="14.25" customHeight="1">
      <c r="A66" s="163" t="s">
        <v>327</v>
      </c>
      <c r="B66" s="164" t="s">
        <v>1386</v>
      </c>
      <c r="C66" s="2349"/>
      <c r="D66" s="164" t="s">
        <v>26</v>
      </c>
      <c r="E66" s="1247" t="s">
        <v>671</v>
      </c>
      <c r="F66" s="1666"/>
      <c r="G66" s="1666"/>
      <c r="H66" s="149"/>
      <c r="I66" s="119"/>
      <c r="J66" s="3367"/>
      <c r="K66" s="1241" t="s">
        <v>1387</v>
      </c>
      <c r="L66" s="1241">
        <f ca="1">M49*0.5%</f>
        <v>654.76499999999999</v>
      </c>
      <c r="M66" s="292">
        <f ca="1">IF(L66&gt;0.5,0.5,ROUND(L66,0))</f>
        <v>0.5</v>
      </c>
      <c r="N66" s="2327" t="s">
        <v>1388</v>
      </c>
      <c r="Z66" s="1619"/>
      <c r="AI66" s="1557"/>
    </row>
    <row r="67" spans="1:35" ht="14.25" customHeight="1">
      <c r="A67" s="163" t="s">
        <v>328</v>
      </c>
      <c r="B67" s="164" t="s">
        <v>1389</v>
      </c>
      <c r="C67" s="2350">
        <f ca="1">C63-C66</f>
        <v>124717</v>
      </c>
      <c r="D67" s="160" t="s">
        <v>26</v>
      </c>
      <c r="E67" s="162"/>
      <c r="F67" s="1666"/>
      <c r="G67" s="1666"/>
      <c r="H67" s="149"/>
      <c r="I67" s="119"/>
      <c r="J67" s="3367"/>
      <c r="K67" s="1241" t="s">
        <v>1390</v>
      </c>
      <c r="L67" s="1241">
        <f ca="1">IF(M49&gt;=10000,(8.25+(M49-10000)*0.01%),IF(AND(M49&gt;=8000,M49&lt;10000),(7.85+(M49-8000)*0.02%),IF(AND(M49&gt;=5000,M49&lt;8000),(6.65+(M49-5000)*0.04%),IF(AND(M49&gt;=2000,M49&lt;5000),(4.25+(PM49-2000)*0.08%),IF(AND(M49&gt;=1000,M49&lt;2000),(2.75+(M49-1000)*0.15%),IF(AND(M49&gt;=100,M49&lt;1000),(0.5+(M49-100)*0.25%),IF(AND(M49&gt;0,M49&lt;100),M49*0.5%)))))))</f>
        <v>20.345300000000002</v>
      </c>
      <c r="M67" s="292">
        <f ca="1">ROUND(L67*0.9,1)</f>
        <v>18.3</v>
      </c>
      <c r="N67" s="2326"/>
      <c r="Z67" s="1619"/>
      <c r="AI67" s="1557"/>
    </row>
    <row r="68" spans="1:35" ht="14.25" customHeight="1" thickBot="1">
      <c r="A68" s="166" t="s">
        <v>329</v>
      </c>
      <c r="B68" s="167" t="s">
        <v>1391</v>
      </c>
      <c r="C68" s="2351">
        <f ca="1">IF(C67&lt;=0,0,ROUND(C67*D68,0))</f>
        <v>6984</v>
      </c>
      <c r="D68" s="2352">
        <f>'数据-取费表'!B41</f>
        <v>5.6000000000000001E-2</v>
      </c>
      <c r="E68" s="168"/>
      <c r="F68" s="1666"/>
      <c r="G68" s="1666"/>
      <c r="H68" s="149"/>
      <c r="I68" s="119"/>
      <c r="J68" s="3367"/>
      <c r="K68" s="1241" t="s">
        <v>1392</v>
      </c>
      <c r="L68" s="1241">
        <f ca="1">IF(M49&gt;10000,M49*0.5%,IF(AND(M49&gt;5000,M49&lt;=10000),M49*1%,IF(AND(M49&gt;1000,M49&lt;=5000),M49*2%,IF(AND(M49&gt;200,M49&lt;=1000),M49*3%,M49*5%))))</f>
        <v>654.76499999999999</v>
      </c>
      <c r="M68" s="292">
        <f ca="1">ROUND(L68,1)</f>
        <v>654.79999999999995</v>
      </c>
      <c r="N68" s="2326"/>
      <c r="Z68" s="1619"/>
      <c r="AI68" s="1557"/>
    </row>
    <row r="69" spans="1:35" ht="16.5" customHeight="1">
      <c r="A69" s="1668"/>
      <c r="B69" s="1669"/>
      <c r="C69" s="1670"/>
      <c r="D69" s="1671"/>
      <c r="E69" s="1672"/>
      <c r="F69" s="1462"/>
      <c r="G69" s="1462"/>
      <c r="H69" s="1463"/>
      <c r="I69" s="644"/>
      <c r="J69" s="3367"/>
      <c r="K69" s="1241" t="s">
        <v>1393</v>
      </c>
      <c r="L69" s="1241"/>
      <c r="M69" s="292">
        <f ca="1">ROUND(SUM(M63:M68),0)</f>
        <v>2114</v>
      </c>
      <c r="N69" s="2328">
        <f ca="1">M69/M49</f>
        <v>1.6143196413980588E-2</v>
      </c>
      <c r="Z69" s="1619"/>
      <c r="AI69" s="1557"/>
    </row>
    <row r="70" spans="1:35" s="640" customFormat="1" ht="15" thickBot="1">
      <c r="A70" s="3329" t="s">
        <v>1394</v>
      </c>
      <c r="B70" s="3330"/>
      <c r="C70" s="3330"/>
      <c r="D70" s="3330"/>
      <c r="E70" s="3330"/>
      <c r="F70" s="3330"/>
      <c r="G70" s="3330"/>
      <c r="H70" s="3330"/>
      <c r="I70" s="1673"/>
      <c r="J70" s="457"/>
      <c r="K70" s="457"/>
      <c r="L70" s="457"/>
      <c r="M70" s="457"/>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0" customFormat="1" ht="14.25">
      <c r="A71" s="3308" t="s">
        <v>1375</v>
      </c>
      <c r="B71" s="3309"/>
      <c r="C71" s="1861"/>
      <c r="D71" s="1861" t="s">
        <v>1376</v>
      </c>
      <c r="E71" s="169" t="s">
        <v>1377</v>
      </c>
      <c r="F71" s="170"/>
      <c r="G71" s="170"/>
      <c r="H71" s="171"/>
      <c r="I71" s="1676"/>
      <c r="J71" s="457"/>
      <c r="K71" s="457"/>
      <c r="L71" s="457"/>
      <c r="M71" s="457"/>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0" customFormat="1" ht="14.25">
      <c r="A72" s="163" t="s">
        <v>330</v>
      </c>
      <c r="B72" s="164" t="s">
        <v>1395</v>
      </c>
      <c r="C72" s="2350">
        <f ca="1">ROUND(D45/(1+'数据-取费表'!C42),0)</f>
        <v>124717</v>
      </c>
      <c r="D72" s="160" t="s">
        <v>26</v>
      </c>
      <c r="E72" s="1253"/>
      <c r="F72" s="1251"/>
      <c r="G72" s="1251"/>
      <c r="H72" s="172"/>
      <c r="I72" s="1676"/>
      <c r="J72" s="457"/>
      <c r="K72" s="457"/>
      <c r="L72" s="457"/>
      <c r="M72" s="457"/>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0" customFormat="1" ht="14.25">
      <c r="A73" s="163" t="s">
        <v>327</v>
      </c>
      <c r="B73" s="153" t="s">
        <v>1396</v>
      </c>
      <c r="C73" s="2350">
        <f ca="1">C74+C78</f>
        <v>748</v>
      </c>
      <c r="D73" s="160" t="s">
        <v>26</v>
      </c>
      <c r="E73" s="1253"/>
      <c r="F73" s="1251"/>
      <c r="G73" s="1251"/>
      <c r="H73" s="172"/>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0" customFormat="1" ht="24">
      <c r="A74" s="159" t="s">
        <v>325</v>
      </c>
      <c r="B74" s="160" t="s">
        <v>1397</v>
      </c>
      <c r="C74" s="160">
        <f>ROUND(IF(G77="2016年5月1日后购买",C75/(1+'数据-取费表'!C42)+C76+C77,C75+C76+C77),0)</f>
        <v>0</v>
      </c>
      <c r="D74" s="160" t="s">
        <v>26</v>
      </c>
      <c r="E74" s="1253"/>
      <c r="F74" s="1251"/>
      <c r="G74" s="1251"/>
      <c r="H74" s="172"/>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0" customFormat="1" ht="14.25">
      <c r="A75" s="159" t="s">
        <v>331</v>
      </c>
      <c r="B75" s="160" t="s">
        <v>1398</v>
      </c>
      <c r="C75" s="2353"/>
      <c r="D75" s="160" t="s">
        <v>26</v>
      </c>
      <c r="E75" s="174" t="s">
        <v>1399</v>
      </c>
      <c r="F75" s="2354"/>
      <c r="G75" s="174" t="s">
        <v>1400</v>
      </c>
      <c r="H75" s="2355"/>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0" customFormat="1" ht="24.75" customHeight="1">
      <c r="A76" s="159" t="s">
        <v>332</v>
      </c>
      <c r="B76" s="175" t="s">
        <v>1401</v>
      </c>
      <c r="C76" s="160">
        <f>IF(F75="购房发票",ROUND(C75*H75*D76,0),0)</f>
        <v>0</v>
      </c>
      <c r="D76" s="2356">
        <v>0.05</v>
      </c>
      <c r="E76" s="3303" t="s">
        <v>1402</v>
      </c>
      <c r="F76" s="3277"/>
      <c r="G76" s="3277"/>
      <c r="H76" s="3328"/>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0" customFormat="1" ht="24.75" customHeight="1">
      <c r="A77" s="159" t="s">
        <v>333</v>
      </c>
      <c r="B77" s="160" t="s">
        <v>1403</v>
      </c>
      <c r="C77" s="160">
        <f>ROUND(IF(G77="个人住宅",0,IF(G77="2016年5月1日前购买",C75*D77,C75*D77/(1+'数据-取费表'!C42))),0)</f>
        <v>0</v>
      </c>
      <c r="D77" s="2357">
        <f>'数据-取费表'!B48+'数据-取费表'!B49</f>
        <v>3.0499999999999999E-2</v>
      </c>
      <c r="E77" s="12" t="s">
        <v>1404</v>
      </c>
      <c r="F77" s="176"/>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0" customFormat="1" ht="24.75" customHeight="1">
      <c r="A78" s="159" t="s">
        <v>326</v>
      </c>
      <c r="B78" s="160" t="s">
        <v>1405</v>
      </c>
      <c r="C78" s="2358">
        <f ca="1">ROUND(D45*D78/(1+'数据-取费表'!C42),0)</f>
        <v>748</v>
      </c>
      <c r="D78" s="2359">
        <f>'数据-取费表'!B43</f>
        <v>6.000000000000001E-3</v>
      </c>
      <c r="E78" s="3287" t="s">
        <v>1406</v>
      </c>
      <c r="F78" s="3288"/>
      <c r="G78" s="3288"/>
      <c r="H78" s="3297"/>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0" customFormat="1" ht="14.25">
      <c r="A79" s="163" t="s">
        <v>334</v>
      </c>
      <c r="B79" s="164" t="s">
        <v>1407</v>
      </c>
      <c r="C79" s="2350">
        <f ca="1">C72-C73</f>
        <v>123969</v>
      </c>
      <c r="D79" s="160" t="s">
        <v>26</v>
      </c>
      <c r="E79" s="1253"/>
      <c r="F79" s="1251"/>
      <c r="G79" s="1251"/>
      <c r="H79" s="172"/>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0" customFormat="1" ht="24">
      <c r="A80" s="163" t="s">
        <v>335</v>
      </c>
      <c r="B80" s="164" t="s">
        <v>1408</v>
      </c>
      <c r="C80" s="2360">
        <f ca="1">IF(C79&lt;=0,0,C79/C73)</f>
        <v>165.73395721925132</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2"/>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0" customFormat="1" ht="24.75" thickBot="1">
      <c r="A81" s="166" t="s">
        <v>336</v>
      </c>
      <c r="B81" s="167" t="s">
        <v>1409</v>
      </c>
      <c r="C81" s="2361">
        <f ca="1">ROUND(IF(C79&lt;=0,0,IF(C80&gt;=200%,C79*60%-C73*35%,IF(C80&gt;=100%,C79*50%-C73*15%,IF(C80&gt;=50%,C79*40%-C73*5%,IF(C80&lt;50%,C79*30%,0))))),0)</f>
        <v>74120</v>
      </c>
      <c r="D81" s="2362"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0" customFormat="1" ht="7.5" customHeight="1">
      <c r="A82" s="4"/>
      <c r="B82" s="645"/>
      <c r="C82" s="4"/>
      <c r="D82" s="4"/>
      <c r="E82" s="645"/>
      <c r="F82" s="645"/>
      <c r="G82" s="645"/>
      <c r="H82" s="646"/>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0" customFormat="1" ht="15" thickBot="1">
      <c r="A83" s="3329" t="s">
        <v>1410</v>
      </c>
      <c r="B83" s="3330"/>
      <c r="C83" s="3330"/>
      <c r="D83" s="3330"/>
      <c r="E83" s="3330"/>
      <c r="F83" s="3330"/>
      <c r="G83" s="3330"/>
      <c r="H83" s="3330"/>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0" customFormat="1" ht="14.25">
      <c r="A84" s="3308" t="s">
        <v>1375</v>
      </c>
      <c r="B84" s="3309"/>
      <c r="C84" s="1861"/>
      <c r="D84" s="1861" t="s">
        <v>1376</v>
      </c>
      <c r="E84" s="169" t="s">
        <v>1377</v>
      </c>
      <c r="F84" s="170"/>
      <c r="G84" s="170"/>
      <c r="H84" s="181"/>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0" customFormat="1" ht="14.25">
      <c r="A85" s="163" t="s">
        <v>330</v>
      </c>
      <c r="B85" s="164" t="s">
        <v>1395</v>
      </c>
      <c r="C85" s="2350">
        <f ca="1">ROUND(D45/(1+'数据-取费表'!C42),0)</f>
        <v>124717</v>
      </c>
      <c r="D85" s="160" t="s">
        <v>26</v>
      </c>
      <c r="E85" s="1253"/>
      <c r="F85" s="1251"/>
      <c r="G85" s="1251"/>
      <c r="H85" s="182"/>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0" customFormat="1" ht="14.25">
      <c r="A86" s="163" t="s">
        <v>327</v>
      </c>
      <c r="B86" s="153" t="s">
        <v>1396</v>
      </c>
      <c r="C86" s="2350">
        <f ca="1">IF(H88="仅含出让金",C87+C90+C91+C92+C93+C94,C87+C91+C92+C93+C94)</f>
        <v>748</v>
      </c>
      <c r="D86" s="2363"/>
      <c r="E86" s="1253"/>
      <c r="F86" s="1251"/>
      <c r="G86" s="1251"/>
      <c r="H86" s="182"/>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0" customFormat="1" ht="14.25">
      <c r="A87" s="159" t="s">
        <v>325</v>
      </c>
      <c r="B87" s="160" t="s">
        <v>1411</v>
      </c>
      <c r="C87" s="2358">
        <f>C88+C89</f>
        <v>0</v>
      </c>
      <c r="D87" s="2359"/>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0" customFormat="1" ht="14.25">
      <c r="A88" s="159" t="s">
        <v>331</v>
      </c>
      <c r="B88" s="160" t="s">
        <v>1412</v>
      </c>
      <c r="C88" s="2364"/>
      <c r="D88" s="2359"/>
      <c r="E88" s="183" t="s">
        <v>1413</v>
      </c>
      <c r="F88" s="2144"/>
      <c r="G88" s="184" t="s">
        <v>1414</v>
      </c>
      <c r="H88" s="1680"/>
      <c r="I88" s="1677"/>
      <c r="J88" s="2304" t="s">
        <v>2278</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0" customFormat="1" ht="14.25">
      <c r="A89" s="159" t="s">
        <v>332</v>
      </c>
      <c r="B89" s="160" t="s">
        <v>1403</v>
      </c>
      <c r="C89" s="2358">
        <f>ROUND(C88*D89,0)</f>
        <v>0</v>
      </c>
      <c r="D89" s="2359">
        <f>'数据-取费表'!B48+'数据-取费表'!B49</f>
        <v>3.0499999999999999E-2</v>
      </c>
      <c r="E89" s="183" t="s">
        <v>1415</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0" customFormat="1" ht="14.25">
      <c r="A90" s="159" t="s">
        <v>326</v>
      </c>
      <c r="B90" s="160" t="s">
        <v>1416</v>
      </c>
      <c r="C90" s="2364"/>
      <c r="D90" s="2359"/>
      <c r="E90" s="183" t="str">
        <f>IF(H88="-","土地取得成本中已包含该笔费用"," ")</f>
        <v xml:space="preserve"> </v>
      </c>
      <c r="F90" s="2144"/>
      <c r="G90" s="3369" t="s">
        <v>2128</v>
      </c>
      <c r="H90" s="3370"/>
      <c r="I90" s="1677"/>
      <c r="J90" s="2304" t="s">
        <v>2279</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0" customFormat="1" ht="27.75" customHeight="1">
      <c r="A91" s="159" t="s">
        <v>1417</v>
      </c>
      <c r="B91" s="160" t="s">
        <v>1418</v>
      </c>
      <c r="C91" s="2358">
        <f>IF(H91="——",成本法!C33,I91)</f>
        <v>0</v>
      </c>
      <c r="D91" s="2359"/>
      <c r="E91" s="3287" t="s">
        <v>1419</v>
      </c>
      <c r="F91" s="3288"/>
      <c r="G91" s="3288"/>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0" customFormat="1" ht="25.5" customHeight="1">
      <c r="A92" s="159" t="s">
        <v>1420</v>
      </c>
      <c r="B92" s="160" t="s">
        <v>1421</v>
      </c>
      <c r="C92" s="2358">
        <f>ROUND((C87+C90+C91)*D92,0)</f>
        <v>0</v>
      </c>
      <c r="D92" s="2365"/>
      <c r="E92" s="3287" t="s">
        <v>1422</v>
      </c>
      <c r="F92" s="3288"/>
      <c r="G92" s="3288"/>
      <c r="H92" s="3297"/>
      <c r="I92" s="1677"/>
      <c r="J92" s="2305" t="s">
        <v>2280</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0" customFormat="1" ht="25.5" customHeight="1">
      <c r="A93" s="159" t="s">
        <v>1423</v>
      </c>
      <c r="B93" s="160" t="s">
        <v>1405</v>
      </c>
      <c r="C93" s="2358">
        <f ca="1">ROUND(D45*D93/(1+'数据-取费表'!C42),0)</f>
        <v>748</v>
      </c>
      <c r="D93" s="2359">
        <f>'数据-取费表'!B43</f>
        <v>6.000000000000001E-3</v>
      </c>
      <c r="E93" s="3287" t="s">
        <v>1406</v>
      </c>
      <c r="F93" s="3288"/>
      <c r="G93" s="3288"/>
      <c r="H93" s="3297"/>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0" customFormat="1" ht="36.75" customHeight="1">
      <c r="A94" s="159" t="s">
        <v>1424</v>
      </c>
      <c r="B94" s="160" t="s">
        <v>1425</v>
      </c>
      <c r="C94" s="2364">
        <f>ROUND((C87+C90+C91)*D94,0)</f>
        <v>0</v>
      </c>
      <c r="D94" s="2359">
        <v>0.2</v>
      </c>
      <c r="E94" s="3298" t="s">
        <v>1426</v>
      </c>
      <c r="F94" s="3299"/>
      <c r="G94" s="3299"/>
      <c r="H94" s="3300"/>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0" customFormat="1" ht="14.25">
      <c r="A95" s="163" t="s">
        <v>334</v>
      </c>
      <c r="B95" s="164" t="s">
        <v>1407</v>
      </c>
      <c r="C95" s="2350">
        <f ca="1">ROUND(C85-C86,0)</f>
        <v>123969</v>
      </c>
      <c r="D95" s="160" t="s">
        <v>26</v>
      </c>
      <c r="E95" s="1253"/>
      <c r="F95" s="1251"/>
      <c r="G95" s="1251"/>
      <c r="H95" s="182"/>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0" customFormat="1" ht="24">
      <c r="A96" s="163" t="s">
        <v>335</v>
      </c>
      <c r="B96" s="164" t="s">
        <v>1408</v>
      </c>
      <c r="C96" s="2360">
        <f ca="1">IF(C95&lt;=0,0,C95/C86)</f>
        <v>165.73395721925132</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2"/>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0" customFormat="1" ht="24.75" thickBot="1">
      <c r="A97" s="166" t="s">
        <v>336</v>
      </c>
      <c r="B97" s="167" t="s">
        <v>1409</v>
      </c>
      <c r="C97" s="2361">
        <f ca="1">ROUND(IF(C95&lt;=0,0,IF(C96&gt;=200%,C95*60%-C86*35%,IF(C96&gt;=100%,C95*50%-C86*15%,IF(C96&gt;=50%,C95*40%-C86*5%,IF(C96&lt;50%,C95*30%,0))))),0)</f>
        <v>74120</v>
      </c>
      <c r="D97" s="2362"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4"/>
      <c r="C98" s="644"/>
      <c r="D98" s="644"/>
      <c r="E98" s="1462"/>
      <c r="F98" s="1462"/>
      <c r="G98" s="1462"/>
      <c r="H98" s="1463"/>
      <c r="I98" s="119"/>
    </row>
    <row r="99" spans="1:35" ht="21.75" customHeight="1" thickBot="1">
      <c r="A99" s="1460" t="s">
        <v>1427</v>
      </c>
      <c r="B99" s="644"/>
      <c r="C99" s="644"/>
      <c r="D99" s="644"/>
      <c r="E99" s="1462"/>
      <c r="F99" s="1462"/>
      <c r="G99" s="1462"/>
      <c r="H99" s="1463"/>
      <c r="I99" s="119"/>
    </row>
    <row r="100" spans="1:35" ht="18.75" customHeight="1">
      <c r="A100" s="3271" t="s">
        <v>1428</v>
      </c>
      <c r="B100" s="3272"/>
      <c r="C100" s="3272"/>
      <c r="D100" s="3289"/>
      <c r="E100" s="3272" t="s">
        <v>1429</v>
      </c>
      <c r="F100" s="3272"/>
      <c r="G100" s="3272"/>
      <c r="H100" s="3289"/>
      <c r="I100" s="119"/>
    </row>
    <row r="101" spans="1:35" ht="18.75" customHeight="1">
      <c r="A101" s="3350" t="s">
        <v>1430</v>
      </c>
      <c r="B101" s="3351"/>
      <c r="C101" s="2367" t="str">
        <f>C4</f>
        <v>成本法</v>
      </c>
      <c r="D101" s="2368" t="str">
        <f>D4</f>
        <v>假设开发法</v>
      </c>
      <c r="E101" s="3364" t="s">
        <v>1431</v>
      </c>
      <c r="F101" s="3321"/>
      <c r="G101" s="1683" t="s">
        <v>1432</v>
      </c>
      <c r="H101" s="2377">
        <f ca="1">H118</f>
        <v>130953</v>
      </c>
      <c r="I101" s="119"/>
    </row>
    <row r="102" spans="1:35" ht="18.75" customHeight="1">
      <c r="A102" s="3323" t="s">
        <v>1433</v>
      </c>
      <c r="B102" s="2366" t="s">
        <v>1432</v>
      </c>
      <c r="C102" s="2367">
        <f ca="1">IF(D32="楼面单价",ROUND(C19,0),C19)</f>
        <v>140001</v>
      </c>
      <c r="D102" s="2368">
        <f ca="1">IF(D32="楼面单价",ROUND(D19,0),D19)</f>
        <v>121904</v>
      </c>
      <c r="E102" s="3364"/>
      <c r="F102" s="3321"/>
      <c r="G102" s="1683" t="s">
        <v>1434</v>
      </c>
      <c r="H102" s="2337">
        <f ca="1">I118</f>
        <v>17612</v>
      </c>
      <c r="I102" s="119"/>
    </row>
    <row r="103" spans="1:35" ht="42.75" customHeight="1">
      <c r="A103" s="3323"/>
      <c r="B103" s="2366" t="s">
        <v>1434</v>
      </c>
      <c r="C103" s="2369">
        <f ca="1">C20</f>
        <v>18829</v>
      </c>
      <c r="D103" s="2370">
        <f ca="1">D20</f>
        <v>16395</v>
      </c>
      <c r="E103" s="3358" t="s">
        <v>1435</v>
      </c>
      <c r="F103" s="3359"/>
      <c r="G103" s="1684" t="s">
        <v>1436</v>
      </c>
      <c r="H103" s="2377">
        <f>IF(D36="正常操作",H104+H105+H106,H105+H106)</f>
        <v>0</v>
      </c>
      <c r="I103" s="119"/>
    </row>
    <row r="104" spans="1:35" ht="18.75" customHeight="1">
      <c r="A104" s="3323" t="s">
        <v>1437</v>
      </c>
      <c r="B104" s="2371" t="s">
        <v>1432</v>
      </c>
      <c r="C104" s="2372">
        <f ca="1">H118</f>
        <v>130953</v>
      </c>
      <c r="D104" s="2373"/>
      <c r="E104" s="1551" t="s">
        <v>1438</v>
      </c>
      <c r="F104" s="1544"/>
      <c r="G104" s="1684" t="s">
        <v>1436</v>
      </c>
      <c r="H104" s="2378">
        <f>IF(D36="同一抵押权人同一抵押物续贷",C36&amp;"（续贷，未扣减，详见特别提示）",C36)</f>
        <v>0</v>
      </c>
      <c r="I104" s="119"/>
    </row>
    <row r="105" spans="1:35" ht="18.75" customHeight="1" thickBot="1">
      <c r="A105" s="3324"/>
      <c r="B105" s="2374" t="s">
        <v>1434</v>
      </c>
      <c r="C105" s="2375">
        <f ca="1">I118</f>
        <v>17612</v>
      </c>
      <c r="D105" s="2376"/>
      <c r="E105" s="1551" t="s">
        <v>1439</v>
      </c>
      <c r="F105" s="1544"/>
      <c r="G105" s="1684" t="s">
        <v>1436</v>
      </c>
      <c r="H105" s="2379">
        <f>C37</f>
        <v>0</v>
      </c>
      <c r="I105" s="119"/>
    </row>
    <row r="106" spans="1:35" ht="18.75" customHeight="1">
      <c r="A106" s="644" t="s">
        <v>1440</v>
      </c>
      <c r="B106" s="644"/>
      <c r="C106" s="644"/>
      <c r="D106" s="644"/>
      <c r="E106" s="1685" t="s">
        <v>1441</v>
      </c>
      <c r="F106" s="1544"/>
      <c r="G106" s="1684" t="s">
        <v>1436</v>
      </c>
      <c r="H106" s="2379">
        <f>C38</f>
        <v>0</v>
      </c>
      <c r="I106" s="119"/>
    </row>
    <row r="107" spans="1:35" ht="18.75" customHeight="1">
      <c r="A107" s="119"/>
      <c r="B107" s="119"/>
      <c r="C107" s="119"/>
      <c r="D107" s="119"/>
      <c r="E107" s="3320" t="str">
        <f>IF(项目基本情况!E8="已注销","——","3.房地产抵押价值")</f>
        <v>3.房地产抵押价值</v>
      </c>
      <c r="F107" s="3321"/>
      <c r="G107" s="1683" t="s">
        <v>1432</v>
      </c>
      <c r="H107" s="2377">
        <f ca="1">IF(E107="——","——",H101-H103)</f>
        <v>130953</v>
      </c>
      <c r="I107" s="119"/>
    </row>
    <row r="108" spans="1:35" ht="18.75" customHeight="1">
      <c r="A108" s="119"/>
      <c r="B108" s="119"/>
      <c r="C108" s="119"/>
      <c r="D108" s="119"/>
      <c r="E108" s="3320"/>
      <c r="F108" s="3321"/>
      <c r="G108" s="1683" t="s">
        <v>1434</v>
      </c>
      <c r="H108" s="2337">
        <f ca="1">IF(H107=H101,H102,ROUND(H107*10000/'数据-汇总表'!E3,0))</f>
        <v>17612</v>
      </c>
      <c r="I108" s="119"/>
    </row>
    <row r="109" spans="1:35" ht="18.75" customHeight="1">
      <c r="A109" s="119"/>
      <c r="B109" s="119"/>
      <c r="C109" s="119"/>
      <c r="D109" s="119"/>
      <c r="E109" s="3320" t="str">
        <f>IF(项目基本情况!E8="已注销及未注销","4.抵押担保权已注销时的房地产抵押价值",IF(项目基本情况!E8="已注销","3.抵押担保权已注销时的房地产抵押价值","——"))</f>
        <v>——</v>
      </c>
      <c r="F109" s="3321"/>
      <c r="G109" s="1683" t="s">
        <v>1432</v>
      </c>
      <c r="H109" s="2380" t="str">
        <f>IF(E109="——","——",H101-H105-H106)</f>
        <v>——</v>
      </c>
      <c r="I109" s="119"/>
    </row>
    <row r="110" spans="1:35" ht="18.75" customHeight="1">
      <c r="A110" s="119"/>
      <c r="B110" s="119"/>
      <c r="C110" s="119"/>
      <c r="D110" s="119"/>
      <c r="E110" s="3320"/>
      <c r="F110" s="3321"/>
      <c r="G110" s="1683" t="s">
        <v>1434</v>
      </c>
      <c r="H110" s="2337" t="str">
        <f>IF(H109="——","——",ROUND(H109*10000/'数据-汇总表'!E3,0))</f>
        <v>——</v>
      </c>
      <c r="I110" s="119"/>
    </row>
    <row r="111" spans="1:35" ht="18.75" customHeight="1">
      <c r="A111" s="119"/>
      <c r="B111" s="119"/>
      <c r="C111" s="119"/>
      <c r="D111" s="119"/>
      <c r="E111" s="3352" t="str">
        <f>IF(项目基本情况!E9="抵押净值",IF(OR(项目基本情况!E8="已注销",项目基本情况!E8="房地产抵押价值"),"4.抵押净值","5.抵押净值"),"——")</f>
        <v>——</v>
      </c>
      <c r="F111" s="3322"/>
      <c r="G111" s="1683" t="s">
        <v>1432</v>
      </c>
      <c r="H111" s="2377" t="str">
        <f>IF(E111="——","——",N59)</f>
        <v>——</v>
      </c>
      <c r="I111" s="119"/>
    </row>
    <row r="112" spans="1:35" ht="18.75" customHeight="1" thickBot="1">
      <c r="A112" s="119"/>
      <c r="B112" s="119"/>
      <c r="C112" s="119"/>
      <c r="D112" s="119"/>
      <c r="E112" s="3353"/>
      <c r="F112" s="3354"/>
      <c r="G112" s="1686" t="s">
        <v>1434</v>
      </c>
      <c r="H112" s="2381" t="str">
        <f>IF(E111="——","——",N61)</f>
        <v>——</v>
      </c>
      <c r="I112" s="119"/>
    </row>
    <row r="113" spans="1:27" ht="18.75" customHeight="1">
      <c r="A113" s="119"/>
      <c r="B113" s="119"/>
      <c r="C113" s="119"/>
      <c r="D113" s="119"/>
      <c r="E113" s="3325" t="s">
        <v>1440</v>
      </c>
      <c r="F113" s="3325"/>
      <c r="G113" s="3325"/>
      <c r="H113" s="3325"/>
      <c r="I113" s="119"/>
    </row>
    <row r="114" spans="1:27" ht="3.75" customHeight="1">
      <c r="A114" s="644"/>
      <c r="B114" s="644"/>
      <c r="C114" s="644"/>
      <c r="D114" s="644"/>
      <c r="E114" s="1667"/>
      <c r="F114" s="1667"/>
      <c r="G114" s="1667"/>
      <c r="H114" s="1667"/>
      <c r="I114" s="644"/>
    </row>
    <row r="115" spans="1:27" ht="18.75" customHeight="1">
      <c r="A115" s="3335" t="s">
        <v>1442</v>
      </c>
      <c r="B115" s="3336"/>
      <c r="C115" s="3336"/>
      <c r="D115" s="3336"/>
      <c r="E115" s="3336"/>
      <c r="F115" s="3336"/>
      <c r="G115" s="3336"/>
      <c r="H115" s="3336"/>
      <c r="I115" s="3337"/>
    </row>
    <row r="116" spans="1:27" ht="27" customHeight="1">
      <c r="A116" s="3291" t="s">
        <v>1443</v>
      </c>
      <c r="B116" s="3326" t="s">
        <v>1444</v>
      </c>
      <c r="C116" s="3326" t="s">
        <v>1445</v>
      </c>
      <c r="D116" s="3339" t="s">
        <v>1446</v>
      </c>
      <c r="E116" s="3340"/>
      <c r="F116" s="3334" t="s">
        <v>1447</v>
      </c>
      <c r="G116" s="3334"/>
      <c r="H116" s="3291" t="s">
        <v>1448</v>
      </c>
      <c r="I116" s="3291"/>
    </row>
    <row r="117" spans="1:27" ht="18.75" customHeight="1">
      <c r="A117" s="3291"/>
      <c r="B117" s="3327"/>
      <c r="C117" s="3327"/>
      <c r="D117" s="2146" t="s">
        <v>1449</v>
      </c>
      <c r="E117" s="2146" t="s">
        <v>1450</v>
      </c>
      <c r="F117" s="2146" t="s">
        <v>1449</v>
      </c>
      <c r="G117" s="2146" t="s">
        <v>1451</v>
      </c>
      <c r="H117" s="2146" t="s">
        <v>1449</v>
      </c>
      <c r="I117" s="2146" t="s">
        <v>1451</v>
      </c>
    </row>
    <row r="118" spans="1:27" ht="24.75" customHeight="1">
      <c r="A118" s="2382" t="str">
        <f>项目基本情况!S2</f>
        <v>北京市房地产</v>
      </c>
      <c r="B118" s="2146">
        <f>M18</f>
        <v>74353.649999999776</v>
      </c>
      <c r="C118" s="2146">
        <f>M19</f>
        <v>25963.4</v>
      </c>
      <c r="D118" s="2146">
        <f ca="1">ROUND(IF(D32="总价",C34,E118*B118/10000),0)</f>
        <v>114191</v>
      </c>
      <c r="E118" s="2146">
        <f ca="1">ROUND(IF(C33="自定义",IF(D32="楼面单价",C34,D118*10000/B118),I118-G118),0)</f>
        <v>15358</v>
      </c>
      <c r="F118" s="2146">
        <f ca="1">ROUND(IF(D32="总价",C35,G118*B118/10000),0)</f>
        <v>16762</v>
      </c>
      <c r="G118" s="2146">
        <f ca="1">ROUND(IF(D32="楼面单价",C35,F118*10000/B118),0)</f>
        <v>2254</v>
      </c>
      <c r="H118" s="2146">
        <f ca="1">ROUND(IF(D32="总价",C32,I118*B118/10000),0)</f>
        <v>130953</v>
      </c>
      <c r="I118" s="2146">
        <f ca="1">ROUND(IF(D32="楼面单价",C32,H118*10000/B118),0)</f>
        <v>17612</v>
      </c>
    </row>
    <row r="119" spans="1:27" ht="18.75" customHeight="1">
      <c r="A119" s="3291" t="s">
        <v>1452</v>
      </c>
      <c r="B119" s="3291"/>
      <c r="C119" s="3291"/>
      <c r="D119" s="3331" t="str">
        <f ca="1">NUMBERSTRING(INT(D118*10000),2)&amp;"元整"</f>
        <v>壹拾壹亿肆仟壹佰玖拾壹万元整</v>
      </c>
      <c r="E119" s="3333"/>
      <c r="F119" s="3331" t="str">
        <f ca="1">NUMBERSTRING(INT(F118*10000),2)&amp;"元整"</f>
        <v>壹亿陆仟柒佰陆拾贰万元整</v>
      </c>
      <c r="G119" s="3333"/>
      <c r="H119" s="3331" t="str">
        <f ca="1">NUMBERSTRING(INT(H118*10000),2)&amp;"元整"</f>
        <v>壹拾叁亿零玖佰伍拾叁万元整</v>
      </c>
      <c r="I119" s="3333"/>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331" t="s">
        <v>1452</v>
      </c>
      <c r="B121" s="3332"/>
      <c r="C121" s="3333"/>
      <c r="D121" s="3331" t="str">
        <f>IF(D120=0,"零元整",NUMBERSTRING(INT(D120*10000),2)&amp;"元整")</f>
        <v>零元整</v>
      </c>
      <c r="E121" s="3332"/>
      <c r="F121" s="3332"/>
      <c r="G121" s="3332"/>
      <c r="H121" s="3332"/>
      <c r="I121" s="3333"/>
      <c r="AA121" s="682"/>
    </row>
    <row r="122" spans="1:27" ht="18.75" customHeight="1">
      <c r="A122" s="3322" t="str">
        <f>IF(项目基本情况!B9="房地产市场价值","",MID(E107,3,LEN(E107)-2))</f>
        <v>房地产抵押价值</v>
      </c>
      <c r="B122" s="3322"/>
      <c r="C122" s="3322"/>
      <c r="D122" s="3355">
        <f ca="1">H107</f>
        <v>130953</v>
      </c>
      <c r="E122" s="3356"/>
      <c r="F122" s="3356"/>
      <c r="G122" s="3356"/>
      <c r="H122" s="3356"/>
      <c r="I122" s="3357"/>
      <c r="AA122" s="682"/>
    </row>
    <row r="123" spans="1:27" ht="18.75" customHeight="1">
      <c r="A123" s="3291" t="s">
        <v>1452</v>
      </c>
      <c r="B123" s="3291"/>
      <c r="C123" s="3291"/>
      <c r="D123" s="3331" t="str">
        <f ca="1">NUMBERSTRING(INT(D122*10000),2)&amp;"元整"</f>
        <v>壹拾叁亿零玖佰伍拾叁万元整</v>
      </c>
      <c r="E123" s="3332"/>
      <c r="F123" s="3332"/>
      <c r="G123" s="3332"/>
      <c r="H123" s="3332"/>
      <c r="I123" s="3333"/>
      <c r="AA123" s="682"/>
    </row>
    <row r="124" spans="1:27" ht="18.75" customHeight="1">
      <c r="A124" s="3322" t="str">
        <f>IF(项目基本情况!B9="房地产市场价值","",MID(E109,3,LEN(E109)-2))</f>
        <v/>
      </c>
      <c r="B124" s="3322"/>
      <c r="C124" s="3322"/>
      <c r="D124" s="3355" t="str">
        <f>H109</f>
        <v>——</v>
      </c>
      <c r="E124" s="3356"/>
      <c r="F124" s="3356"/>
      <c r="G124" s="3356"/>
      <c r="H124" s="3356"/>
      <c r="I124" s="3357"/>
      <c r="AA124" s="682"/>
    </row>
    <row r="125" spans="1:27" ht="18.75" customHeight="1">
      <c r="A125" s="3291" t="s">
        <v>1452</v>
      </c>
      <c r="B125" s="3291"/>
      <c r="C125" s="3291"/>
      <c r="D125" s="3331" t="e">
        <f>NUMBERSTRING(INT(D124*10000),2)&amp;"元整"</f>
        <v>#VALUE!</v>
      </c>
      <c r="E125" s="3332"/>
      <c r="F125" s="3332"/>
      <c r="G125" s="3332"/>
      <c r="H125" s="3332"/>
      <c r="I125" s="3333"/>
      <c r="AA125" s="682"/>
    </row>
    <row r="126" spans="1:27" ht="18.75" customHeight="1">
      <c r="A126" s="3322" t="str">
        <f>IF(项目基本情况!B9="房地产市场价值","",MID(E111,3,LEN(E111)-2))</f>
        <v/>
      </c>
      <c r="B126" s="3322"/>
      <c r="C126" s="3322"/>
      <c r="D126" s="3355" t="str">
        <f>H111</f>
        <v>——</v>
      </c>
      <c r="E126" s="3356"/>
      <c r="F126" s="3356"/>
      <c r="G126" s="3356"/>
      <c r="H126" s="3356"/>
      <c r="I126" s="3357"/>
      <c r="AA126" s="682"/>
    </row>
    <row r="127" spans="1:27" ht="18.75" customHeight="1">
      <c r="A127" s="3291" t="s">
        <v>1452</v>
      </c>
      <c r="B127" s="3291"/>
      <c r="C127" s="3291"/>
      <c r="D127" s="3331" t="e">
        <f>NUMBERSTRING(INT(D126*10000),2)&amp;"元整"</f>
        <v>#VALUE!</v>
      </c>
      <c r="E127" s="3332"/>
      <c r="F127" s="3332"/>
      <c r="G127" s="3332"/>
      <c r="H127" s="3332"/>
      <c r="I127" s="3333"/>
      <c r="AA127" s="682"/>
    </row>
    <row r="128" spans="1:27" ht="21.75" customHeight="1">
      <c r="A128" s="3338" t="s">
        <v>1453</v>
      </c>
      <c r="B128" s="3338"/>
      <c r="C128" s="3338"/>
      <c r="D128" s="3338"/>
      <c r="E128" s="3338"/>
      <c r="F128" s="3338"/>
      <c r="G128" s="3338"/>
      <c r="H128" s="3338"/>
      <c r="I128" s="3338"/>
      <c r="AA128" s="682"/>
    </row>
    <row r="129" spans="1:35" ht="21.75" customHeight="1">
      <c r="A129" s="1687" t="s">
        <v>1454</v>
      </c>
      <c r="B129" s="1688"/>
      <c r="C129" s="1689" t="s">
        <v>1455</v>
      </c>
      <c r="D129" s="1690"/>
      <c r="E129" s="1690"/>
      <c r="F129" s="1690"/>
      <c r="G129" s="1690"/>
      <c r="H129" s="1691"/>
      <c r="I129" s="1692"/>
      <c r="AA129" s="682"/>
    </row>
    <row r="130" spans="1:35" ht="21.75" customHeight="1">
      <c r="A130" s="1693">
        <v>1</v>
      </c>
      <c r="B130" s="1694"/>
      <c r="C130" s="1694"/>
      <c r="D130" s="686"/>
      <c r="E130" s="686"/>
      <c r="F130" s="686"/>
      <c r="G130" s="686"/>
      <c r="H130" s="685"/>
      <c r="I130" s="1695"/>
      <c r="AA130" s="682"/>
    </row>
    <row r="131" spans="1:35" ht="21.75" customHeight="1">
      <c r="A131" s="1693">
        <v>2</v>
      </c>
      <c r="B131" s="1694"/>
      <c r="C131" s="1694"/>
      <c r="D131" s="686"/>
      <c r="E131" s="686"/>
      <c r="F131" s="686"/>
      <c r="G131" s="686"/>
      <c r="H131" s="685"/>
      <c r="I131" s="1695"/>
      <c r="AA131" s="682"/>
    </row>
    <row r="132" spans="1:35" ht="21.75" customHeight="1">
      <c r="A132" s="1693">
        <v>3</v>
      </c>
      <c r="B132" s="1694"/>
      <c r="C132" s="1694"/>
      <c r="D132" s="686"/>
      <c r="E132" s="686"/>
      <c r="F132" s="686"/>
      <c r="G132" s="686"/>
      <c r="H132" s="685"/>
      <c r="I132" s="1695"/>
      <c r="AA132" s="682"/>
    </row>
    <row r="133" spans="1:35" ht="21.75" customHeight="1">
      <c r="A133" s="1696"/>
      <c r="B133" s="1697"/>
      <c r="C133" s="1697"/>
      <c r="D133" s="1698"/>
      <c r="E133" s="1698"/>
      <c r="F133" s="1698"/>
      <c r="G133" s="1698"/>
      <c r="H133" s="1699"/>
      <c r="I133" s="1700"/>
    </row>
    <row r="134" spans="1:35" ht="21.75" customHeight="1">
      <c r="A134" s="1694"/>
      <c r="B134" s="1694"/>
      <c r="C134" s="1694"/>
      <c r="D134" s="686"/>
      <c r="E134" s="686"/>
      <c r="F134" s="686"/>
      <c r="G134" s="686"/>
      <c r="H134" s="685"/>
      <c r="I134" s="682"/>
    </row>
    <row r="135" spans="1:35" ht="21.75" customHeight="1">
      <c r="A135" s="682"/>
      <c r="B135" s="682"/>
      <c r="C135" s="682"/>
      <c r="D135" s="682"/>
      <c r="E135" s="682"/>
      <c r="F135" s="1701" t="s">
        <v>1456</v>
      </c>
      <c r="G135" s="1702"/>
      <c r="H135" s="1702"/>
      <c r="I135" s="1703" t="s">
        <v>1457</v>
      </c>
    </row>
    <row r="136" spans="1:35" ht="21.75" customHeight="1">
      <c r="A136" s="682"/>
      <c r="B136" s="1704"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2"/>
      <c r="C138" s="1702"/>
      <c r="D138" s="1702"/>
      <c r="E138" s="1702"/>
      <c r="F138" s="1702"/>
      <c r="G138" s="1702"/>
      <c r="H138" s="1702"/>
      <c r="I138" s="1703" t="s">
        <v>1459</v>
      </c>
    </row>
    <row r="139" spans="1:35" ht="21.75" customHeight="1">
      <c r="A139" s="682"/>
      <c r="B139" s="1704" t="s">
        <v>1460</v>
      </c>
      <c r="C139" s="682"/>
      <c r="D139" s="682"/>
      <c r="E139" s="682"/>
      <c r="F139" s="682"/>
      <c r="G139" s="682"/>
      <c r="H139" s="682"/>
      <c r="I139" s="682"/>
    </row>
    <row r="140" spans="1:35" ht="21.75" customHeight="1">
      <c r="A140" s="682"/>
      <c r="B140" s="1704"/>
      <c r="C140" s="682"/>
      <c r="D140" s="682"/>
      <c r="E140" s="682"/>
      <c r="F140" s="682"/>
      <c r="G140" s="682"/>
      <c r="H140" s="682"/>
      <c r="I140" s="682"/>
    </row>
    <row r="141" spans="1:35" ht="21.75" customHeight="1">
      <c r="A141" s="682"/>
      <c r="B141" s="1702"/>
      <c r="C141" s="1702"/>
      <c r="D141" s="1702"/>
      <c r="E141" s="1702"/>
      <c r="F141" s="1702"/>
      <c r="G141" s="1702"/>
      <c r="H141" s="1702"/>
      <c r="I141" s="1703" t="s">
        <v>1459</v>
      </c>
    </row>
    <row r="142" spans="1:35" ht="21.75" customHeight="1">
      <c r="A142" s="682"/>
      <c r="B142" s="1704"/>
      <c r="C142" s="1705"/>
      <c r="D142" s="1706"/>
      <c r="E142" s="1706"/>
      <c r="F142" s="1610"/>
      <c r="G142" s="682"/>
      <c r="H142" s="682"/>
      <c r="I142" s="682"/>
    </row>
    <row r="143" spans="1:35" s="120" customFormat="1" ht="21.75" customHeight="1">
      <c r="A143" s="682"/>
      <c r="B143" s="1704"/>
      <c r="C143" s="1705"/>
      <c r="D143" s="1706"/>
      <c r="E143" s="1706"/>
      <c r="F143" s="1610"/>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9"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9"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9"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9"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9"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9"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9"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9"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9"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9"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9"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9"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9"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9"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9"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9"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9"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9"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9"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9"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9"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9"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9"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9"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9"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9"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9"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9"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9"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9"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9"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9"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9"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9"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9"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9"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9"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9"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9"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9"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9"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9"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9"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9"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9"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9"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9"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9"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9"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9"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9"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9"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9"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9"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9"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9"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9"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9"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9"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9"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9"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9"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9"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9"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9"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9"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9"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9"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9"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9"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9"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9"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9"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9"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9"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9"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9"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9"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9"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9"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9"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9"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9"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9"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9"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9"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9"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9"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9"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9"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9"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9"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9"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9"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9"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9"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9"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9"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9"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9"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9"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9"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9"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9"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L23" sqref="L23"/>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0"/>
      <c r="C1" s="188"/>
      <c r="D1" s="188"/>
      <c r="E1" s="188"/>
      <c r="F1" s="188"/>
      <c r="G1" s="1058">
        <f>MATCH(B1,'数据-取费表'!A6:A16,0)+5</f>
        <v>11</v>
      </c>
    </row>
    <row r="2" spans="1:9" s="190" customFormat="1" ht="18" customHeight="1">
      <c r="A2" s="191" t="s">
        <v>1462</v>
      </c>
      <c r="B2" s="192">
        <f ca="1">IF(D2="——",C52,C52-E2)</f>
        <v>140001</v>
      </c>
      <c r="C2" s="189" t="s">
        <v>1463</v>
      </c>
      <c r="D2" s="1707" t="s">
        <v>43</v>
      </c>
      <c r="E2" s="1085" t="e">
        <f ca="1">SUMIF(INDIRECT("'"&amp;G2&amp;"'"&amp;"!A:A"),"承租人权益价值",INDIRECT("'"&amp;G2&amp;"'"&amp;"!c:c"))</f>
        <v>#REF!</v>
      </c>
      <c r="F2" s="1708" t="s">
        <v>1463</v>
      </c>
      <c r="G2" s="1709"/>
    </row>
    <row r="3" spans="1:9" s="190" customFormat="1" ht="18" customHeight="1" thickBot="1">
      <c r="A3" s="193" t="s">
        <v>1464</v>
      </c>
      <c r="B3" s="194">
        <f ca="1">ROUND(B2*10000/(IF(B1="",'数据-汇总表'!E3,INDIRECT("'数据-取费表'!k"&amp;$G$1))),0)</f>
        <v>18829</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C6+C7+C8</f>
        <v>103023</v>
      </c>
      <c r="D5" s="201" t="s">
        <v>1469</v>
      </c>
      <c r="E5" s="202" t="s">
        <v>1470</v>
      </c>
      <c r="F5" s="202" t="s">
        <v>1471</v>
      </c>
      <c r="G5" s="203"/>
    </row>
    <row r="6" spans="1:9" s="204" customFormat="1" ht="13.5" customHeight="1">
      <c r="A6" s="728" t="s">
        <v>1472</v>
      </c>
      <c r="B6" s="205" t="s">
        <v>1473</v>
      </c>
      <c r="C6" s="206">
        <f>'土地比较法-住宅、综合'!B2</f>
        <v>99974</v>
      </c>
      <c r="D6" s="207"/>
      <c r="E6" s="208"/>
      <c r="F6" s="208"/>
      <c r="G6" s="209"/>
    </row>
    <row r="7" spans="1:9" s="204" customFormat="1" ht="13.5" customHeight="1">
      <c r="A7" s="728" t="s">
        <v>1474</v>
      </c>
      <c r="B7" s="205" t="s">
        <v>1475</v>
      </c>
      <c r="C7" s="210">
        <f>ROUND(C6*F7,0)</f>
        <v>3049</v>
      </c>
      <c r="D7" s="210"/>
      <c r="E7" s="208"/>
      <c r="F7" s="211">
        <f>IF(项目基本情况!B8="出让",0,'数据-取费表'!B48+'数据-取费表'!B49)</f>
        <v>3.0499999999999999E-2</v>
      </c>
      <c r="G7" s="209"/>
    </row>
    <row r="8" spans="1:9" s="213" customFormat="1">
      <c r="A8" s="728" t="s">
        <v>1476</v>
      </c>
      <c r="B8" s="205" t="s">
        <v>1477</v>
      </c>
      <c r="C8" s="210">
        <f>IF(G8="已包含在土地购买价格中","0",IF(B1="",'数据-取费表'!B29,IF(G9="全部缴纳",C9+C10,H9)))</f>
        <v>0</v>
      </c>
      <c r="D8" s="212"/>
      <c r="E8" s="210"/>
      <c r="F8" s="211"/>
      <c r="G8" s="1710" t="s">
        <v>3661</v>
      </c>
    </row>
    <row r="9" spans="1:9" s="204" customFormat="1" ht="13.5" customHeight="1">
      <c r="A9" s="729" t="s">
        <v>355</v>
      </c>
      <c r="B9" s="214" t="s">
        <v>1478</v>
      </c>
      <c r="C9" s="215">
        <f ca="1">ROUND(D9*E9/10000,0)</f>
        <v>890</v>
      </c>
      <c r="D9" s="791">
        <f ca="1">IF(B1="",'数据-汇总表'!E5,IF(INDIRECT("'数据-取费表'!c"&amp;$G$1)="住宅",INDIRECT("'数据-取费表'!k"&amp;$G$1),0))</f>
        <v>55618.469999999863</v>
      </c>
      <c r="E9" s="215">
        <f>'数据-取费表'!B27</f>
        <v>160</v>
      </c>
      <c r="F9" s="211"/>
      <c r="G9" s="1711" t="s">
        <v>3662</v>
      </c>
      <c r="H9" s="1066"/>
      <c r="I9" s="1712" t="s">
        <v>1479</v>
      </c>
    </row>
    <row r="10" spans="1:9" s="204" customFormat="1" ht="13.5" customHeight="1">
      <c r="A10" s="729" t="s">
        <v>356</v>
      </c>
      <c r="B10" s="214" t="s">
        <v>1480</v>
      </c>
      <c r="C10" s="215">
        <f ca="1">ROUND(D10*E10/10000,0)</f>
        <v>375</v>
      </c>
      <c r="D10" s="791">
        <f ca="1">IF(B1="",'数据-汇总表'!E6,IF(INDIRECT("'数据-取费表'!c"&amp;$G$1)="住宅",INDIRECT("'数据-取费表'!s"&amp;$G$1),INDIRECT("'数据-取费表'!k"&amp;$G$1)+INDIRECT("'数据-取费表'!s"&amp;$G$1)))</f>
        <v>18735.179999999913</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74353.649999999776</v>
      </c>
      <c r="E19" s="201">
        <f>'数据-取费表'!B31</f>
        <v>180</v>
      </c>
      <c r="F19" s="221"/>
      <c r="G19" s="1710" t="s">
        <v>3663</v>
      </c>
    </row>
    <row r="20" spans="1:7" s="204" customFormat="1" ht="13.5" customHeight="1">
      <c r="A20" s="245" t="s">
        <v>1493</v>
      </c>
      <c r="B20" s="200" t="s">
        <v>1494</v>
      </c>
      <c r="C20" s="222">
        <f>ROUND((C5+C19)*F20,0)</f>
        <v>2060</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7">
        <f ca="1">ROUND(SUM(C23:C25),0)</f>
        <v>3381</v>
      </c>
      <c r="D22" s="225">
        <f ca="1">C26</f>
        <v>2.9999999999999997E-4</v>
      </c>
      <c r="E22" s="226" t="s">
        <v>1498</v>
      </c>
      <c r="F22" s="227">
        <f ca="1">'数据-取费表'!B40</f>
        <v>3.2500000000000001E-2</v>
      </c>
      <c r="G22" s="224" t="str">
        <f>IF('数据-取费表'!B22&lt;=1,"单利计息","复利计息")</f>
        <v>复利计息</v>
      </c>
    </row>
    <row r="23" spans="1:7" s="204" customFormat="1" ht="13.5" customHeight="1">
      <c r="A23" s="730" t="s">
        <v>1502</v>
      </c>
      <c r="B23" s="205" t="s">
        <v>1503</v>
      </c>
      <c r="C23" s="1038">
        <f ca="1">ROUND(IF('数据-取费表'!B22&lt;=1,C5*F22*'数据-取费表'!B23,C5*(POWER((1+F22),'数据-取费表'!B23)-1)),0)</f>
        <v>3348</v>
      </c>
      <c r="D23" s="228"/>
      <c r="E23" s="228"/>
      <c r="F23" s="229"/>
      <c r="G23" s="230" t="s">
        <v>1504</v>
      </c>
    </row>
    <row r="24" spans="1:7" s="204" customFormat="1" ht="13.5" customHeight="1">
      <c r="A24" s="730" t="s">
        <v>1505</v>
      </c>
      <c r="B24" s="205" t="s">
        <v>1506</v>
      </c>
      <c r="C24" s="1038">
        <f ca="1">ROUND(IF('数据-取费表'!B22&lt;=1,C19*F22*('数据-取费表'!B19/2+'数据-取费表'!B21),C19*(POWER((1+F22),('数据-取费表'!B19/2+'数据-取费表'!B21))-1)),0)</f>
        <v>0</v>
      </c>
      <c r="D24" s="228"/>
      <c r="E24" s="228"/>
      <c r="F24" s="229"/>
      <c r="G24" s="230" t="s">
        <v>1507</v>
      </c>
    </row>
    <row r="25" spans="1:7" s="204" customFormat="1" ht="24">
      <c r="A25" s="730" t="s">
        <v>1508</v>
      </c>
      <c r="B25" s="205" t="s">
        <v>1509</v>
      </c>
      <c r="C25" s="1038">
        <f ca="1">ROUND(IF('数据-取费表'!B22&lt;=1,C20*F22*'数据-取费表'!B23/2,C20*(POWER((1+F22),'数据-取费表'!B23/2)-1)),0)</f>
        <v>33</v>
      </c>
      <c r="D25" s="228"/>
      <c r="E25" s="231"/>
      <c r="F25" s="229"/>
      <c r="G25" s="232" t="s">
        <v>1510</v>
      </c>
    </row>
    <row r="26" spans="1:7" s="204" customFormat="1">
      <c r="A26" s="730" t="s">
        <v>350</v>
      </c>
      <c r="B26" s="205" t="s">
        <v>1511</v>
      </c>
      <c r="C26" s="228">
        <f ca="1">ROUND(IF('数据-取费表'!B22&lt;=1,F21*F22*'数据-取费表'!B23/2,F21*(POWER((1+F22),'数据-取费表'!B23/2)-1)),4)</f>
        <v>2.9999999999999997E-4</v>
      </c>
      <c r="D26" s="228"/>
      <c r="E26" s="231"/>
      <c r="F26" s="229"/>
      <c r="G26" s="233"/>
    </row>
    <row r="27" spans="1:7" s="204" customFormat="1" ht="24.75">
      <c r="A27" s="245" t="s">
        <v>1512</v>
      </c>
      <c r="B27" s="234" t="s">
        <v>1513</v>
      </c>
      <c r="C27" s="235">
        <f ca="1">C28</f>
        <v>4554</v>
      </c>
      <c r="D27" s="225">
        <f ca="1">C29</f>
        <v>8.9999999999999998E-4</v>
      </c>
      <c r="E27" s="226" t="s">
        <v>1514</v>
      </c>
      <c r="F27" s="236">
        <f ca="1">IF(B1="",'数据-取费表'!Q16,INDIRECT("'数据-取费表'!q"&amp;$G$1))</f>
        <v>0.13</v>
      </c>
      <c r="G27" s="237" t="s">
        <v>1515</v>
      </c>
    </row>
    <row r="28" spans="1:7" s="204" customFormat="1" ht="13.5" customHeight="1">
      <c r="A28" s="730" t="s">
        <v>346</v>
      </c>
      <c r="B28" s="238" t="s">
        <v>1516</v>
      </c>
      <c r="C28" s="239">
        <f ca="1">ROUND((C5+C19+C20)*F27*'数据-取费表'!B21/'数据-取费表'!B20,0)</f>
        <v>4554</v>
      </c>
      <c r="D28" s="225"/>
      <c r="E28" s="226"/>
      <c r="F28" s="236"/>
      <c r="G28" s="237"/>
    </row>
    <row r="29" spans="1:7" s="204" customFormat="1" ht="13.5" customHeight="1">
      <c r="A29" s="730" t="s">
        <v>347</v>
      </c>
      <c r="B29" s="238" t="s">
        <v>1517</v>
      </c>
      <c r="C29" s="228">
        <f ca="1">ROUND(C21*F27*'数据-取费表'!B21/'数据-取费表'!B20,4)</f>
        <v>8.9999999999999998E-4</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122116</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14132</v>
      </c>
      <c r="D33" s="222"/>
      <c r="E33" s="202"/>
      <c r="F33" s="231"/>
      <c r="G33" s="224"/>
    </row>
    <row r="34" spans="1:7" s="248" customFormat="1" ht="13.5" customHeight="1">
      <c r="A34" s="730" t="s">
        <v>346</v>
      </c>
      <c r="B34" s="205" t="s">
        <v>1525</v>
      </c>
      <c r="C34" s="210">
        <f ca="1">IF(B1="",IF(F34=100%,'数据-取费表'!M16,'数据-取费表'!O16),IF(F34=100%,INDIRECT("'数据-取费表'!m"&amp;$G$1)+INDIRECT("'数据-取费表'!t"&amp;$G$1),INDIRECT("'数据-取费表'!o"&amp;$G$1)+INDIRECT("'数据-取费表'!aq"&amp;$G$1)))</f>
        <v>12276</v>
      </c>
      <c r="D34" s="207"/>
      <c r="E34" s="210"/>
      <c r="F34" s="247">
        <f ca="1">IF('数据-取费表'!B24=0,1,IF(B1="",'数据-取费表'!N16,INDIRECT("'数据-取费表'!n"&amp;$G$1)))</f>
        <v>0.33</v>
      </c>
      <c r="G34" s="209" t="s">
        <v>1526</v>
      </c>
    </row>
    <row r="35" spans="1:7" ht="13.5" customHeight="1">
      <c r="A35" s="730" t="s">
        <v>351</v>
      </c>
      <c r="B35" s="205" t="s">
        <v>1527</v>
      </c>
      <c r="C35" s="210">
        <f ca="1">ROUND(C34*F35,0)</f>
        <v>614</v>
      </c>
      <c r="D35" s="210"/>
      <c r="E35" s="210"/>
      <c r="F35" s="249">
        <f>'数据-取费表'!B33</f>
        <v>0.05</v>
      </c>
      <c r="G35" s="209" t="s">
        <v>1528</v>
      </c>
    </row>
    <row r="36" spans="1:7" ht="24">
      <c r="A36" s="730" t="s">
        <v>352</v>
      </c>
      <c r="B36" s="205" t="s">
        <v>1529</v>
      </c>
      <c r="C36" s="210">
        <f ca="1">ROUND(IF(B1="",SUMIF('数据-取费表'!C:C,"住宅",IF(F34=100%,'数据-取费表'!M:M,'数据-取费表'!O:O))*F36,IF(INDIRECT("'数据-取费表'!c"&amp;$G$1)="住宅",IF(F34=100%,INDIRECT("'数据-取费表'!m"&amp;$G$1)*F36,INDIRECT("'数据-取费表'!o"&amp;$G$1)*F36),0)),0)</f>
        <v>505</v>
      </c>
      <c r="D36" s="210"/>
      <c r="E36" s="210"/>
      <c r="F36" s="249">
        <f>'数据-取费表'!B34</f>
        <v>0.05</v>
      </c>
      <c r="G36" s="250" t="s">
        <v>1530</v>
      </c>
    </row>
    <row r="37" spans="1:7" s="248" customFormat="1" ht="13.5" customHeight="1">
      <c r="A37" s="730" t="s">
        <v>353</v>
      </c>
      <c r="B37" s="205" t="s">
        <v>1531</v>
      </c>
      <c r="C37" s="239">
        <f ca="1">ROUND(E37*D37*F34/10000,0)</f>
        <v>491</v>
      </c>
      <c r="D37" s="207">
        <f ca="1">D19</f>
        <v>74353.649999999776</v>
      </c>
      <c r="E37" s="239">
        <f>'数据-取费表'!B35</f>
        <v>200</v>
      </c>
      <c r="F37" s="249"/>
      <c r="G37" s="251" t="s">
        <v>1532</v>
      </c>
    </row>
    <row r="38" spans="1:7" ht="13.5" customHeight="1">
      <c r="A38" s="730" t="s">
        <v>354</v>
      </c>
      <c r="B38" s="205" t="s">
        <v>1533</v>
      </c>
      <c r="C38" s="210">
        <f ca="1">ROUND(C34*F38,0)</f>
        <v>246</v>
      </c>
      <c r="D38" s="210"/>
      <c r="E38" s="210"/>
      <c r="F38" s="249">
        <f>'数据-取费表'!B36</f>
        <v>0.02</v>
      </c>
      <c r="G38" s="209" t="s">
        <v>1528</v>
      </c>
    </row>
    <row r="39" spans="1:7" s="204" customFormat="1" ht="13.5" customHeight="1">
      <c r="A39" s="245" t="s">
        <v>1534</v>
      </c>
      <c r="B39" s="200" t="s">
        <v>1535</v>
      </c>
      <c r="C39" s="222">
        <f ca="1">ROUND(C33*F20,0)</f>
        <v>283</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233</v>
      </c>
      <c r="D41" s="225">
        <f ca="1">C44</f>
        <v>2.9999999999999997E-4</v>
      </c>
      <c r="E41" s="226" t="s">
        <v>1539</v>
      </c>
      <c r="F41" s="227">
        <f ca="1">F22</f>
        <v>3.2500000000000001E-2</v>
      </c>
      <c r="G41" s="224" t="str">
        <f>IF('数据-取费表'!B22&lt;=1,"单利计息","复利计息")</f>
        <v>复利计息</v>
      </c>
    </row>
    <row r="42" spans="1:7" ht="13.5" customHeight="1">
      <c r="A42" s="730" t="s">
        <v>346</v>
      </c>
      <c r="B42" s="205" t="s">
        <v>1543</v>
      </c>
      <c r="C42" s="228">
        <f ca="1">ROUND(IF('数据-取费表'!B22&lt;=1,C33*F22*'数据-取费表'!B21/2,C33*(POWER((1+F22),'数据-取费表'!B21/2)-1)),0)</f>
        <v>228</v>
      </c>
      <c r="D42" s="228"/>
      <c r="E42" s="228"/>
      <c r="F42" s="229"/>
      <c r="G42" s="3371" t="s">
        <v>1544</v>
      </c>
    </row>
    <row r="43" spans="1:7" ht="13.5" customHeight="1">
      <c r="A43" s="730" t="s">
        <v>347</v>
      </c>
      <c r="B43" s="205" t="s">
        <v>1545</v>
      </c>
      <c r="C43" s="228">
        <f ca="1">ROUND(IF('数据-取费表'!B22&lt;=1,C39*F22*'数据-取费表'!B21/2,C39*(POWER((1+F22),'数据-取费表'!B21/2)-1)),0)</f>
        <v>5</v>
      </c>
      <c r="D43" s="228"/>
      <c r="E43" s="228"/>
      <c r="F43" s="229"/>
      <c r="G43" s="3372"/>
    </row>
    <row r="44" spans="1:7" ht="13.5" customHeight="1">
      <c r="A44" s="730" t="s">
        <v>348</v>
      </c>
      <c r="B44" s="205" t="s">
        <v>1546</v>
      </c>
      <c r="C44" s="228">
        <f ca="1">ROUND(IF('数据-取费表'!B22&lt;=1,C40*F22*'数据-取费表'!B21/2,C40*(POWER((1+F22),'数据-取费表'!B21/2)-1)),4)</f>
        <v>2.9999999999999997E-4</v>
      </c>
      <c r="D44" s="228"/>
      <c r="E44" s="228"/>
      <c r="F44" s="229"/>
      <c r="G44" s="3373"/>
    </row>
    <row r="45" spans="1:7" s="204" customFormat="1" ht="13.5" customHeight="1">
      <c r="A45" s="245" t="s">
        <v>1547</v>
      </c>
      <c r="B45" s="234" t="s">
        <v>1513</v>
      </c>
      <c r="C45" s="235">
        <f ca="1">C46</f>
        <v>1874</v>
      </c>
      <c r="D45" s="225">
        <f ca="1">C47</f>
        <v>2.5999999999999999E-3</v>
      </c>
      <c r="E45" s="226" t="s">
        <v>1539</v>
      </c>
      <c r="F45" s="236">
        <f ca="1">F27</f>
        <v>0.13</v>
      </c>
      <c r="G45" s="237" t="s">
        <v>1548</v>
      </c>
    </row>
    <row r="46" spans="1:7" s="204" customFormat="1" ht="13.5" customHeight="1">
      <c r="A46" s="730" t="s">
        <v>346</v>
      </c>
      <c r="B46" s="238" t="s">
        <v>1549</v>
      </c>
      <c r="C46" s="239">
        <f ca="1">ROUND((C33+C39)*F27,0)</f>
        <v>1874</v>
      </c>
      <c r="D46" s="253"/>
      <c r="E46" s="226"/>
      <c r="F46" s="236"/>
      <c r="G46" s="237"/>
    </row>
    <row r="47" spans="1:7" s="204" customFormat="1" ht="13.5" customHeight="1">
      <c r="A47" s="730" t="s">
        <v>347</v>
      </c>
      <c r="B47" s="238" t="s">
        <v>1550</v>
      </c>
      <c r="C47" s="228">
        <f ca="1">ROUND(C40*F27,4)</f>
        <v>2.5999999999999999E-3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17885</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17885</v>
      </c>
      <c r="D51" s="222"/>
      <c r="E51" s="222"/>
      <c r="F51" s="254"/>
      <c r="G51" s="224" t="s">
        <v>1560</v>
      </c>
    </row>
    <row r="52" spans="1:7" s="198" customFormat="1" ht="16.5" thickBot="1">
      <c r="A52" s="255" t="s">
        <v>1561</v>
      </c>
      <c r="B52" s="256"/>
      <c r="C52" s="257">
        <f ca="1">C31+C51</f>
        <v>140001</v>
      </c>
      <c r="D52" s="256"/>
      <c r="E52" s="256"/>
      <c r="F52" s="256"/>
      <c r="G52" s="258"/>
    </row>
    <row r="55" spans="1:7" ht="15">
      <c r="B55" s="260" t="s">
        <v>1562</v>
      </c>
      <c r="C55" s="261"/>
    </row>
    <row r="56" spans="1:7">
      <c r="B56" s="263" t="s">
        <v>802</v>
      </c>
      <c r="C56" s="265">
        <f ca="1">1-C57</f>
        <v>0.872</v>
      </c>
    </row>
    <row r="57" spans="1:7">
      <c r="B57" s="263" t="s">
        <v>803</v>
      </c>
      <c r="C57" s="264">
        <f ca="1">ROUND(C51/C52,3)</f>
        <v>0.128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0"/>
      <c r="C1" s="1713" t="s">
        <v>1563</v>
      </c>
      <c r="D1" s="188"/>
      <c r="E1" s="188"/>
      <c r="F1" s="188"/>
      <c r="G1" s="1058">
        <f>MATCH(B1,'数据-取费表'!A6:A16,0)+5</f>
        <v>11</v>
      </c>
      <c r="H1" s="994" t="str">
        <f>IF(ISERROR(FIND("住宅",B1)),"非住宅","住宅")</f>
        <v>非住宅</v>
      </c>
    </row>
    <row r="2" spans="1:8" s="190" customFormat="1" ht="18" customHeight="1">
      <c r="A2" s="191" t="s">
        <v>1462</v>
      </c>
      <c r="B2" s="3119">
        <f ca="1">ROUND(IF(D2="——",C52/10000,C52/10000-E2),4)</f>
        <v>59328.2912</v>
      </c>
      <c r="C2" s="189" t="s">
        <v>1463</v>
      </c>
      <c r="D2" s="1707" t="s">
        <v>43</v>
      </c>
      <c r="E2" s="1085" t="e">
        <f ca="1">SUMIF(INDIRECT("'"&amp;G2&amp;"'"&amp;"!A:A"),"承租人权益价值",INDIRECT("'"&amp;G2&amp;"'"&amp;"!c:c"))</f>
        <v>#REF!</v>
      </c>
      <c r="F2" s="1708" t="s">
        <v>1463</v>
      </c>
      <c r="G2" s="1709"/>
    </row>
    <row r="3" spans="1:8" s="190" customFormat="1" ht="18" customHeight="1" thickBot="1">
      <c r="A3" s="193" t="s">
        <v>1464</v>
      </c>
      <c r="B3" s="194">
        <f ca="1">ROUND(B2*10000/(IF(B1="",'数据-汇总表'!E3,INDIRECT("'数据-取费表'!k"&amp;$G$1))),0)</f>
        <v>7979</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12645991</v>
      </c>
      <c r="D5" s="201" t="s">
        <v>1469</v>
      </c>
      <c r="E5" s="202" t="s">
        <v>1470</v>
      </c>
      <c r="F5" s="202" t="s">
        <v>1471</v>
      </c>
      <c r="G5" s="203"/>
    </row>
    <row r="6" spans="1:8" s="204" customFormat="1" ht="13.5" customHeight="1">
      <c r="A6" s="728" t="s">
        <v>1472</v>
      </c>
      <c r="B6" s="205" t="s">
        <v>1473</v>
      </c>
      <c r="C6" s="206"/>
      <c r="D6" s="207"/>
      <c r="E6" s="208"/>
      <c r="F6" s="208"/>
      <c r="G6" s="209"/>
    </row>
    <row r="7" spans="1:8" s="204" customFormat="1" ht="13.5" customHeight="1">
      <c r="A7" s="728" t="s">
        <v>1474</v>
      </c>
      <c r="B7" s="205" t="s">
        <v>1475</v>
      </c>
      <c r="C7" s="210">
        <f>ROUND(C6*F7,0)</f>
        <v>0</v>
      </c>
      <c r="D7" s="210"/>
      <c r="E7" s="208"/>
      <c r="F7" s="211">
        <f>IF(项目基本情况!B8="出让",0,'数据-取费表'!B48+'数据-取费表'!B49)</f>
        <v>3.0499999999999999E-2</v>
      </c>
      <c r="G7" s="209"/>
    </row>
    <row r="8" spans="1:8" s="213" customFormat="1">
      <c r="A8" s="728" t="s">
        <v>1476</v>
      </c>
      <c r="B8" s="205" t="s">
        <v>1477</v>
      </c>
      <c r="C8" s="210">
        <f ca="1">IF(G8="已包含在土地购买价格中",0,C9+C10)</f>
        <v>12645991</v>
      </c>
      <c r="D8" s="212"/>
      <c r="E8" s="210"/>
      <c r="F8" s="211"/>
      <c r="G8" s="1710"/>
    </row>
    <row r="9" spans="1:8" s="204" customFormat="1" ht="13.5" customHeight="1">
      <c r="A9" s="729" t="s">
        <v>355</v>
      </c>
      <c r="B9" s="214" t="s">
        <v>1478</v>
      </c>
      <c r="C9" s="215">
        <f ca="1">ROUND(D9*E9,0)</f>
        <v>8898955</v>
      </c>
      <c r="D9" s="791">
        <f ca="1">IF(B1="",'数据-汇总表'!E5,IF(INDIRECT("'数据-取费表'!c"&amp;$G$1)="住宅",INDIRECT("'数据-取费表'!k"&amp;$G$1),0))</f>
        <v>55618.469999999863</v>
      </c>
      <c r="E9" s="215">
        <f>'数据-取费表'!B27</f>
        <v>160</v>
      </c>
      <c r="F9" s="211"/>
      <c r="G9" s="216"/>
    </row>
    <row r="10" spans="1:8" s="204" customFormat="1" ht="13.5" customHeight="1">
      <c r="A10" s="729" t="s">
        <v>356</v>
      </c>
      <c r="B10" s="214" t="s">
        <v>1480</v>
      </c>
      <c r="C10" s="215">
        <f ca="1">ROUND(D10*E10,0)</f>
        <v>3747036</v>
      </c>
      <c r="D10" s="791">
        <f ca="1">IF(B1="",'数据-汇总表'!E6,IF(INDIRECT("'数据-取费表'!c"&amp;$G$1)="住宅",INDIRECT("'数据-取费表'!s"&amp;$G$1),INDIRECT("'数据-取费表'!k"&amp;$G$1)+INDIRECT("'数据-取费表'!s"&amp;$G$1)))</f>
        <v>18735.179999999913</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13383657</v>
      </c>
      <c r="D19" s="202">
        <f ca="1">D9+D10</f>
        <v>74353.649999999776</v>
      </c>
      <c r="E19" s="201">
        <f>'数据-取费表'!B31</f>
        <v>180</v>
      </c>
      <c r="F19" s="221"/>
      <c r="G19" s="1710"/>
    </row>
    <row r="20" spans="1:7" s="204" customFormat="1" ht="13.5" customHeight="1">
      <c r="A20" s="245" t="s">
        <v>1574</v>
      </c>
      <c r="B20" s="200" t="s">
        <v>1575</v>
      </c>
      <c r="C20" s="222">
        <f ca="1">ROUND((C5+C19)*F20,0)</f>
        <v>520593</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2646849</v>
      </c>
      <c r="D22" s="225">
        <f ca="1">C26</f>
        <v>1E-3</v>
      </c>
      <c r="E22" s="226" t="s">
        <v>1579</v>
      </c>
      <c r="F22" s="227">
        <f ca="1">'数据-取费表'!B40</f>
        <v>3.2500000000000001E-2</v>
      </c>
      <c r="G22" s="224" t="str">
        <f>IF('数据-取费表'!B22&lt;=1,"单利计息","复利计息")</f>
        <v>复利计息</v>
      </c>
    </row>
    <row r="23" spans="1:7" s="204" customFormat="1" ht="13.5" customHeight="1">
      <c r="A23" s="730" t="s">
        <v>1472</v>
      </c>
      <c r="B23" s="205" t="s">
        <v>1583</v>
      </c>
      <c r="C23" s="228">
        <f ca="1">ROUND(IF('数据-取费表'!B22&lt;=1,C5*F22*'数据-取费表'!B22,C5*(POWER((1+F22),'数据-取费表'!B22)-1)),0)</f>
        <v>1273490</v>
      </c>
      <c r="D23" s="228"/>
      <c r="E23" s="228"/>
      <c r="F23" s="229"/>
      <c r="G23" s="230" t="s">
        <v>1584</v>
      </c>
    </row>
    <row r="24" spans="1:7" s="204" customFormat="1" ht="13.5" customHeight="1">
      <c r="A24" s="730" t="s">
        <v>1474</v>
      </c>
      <c r="B24" s="205" t="s">
        <v>1585</v>
      </c>
      <c r="C24" s="228">
        <f ca="1">ROUND(IF('数据-取费表'!B22&lt;=1,C19*F22*('数据-取费表'!B19/2+'数据-取费表'!B20),C19*(POWER((1+F22),('数据-取费表'!B19/2+'数据-取费表'!B20))-1)),0)</f>
        <v>1347775</v>
      </c>
      <c r="D24" s="228"/>
      <c r="E24" s="228"/>
      <c r="F24" s="229"/>
      <c r="G24" s="230" t="s">
        <v>1586</v>
      </c>
    </row>
    <row r="25" spans="1:7" s="204" customFormat="1" ht="24">
      <c r="A25" s="730" t="s">
        <v>1476</v>
      </c>
      <c r="B25" s="205" t="s">
        <v>1587</v>
      </c>
      <c r="C25" s="228">
        <f ca="1">ROUND(IF('数据-取费表'!B22&lt;=1,C20*F22*'数据-取费表'!B22/2,C20*(POWER((1+F22),'数据-取费表'!B22/2)-1)),0)</f>
        <v>25584</v>
      </c>
      <c r="D25" s="228"/>
      <c r="E25" s="231"/>
      <c r="F25" s="229"/>
      <c r="G25" s="232" t="s">
        <v>1588</v>
      </c>
    </row>
    <row r="26" spans="1:7" s="204" customFormat="1">
      <c r="A26" s="730" t="s">
        <v>350</v>
      </c>
      <c r="B26" s="205" t="s">
        <v>1511</v>
      </c>
      <c r="C26" s="228">
        <f ca="1">ROUND(IF('数据-取费表'!B22&lt;=1,F21*F22*'数据-取费表'!B22/2,F21*(POWER((1+F22),'数据-取费表'!B22/2)-1)),4)</f>
        <v>1E-3</v>
      </c>
      <c r="D26" s="228"/>
      <c r="E26" s="231"/>
      <c r="F26" s="229"/>
      <c r="G26" s="233"/>
    </row>
    <row r="27" spans="1:7" s="204" customFormat="1" ht="24.75">
      <c r="A27" s="245" t="s">
        <v>1512</v>
      </c>
      <c r="B27" s="234" t="s">
        <v>1513</v>
      </c>
      <c r="C27" s="235">
        <f ca="1">C28</f>
        <v>3451531</v>
      </c>
      <c r="D27" s="225">
        <f ca="1">C29</f>
        <v>2.5999999999999999E-3</v>
      </c>
      <c r="E27" s="226" t="s">
        <v>1514</v>
      </c>
      <c r="F27" s="236">
        <f ca="1">IF(B1="",'数据-取费表'!Q16,INDIRECT("'数据-取费表'!q"&amp;$G$1))</f>
        <v>0.13</v>
      </c>
      <c r="G27" s="237" t="s">
        <v>1515</v>
      </c>
    </row>
    <row r="28" spans="1:7" s="204" customFormat="1" ht="13.5" customHeight="1">
      <c r="A28" s="730" t="s">
        <v>346</v>
      </c>
      <c r="B28" s="238" t="s">
        <v>1516</v>
      </c>
      <c r="C28" s="239">
        <f ca="1">ROUND((C5+C19+C20)*F27,0)</f>
        <v>3451531</v>
      </c>
      <c r="D28" s="225"/>
      <c r="E28" s="226"/>
      <c r="F28" s="236"/>
      <c r="G28" s="237"/>
    </row>
    <row r="29" spans="1:7" s="204" customFormat="1" ht="13.5" customHeight="1">
      <c r="A29" s="730" t="s">
        <v>347</v>
      </c>
      <c r="B29" s="238" t="s">
        <v>1517</v>
      </c>
      <c r="C29" s="228">
        <f ca="1">ROUND(C21*F27,4)</f>
        <v>2.5999999999999999E-3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35368455</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428202658</v>
      </c>
      <c r="D33" s="222"/>
      <c r="E33" s="202"/>
      <c r="F33" s="231"/>
      <c r="G33" s="224"/>
    </row>
    <row r="34" spans="1:7" s="248" customFormat="1" ht="13.5" customHeight="1">
      <c r="A34" s="730" t="s">
        <v>346</v>
      </c>
      <c r="B34" s="205" t="s">
        <v>1525</v>
      </c>
      <c r="C34" s="210">
        <f ca="1">ROUND(IF(B1="",SUMPRODUCT('数据-取费表'!K6:K14,'数据-取费表'!L6:L14),INDIRECT("'数据-取费表'!l"&amp;$G$1)*INDIRECT("'数据-取费表'!k"&amp;$G$1)+'数据-取费表'!L14*INDIRECT("'数据-取费表'!S"&amp;$G$1)),0)</f>
        <v>371997055</v>
      </c>
      <c r="D34" s="207"/>
      <c r="E34" s="210"/>
      <c r="F34" s="247"/>
      <c r="G34" s="209"/>
    </row>
    <row r="35" spans="1:7" ht="13.5" customHeight="1">
      <c r="A35" s="730" t="s">
        <v>351</v>
      </c>
      <c r="B35" s="205" t="s">
        <v>1527</v>
      </c>
      <c r="C35" s="210">
        <f ca="1">ROUND(C34*F35,0)</f>
        <v>18599853</v>
      </c>
      <c r="D35" s="210"/>
      <c r="E35" s="210"/>
      <c r="F35" s="249">
        <f>'数据-取费表'!B33</f>
        <v>0.05</v>
      </c>
      <c r="G35" s="209" t="s">
        <v>1528</v>
      </c>
    </row>
    <row r="36" spans="1:7" ht="24">
      <c r="A36" s="730" t="s">
        <v>352</v>
      </c>
      <c r="B36" s="205" t="s">
        <v>1529</v>
      </c>
      <c r="C36" s="210">
        <f ca="1">ROUND(IF(B1="",SUM('数据-取费表'!AP6:AP13)*F36,IF(INDIRECT("'数据-取费表'!c"&amp;$G$1)="住宅",INDIRECT("'数据-取费表'!k"&amp;$G$1)*INDIRECT("'数据-取费表'!l"&amp;$G$1)*F36,0)),0)</f>
        <v>15295079</v>
      </c>
      <c r="D36" s="210"/>
      <c r="E36" s="210"/>
      <c r="F36" s="249">
        <f>'数据-取费表'!B34</f>
        <v>0.05</v>
      </c>
      <c r="G36" s="250" t="s">
        <v>1530</v>
      </c>
    </row>
    <row r="37" spans="1:7" s="248" customFormat="1" ht="13.5" customHeight="1">
      <c r="A37" s="730" t="s">
        <v>353</v>
      </c>
      <c r="B37" s="205" t="s">
        <v>1531</v>
      </c>
      <c r="C37" s="239">
        <f ca="1">ROUND(E37*D37,0)</f>
        <v>14870730</v>
      </c>
      <c r="D37" s="207">
        <f ca="1">D19</f>
        <v>74353.649999999776</v>
      </c>
      <c r="E37" s="239">
        <f>'数据-取费表'!B35</f>
        <v>200</v>
      </c>
      <c r="F37" s="249"/>
      <c r="G37" s="251"/>
    </row>
    <row r="38" spans="1:7" ht="13.5" customHeight="1">
      <c r="A38" s="730" t="s">
        <v>354</v>
      </c>
      <c r="B38" s="205" t="s">
        <v>1533</v>
      </c>
      <c r="C38" s="210">
        <f ca="1">ROUND(C34*F38,0)</f>
        <v>7439941</v>
      </c>
      <c r="D38" s="210"/>
      <c r="E38" s="210"/>
      <c r="F38" s="249">
        <f>'数据-取费表'!B36</f>
        <v>0.02</v>
      </c>
      <c r="G38" s="209" t="s">
        <v>1528</v>
      </c>
    </row>
    <row r="39" spans="1:7" s="204" customFormat="1" ht="13.5" customHeight="1">
      <c r="A39" s="245" t="s">
        <v>1534</v>
      </c>
      <c r="B39" s="200" t="s">
        <v>1535</v>
      </c>
      <c r="C39" s="222">
        <f ca="1">ROUND(C33*F20,0)</f>
        <v>8564053</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21464452</v>
      </c>
      <c r="D41" s="225">
        <f ca="1">C44</f>
        <v>1E-3</v>
      </c>
      <c r="E41" s="226" t="s">
        <v>1539</v>
      </c>
      <c r="F41" s="227">
        <f ca="1">F22</f>
        <v>3.2500000000000001E-2</v>
      </c>
      <c r="G41" s="224" t="str">
        <f>IF('数据-取费表'!B22&lt;=1,"单利计息","复利计息")</f>
        <v>复利计息</v>
      </c>
    </row>
    <row r="42" spans="1:7" ht="13.5" customHeight="1">
      <c r="A42" s="730" t="s">
        <v>346</v>
      </c>
      <c r="B42" s="205" t="s">
        <v>1543</v>
      </c>
      <c r="C42" s="228">
        <f ca="1">ROUND(IF('数据-取费表'!B22&lt;=1,C33*F22*'数据-取费表'!B20/2,C33*(POWER((1+F22),'数据-取费表'!B20/2)-1)),0)</f>
        <v>21043580</v>
      </c>
      <c r="D42" s="228"/>
      <c r="E42" s="228"/>
      <c r="F42" s="229"/>
      <c r="G42" s="3371" t="s">
        <v>1591</v>
      </c>
    </row>
    <row r="43" spans="1:7" ht="13.5" customHeight="1">
      <c r="A43" s="730" t="s">
        <v>347</v>
      </c>
      <c r="B43" s="205" t="s">
        <v>1545</v>
      </c>
      <c r="C43" s="228">
        <f ca="1">ROUND(IF('数据-取费表'!B22&lt;=1,C39*F22*'数据-取费表'!B20/2,C39*(POWER((1+F22),'数据-取费表'!B20/2)-1)),0)</f>
        <v>420872</v>
      </c>
      <c r="D43" s="228"/>
      <c r="E43" s="228"/>
      <c r="F43" s="229"/>
      <c r="G43" s="3372"/>
    </row>
    <row r="44" spans="1:7" ht="13.5" customHeight="1">
      <c r="A44" s="730" t="s">
        <v>348</v>
      </c>
      <c r="B44" s="205" t="s">
        <v>1546</v>
      </c>
      <c r="C44" s="228">
        <f ca="1">ROUND(IF('数据-取费表'!B22&lt;=1,C40*F22*'数据-取费表'!B20/2,C40*(POWER((1+F22),'数据-取费表'!B20/2)-1)),4)</f>
        <v>1E-3</v>
      </c>
      <c r="D44" s="228"/>
      <c r="E44" s="228"/>
      <c r="F44" s="229"/>
      <c r="G44" s="3373"/>
    </row>
    <row r="45" spans="1:7" s="204" customFormat="1" ht="13.5" customHeight="1">
      <c r="A45" s="245" t="s">
        <v>1547</v>
      </c>
      <c r="B45" s="234" t="s">
        <v>1513</v>
      </c>
      <c r="C45" s="235">
        <f ca="1">C46</f>
        <v>56779672</v>
      </c>
      <c r="D45" s="225">
        <f ca="1">C47</f>
        <v>2.5999999999999999E-3</v>
      </c>
      <c r="E45" s="226" t="s">
        <v>1539</v>
      </c>
      <c r="F45" s="236">
        <f ca="1">F27</f>
        <v>0.13</v>
      </c>
      <c r="G45" s="237" t="s">
        <v>1548</v>
      </c>
    </row>
    <row r="46" spans="1:7" s="204" customFormat="1" ht="13.5" customHeight="1">
      <c r="A46" s="730" t="s">
        <v>346</v>
      </c>
      <c r="B46" s="238" t="s">
        <v>1549</v>
      </c>
      <c r="C46" s="239">
        <f ca="1">ROUND((C33+C39)*F27,0)</f>
        <v>56779672</v>
      </c>
      <c r="D46" s="253"/>
      <c r="E46" s="226"/>
      <c r="F46" s="236"/>
      <c r="G46" s="237"/>
    </row>
    <row r="47" spans="1:7" s="204" customFormat="1" ht="13.5" customHeight="1">
      <c r="A47" s="730" t="s">
        <v>347</v>
      </c>
      <c r="B47" s="238" t="s">
        <v>1550</v>
      </c>
      <c r="C47" s="228">
        <f ca="1">ROUND(C40*F27,4)</f>
        <v>2.5999999999999999E-3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557914457</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557914457</v>
      </c>
      <c r="D51" s="222"/>
      <c r="E51" s="222"/>
      <c r="F51" s="254"/>
      <c r="G51" s="224" t="s">
        <v>1560</v>
      </c>
    </row>
    <row r="52" spans="1:7" s="198" customFormat="1" ht="16.5" thickBot="1">
      <c r="A52" s="255" t="s">
        <v>1561</v>
      </c>
      <c r="B52" s="256"/>
      <c r="C52" s="257">
        <f ca="1">C31+C51</f>
        <v>593282912</v>
      </c>
      <c r="D52" s="256"/>
      <c r="E52" s="256"/>
      <c r="F52" s="256"/>
      <c r="G52" s="258"/>
    </row>
    <row r="55" spans="1:7" ht="15">
      <c r="B55" s="260" t="s">
        <v>1562</v>
      </c>
      <c r="C55" s="261"/>
    </row>
    <row r="56" spans="1:7">
      <c r="B56" s="263" t="s">
        <v>802</v>
      </c>
      <c r="C56" s="265">
        <f ca="1">1-C57</f>
        <v>6.0000000000000053E-2</v>
      </c>
    </row>
    <row r="57" spans="1:7">
      <c r="B57" s="263" t="s">
        <v>803</v>
      </c>
      <c r="C57" s="264">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Normal="60" zoomScaleSheetLayoutView="100" workbookViewId="0">
      <selection activeCell="M11" sqref="M11"/>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f>F65</f>
        <v>99974</v>
      </c>
      <c r="C2" s="850"/>
      <c r="D2" s="850"/>
      <c r="E2" s="851"/>
      <c r="F2" s="852"/>
      <c r="G2" s="851"/>
      <c r="H2" s="851"/>
      <c r="I2" s="851"/>
      <c r="J2" s="851"/>
      <c r="K2" s="853"/>
      <c r="L2" s="2500"/>
      <c r="M2" s="2501"/>
      <c r="N2" s="2501"/>
      <c r="O2" s="2501"/>
      <c r="P2" s="339"/>
      <c r="Q2" s="339"/>
      <c r="R2" s="339"/>
      <c r="S2" s="339"/>
      <c r="T2" s="339"/>
      <c r="U2" s="339"/>
      <c r="V2" s="339"/>
      <c r="W2" s="339"/>
      <c r="X2" s="339"/>
      <c r="Y2" s="339"/>
      <c r="Z2" s="339"/>
      <c r="AA2" s="339"/>
      <c r="AB2" s="339"/>
      <c r="AC2" s="661"/>
    </row>
    <row r="3" spans="1:29" s="340" customFormat="1" ht="28.5" customHeight="1" thickBot="1">
      <c r="A3" s="193" t="s">
        <v>1464</v>
      </c>
      <c r="B3" s="534">
        <f>ROUND(IF(D3="",B2*10000/'数据-汇总表'!E3,B2*10000/D3),0)</f>
        <v>13446</v>
      </c>
      <c r="C3" s="193" t="s">
        <v>1869</v>
      </c>
      <c r="D3" s="1107"/>
      <c r="E3" s="851"/>
      <c r="F3" s="852"/>
      <c r="G3" s="851"/>
      <c r="H3" s="851"/>
      <c r="I3" s="851"/>
      <c r="J3" s="851"/>
      <c r="K3" s="853"/>
      <c r="L3" s="2500"/>
      <c r="M3" s="2501"/>
      <c r="N3" s="2501"/>
      <c r="O3" s="2501"/>
      <c r="P3" s="339"/>
      <c r="Q3" s="339"/>
      <c r="R3" s="339"/>
      <c r="S3" s="339"/>
      <c r="T3" s="339"/>
      <c r="U3" s="339"/>
      <c r="V3" s="339"/>
      <c r="W3" s="339"/>
      <c r="X3" s="339"/>
      <c r="Y3" s="339"/>
      <c r="Z3" s="339"/>
      <c r="AA3" s="339"/>
      <c r="AB3" s="674"/>
      <c r="AC3" s="661"/>
    </row>
    <row r="4" spans="1:29" ht="15">
      <c r="A4" s="343" t="s">
        <v>1769</v>
      </c>
      <c r="B4" s="344"/>
      <c r="C4" s="3378" t="s">
        <v>1770</v>
      </c>
      <c r="D4" s="3390"/>
      <c r="E4" s="3391" t="s">
        <v>1771</v>
      </c>
      <c r="F4" s="3392"/>
      <c r="G4" s="3378" t="s">
        <v>1772</v>
      </c>
      <c r="H4" s="3390"/>
      <c r="I4" s="3378" t="s">
        <v>1773</v>
      </c>
      <c r="J4" s="3390"/>
      <c r="K4" s="535" t="s">
        <v>1774</v>
      </c>
      <c r="L4" s="2483"/>
      <c r="M4" s="2484"/>
      <c r="N4" s="2484"/>
      <c r="O4" s="2484"/>
      <c r="P4" s="3393" t="s">
        <v>1775</v>
      </c>
      <c r="Q4" s="3394"/>
      <c r="R4" s="3399" t="s">
        <v>1771</v>
      </c>
      <c r="S4" s="3400"/>
      <c r="T4" s="3399" t="s">
        <v>1772</v>
      </c>
      <c r="U4" s="3400"/>
      <c r="V4" s="3386" t="s">
        <v>1773</v>
      </c>
      <c r="W4" s="3386"/>
      <c r="X4" s="1261"/>
      <c r="Y4" s="3399" t="s">
        <v>1775</v>
      </c>
      <c r="Z4" s="3400"/>
      <c r="AA4" s="3387" t="s">
        <v>1771</v>
      </c>
      <c r="AB4" s="3388" t="s">
        <v>1772</v>
      </c>
      <c r="AC4" s="3387" t="s">
        <v>1773</v>
      </c>
    </row>
    <row r="5" spans="1:29" ht="63" customHeight="1" thickBot="1">
      <c r="A5" s="346"/>
      <c r="B5" s="347"/>
      <c r="C5" s="3412" t="s">
        <v>1673</v>
      </c>
      <c r="D5" s="3408"/>
      <c r="E5" s="3415" t="s">
        <v>3579</v>
      </c>
      <c r="F5" s="3416"/>
      <c r="G5" s="3407" t="s">
        <v>3645</v>
      </c>
      <c r="H5" s="3408"/>
      <c r="I5" s="3407" t="s">
        <v>3646</v>
      </c>
      <c r="J5" s="3408"/>
      <c r="K5" s="535"/>
      <c r="L5" s="2483"/>
      <c r="M5" s="2484"/>
      <c r="N5" s="2484"/>
      <c r="O5" s="2484"/>
      <c r="P5" s="3395"/>
      <c r="Q5" s="3396"/>
      <c r="R5" s="3401"/>
      <c r="S5" s="3402"/>
      <c r="T5" s="3401"/>
      <c r="U5" s="3402"/>
      <c r="V5" s="3386"/>
      <c r="W5" s="3386"/>
      <c r="X5" s="1261"/>
      <c r="Y5" s="3401"/>
      <c r="Z5" s="3402"/>
      <c r="AA5" s="3388"/>
      <c r="AB5" s="3388"/>
      <c r="AC5" s="3388"/>
    </row>
    <row r="6" spans="1:29" ht="15.75" hidden="1" thickBot="1">
      <c r="A6" s="348"/>
      <c r="B6" s="349"/>
      <c r="C6" s="3405"/>
      <c r="D6" s="3406"/>
      <c r="E6" s="3413"/>
      <c r="F6" s="3414"/>
      <c r="G6" s="3405"/>
      <c r="H6" s="3406"/>
      <c r="I6" s="3405"/>
      <c r="J6" s="3406"/>
      <c r="K6" s="535" t="s">
        <v>1678</v>
      </c>
      <c r="L6" s="2483"/>
      <c r="M6" s="2484"/>
      <c r="N6" s="2484"/>
      <c r="O6" s="2484"/>
      <c r="P6" s="3397"/>
      <c r="Q6" s="3398"/>
      <c r="R6" s="3401"/>
      <c r="S6" s="3402"/>
      <c r="T6" s="3403"/>
      <c r="U6" s="3404"/>
      <c r="V6" s="3386"/>
      <c r="W6" s="3386"/>
      <c r="X6" s="1261"/>
      <c r="Y6" s="3403"/>
      <c r="Z6" s="3404"/>
      <c r="AA6" s="3389"/>
      <c r="AB6" s="3389"/>
      <c r="AC6" s="3389"/>
    </row>
    <row r="7" spans="1:29" s="100" customFormat="1" ht="15.75" thickBot="1">
      <c r="A7" s="350" t="s">
        <v>1679</v>
      </c>
      <c r="B7" s="351"/>
      <c r="C7" s="352">
        <f>'数据-取费表'!B2</f>
        <v>45924</v>
      </c>
      <c r="D7" s="353">
        <v>100</v>
      </c>
      <c r="E7" s="354">
        <f>土地案例!BP2</f>
        <v>45505</v>
      </c>
      <c r="F7" s="355">
        <f>SUMIF(69:69,YEAR(E7)&amp;"-"&amp;INT((MONTH(E7)+2)/3),70:70)</f>
        <v>101.37</v>
      </c>
      <c r="G7" s="1818">
        <f>土地案例!BP3</f>
        <v>45412</v>
      </c>
      <c r="H7" s="353">
        <f>SUMIF(69:69,YEAR(G7)&amp;"-"&amp;INT((MONTH(G7)+2)/3),70:70)</f>
        <v>104.37</v>
      </c>
      <c r="I7" s="1818">
        <f>土地案例!BP5</f>
        <v>45280</v>
      </c>
      <c r="J7" s="353">
        <f>SUMIF(69:69,YEAR(I7)&amp;"-"&amp;INT((MONTH(I7)+2)/3),70:70)</f>
        <v>103.76</v>
      </c>
      <c r="K7" s="38"/>
      <c r="L7" s="2485"/>
      <c r="M7" s="2436"/>
      <c r="N7" s="2436"/>
      <c r="O7" s="2436"/>
      <c r="P7" s="3409" t="s">
        <v>1680</v>
      </c>
      <c r="Q7" s="3411"/>
      <c r="R7" s="662" t="s">
        <v>14</v>
      </c>
      <c r="S7" s="663">
        <f t="shared" ref="S7:S15" si="0">F7</f>
        <v>101.37</v>
      </c>
      <c r="T7" s="662" t="s">
        <v>14</v>
      </c>
      <c r="U7" s="663">
        <f t="shared" ref="U7:U15" si="1">H7</f>
        <v>104.37</v>
      </c>
      <c r="V7" s="662" t="s">
        <v>14</v>
      </c>
      <c r="W7" s="663">
        <f t="shared" ref="W7:W15" si="2">J7</f>
        <v>103.76</v>
      </c>
      <c r="X7" s="664"/>
      <c r="Y7" s="3409" t="s">
        <v>1680</v>
      </c>
      <c r="Z7" s="3410"/>
      <c r="AA7" s="50">
        <f>D7/F7</f>
        <v>0.98648515339844134</v>
      </c>
      <c r="AB7" s="50">
        <f>D7/H7</f>
        <v>0.95812973076554564</v>
      </c>
      <c r="AC7" s="50">
        <f>D7/J7</f>
        <v>0.96376252891287584</v>
      </c>
    </row>
    <row r="8" spans="1:29" s="100" customFormat="1" ht="15.75" thickBot="1">
      <c r="A8" s="350" t="s">
        <v>1681</v>
      </c>
      <c r="B8" s="351"/>
      <c r="C8" s="356" t="s">
        <v>1682</v>
      </c>
      <c r="D8" s="353">
        <v>100</v>
      </c>
      <c r="E8" s="356" t="s">
        <v>3581</v>
      </c>
      <c r="F8" s="355">
        <f>SUMIF(72:72,E8,73:73)-SUMIF(72:72,C8,73:73)+100</f>
        <v>100</v>
      </c>
      <c r="G8" s="356" t="s">
        <v>3581</v>
      </c>
      <c r="H8" s="353">
        <f>SUMIF(72:72,G8,73:73)-SUMIF(72:72,C8,73:73)+100</f>
        <v>100</v>
      </c>
      <c r="I8" s="356" t="s">
        <v>3581</v>
      </c>
      <c r="J8" s="353">
        <f>SUMIF(72:72,I8,73:73)-SUMIF(72:72,C8,73:73)+100</f>
        <v>100</v>
      </c>
      <c r="K8" s="38"/>
      <c r="L8" s="2485"/>
      <c r="M8" s="2436"/>
      <c r="N8" s="2436"/>
      <c r="O8" s="2436"/>
      <c r="P8" s="3409" t="s">
        <v>1683</v>
      </c>
      <c r="Q8" s="3410"/>
      <c r="R8" s="662" t="s">
        <v>14</v>
      </c>
      <c r="S8" s="663">
        <f t="shared" si="0"/>
        <v>100</v>
      </c>
      <c r="T8" s="662" t="s">
        <v>14</v>
      </c>
      <c r="U8" s="663">
        <f t="shared" si="1"/>
        <v>100</v>
      </c>
      <c r="V8" s="662" t="s">
        <v>14</v>
      </c>
      <c r="W8" s="663">
        <f t="shared" si="2"/>
        <v>100</v>
      </c>
      <c r="X8" s="664"/>
      <c r="Y8" s="3409" t="s">
        <v>1683</v>
      </c>
      <c r="Z8" s="3410"/>
      <c r="AA8" s="50">
        <f t="shared" ref="AA8:AA45" si="3">D8/F8</f>
        <v>1</v>
      </c>
      <c r="AB8" s="50">
        <f t="shared" ref="AB8:AB45" si="4">D8/H8</f>
        <v>1</v>
      </c>
      <c r="AC8" s="50">
        <f t="shared" ref="AC8:AC45" si="5">D8/J8</f>
        <v>1</v>
      </c>
    </row>
    <row r="9" spans="1:29" s="100" customFormat="1">
      <c r="A9" s="357" t="s">
        <v>1684</v>
      </c>
      <c r="B9" s="60" t="s">
        <v>1685</v>
      </c>
      <c r="C9" s="3173" t="s">
        <v>3580</v>
      </c>
      <c r="D9" s="59">
        <v>100</v>
      </c>
      <c r="E9" s="1821" t="s">
        <v>3394</v>
      </c>
      <c r="F9" s="59">
        <f>SUMIF(74:74,E9,75:75)-SUMIF(74:74,C9,75:75)+100</f>
        <v>100</v>
      </c>
      <c r="G9" s="1821" t="s">
        <v>3394</v>
      </c>
      <c r="H9" s="59">
        <f>SUMIF(74:74,G9,75:75)-SUMIF(74:74,C9,75:75)+100</f>
        <v>100</v>
      </c>
      <c r="I9" s="1821" t="s">
        <v>3394</v>
      </c>
      <c r="J9" s="59">
        <f>SUMIF(74:74,I9,75:75)-SUMIF(74:74,C9,75:75)+100</f>
        <v>100</v>
      </c>
      <c r="K9" s="38"/>
      <c r="L9" s="2485"/>
      <c r="M9" s="2436"/>
      <c r="N9" s="2436"/>
      <c r="O9" s="2537"/>
      <c r="P9" s="3381" t="s">
        <v>1686</v>
      </c>
      <c r="Q9" s="528"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100</v>
      </c>
      <c r="G10" s="400"/>
      <c r="H10" s="117">
        <f>ROUND(100/'数据-取费表'!G16,0)</f>
        <v>100</v>
      </c>
      <c r="I10" s="400"/>
      <c r="J10" s="117">
        <f>ROUND(100/'数据-取费表'!G16,0)</f>
        <v>100</v>
      </c>
      <c r="K10" s="590"/>
      <c r="L10" s="2486"/>
      <c r="M10" s="2487"/>
      <c r="N10" s="2487"/>
      <c r="O10" s="2538"/>
      <c r="P10" s="3381"/>
      <c r="Q10" s="528"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5"/>
      <c r="B11" s="362" t="s">
        <v>1689</v>
      </c>
      <c r="C11" s="366">
        <v>2</v>
      </c>
      <c r="D11" s="117">
        <v>100</v>
      </c>
      <c r="E11" s="366">
        <v>2.8</v>
      </c>
      <c r="F11" s="117">
        <f>LOOKUP(E11,79:79,80:80)-LOOKUP(C11,79:79,80:80)+100</f>
        <v>98</v>
      </c>
      <c r="G11" s="367">
        <v>1.6</v>
      </c>
      <c r="H11" s="117">
        <f>LOOKUP(G11,79:79,80:80)-LOOKUP(C11,79:79,80:80)+100</f>
        <v>102</v>
      </c>
      <c r="I11" s="366">
        <v>1.88</v>
      </c>
      <c r="J11" s="117">
        <f>LOOKUP(I11,79:79,80:80)-LOOKUP(C11,79:79,80:80)+100</f>
        <v>102</v>
      </c>
      <c r="K11" s="591">
        <v>2</v>
      </c>
      <c r="L11" s="2488"/>
      <c r="M11" s="2484"/>
      <c r="N11" s="2484"/>
      <c r="O11" s="2539"/>
      <c r="P11" s="3381"/>
      <c r="Q11" s="528" t="str">
        <f t="shared" si="6"/>
        <v>容积率</v>
      </c>
      <c r="R11" s="662" t="s">
        <v>14</v>
      </c>
      <c r="S11" s="663">
        <f t="shared" si="0"/>
        <v>98</v>
      </c>
      <c r="T11" s="662" t="s">
        <v>14</v>
      </c>
      <c r="U11" s="663">
        <f t="shared" si="1"/>
        <v>102</v>
      </c>
      <c r="V11" s="662" t="s">
        <v>14</v>
      </c>
      <c r="W11" s="663">
        <f t="shared" si="2"/>
        <v>102</v>
      </c>
      <c r="X11" s="664"/>
      <c r="Y11" s="3278"/>
      <c r="Z11" s="50" t="str">
        <f t="shared" si="7"/>
        <v>容积率</v>
      </c>
      <c r="AA11" s="50">
        <f t="shared" si="3"/>
        <v>1.0204081632653061</v>
      </c>
      <c r="AB11" s="50">
        <f t="shared" si="4"/>
        <v>0.98039215686274506</v>
      </c>
      <c r="AC11" s="50">
        <f t="shared" si="5"/>
        <v>0.98039215686274506</v>
      </c>
    </row>
    <row r="12" spans="1:29" s="100" customFormat="1" ht="15.75" thickBot="1">
      <c r="A12" s="368"/>
      <c r="B12" s="3188" t="s">
        <v>3658</v>
      </c>
      <c r="C12" s="369">
        <v>45000</v>
      </c>
      <c r="D12" s="370">
        <v>100</v>
      </c>
      <c r="E12" s="401" t="s">
        <v>3659</v>
      </c>
      <c r="F12" s="117">
        <f>SUMIF(81:81,E12,82:82)-SUMIF(81:81,C12,82:82)+100</f>
        <v>100</v>
      </c>
      <c r="G12" s="400" t="s">
        <v>3660</v>
      </c>
      <c r="H12" s="117">
        <f>SUMIF(81:81,G12,82:82)-SUMIF(81:81,C12,82:82)+100</f>
        <v>100</v>
      </c>
      <c r="I12" s="401" t="s">
        <v>3660</v>
      </c>
      <c r="J12" s="117">
        <f>SUMIF(81:81,I12,82:82)-SUMIF(81:81,C12,82:82)+100</f>
        <v>100</v>
      </c>
      <c r="K12" s="590"/>
      <c r="L12" s="2485"/>
      <c r="M12" s="2436"/>
      <c r="N12" s="2436"/>
      <c r="O12" s="2537"/>
      <c r="P12" s="3381"/>
      <c r="Q12" s="528" t="str">
        <f t="shared" si="6"/>
        <v>限价</v>
      </c>
      <c r="R12" s="662" t="s">
        <v>14</v>
      </c>
      <c r="S12" s="663">
        <f t="shared" si="0"/>
        <v>100</v>
      </c>
      <c r="T12" s="662" t="s">
        <v>14</v>
      </c>
      <c r="U12" s="663">
        <f t="shared" si="1"/>
        <v>100</v>
      </c>
      <c r="V12" s="662" t="s">
        <v>14</v>
      </c>
      <c r="W12" s="663">
        <f t="shared" si="2"/>
        <v>100</v>
      </c>
      <c r="X12" s="664"/>
      <c r="Y12" s="3278"/>
      <c r="Z12" s="50" t="str">
        <f t="shared" si="7"/>
        <v>限价</v>
      </c>
      <c r="AA12" s="50">
        <f>D12/F12</f>
        <v>1</v>
      </c>
      <c r="AB12" s="50">
        <f>D12/H12</f>
        <v>1</v>
      </c>
      <c r="AC12" s="50">
        <f>D12/J12</f>
        <v>1</v>
      </c>
    </row>
    <row r="13" spans="1:29" ht="15" hidden="1">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9"/>
      <c r="M13" s="2484"/>
      <c r="N13" s="2484"/>
      <c r="O13" s="2539"/>
      <c r="P13" s="3381"/>
      <c r="Q13" s="528">
        <f t="shared" si="6"/>
        <v>111</v>
      </c>
      <c r="R13" s="662" t="s">
        <v>14</v>
      </c>
      <c r="S13" s="663">
        <f t="shared" si="0"/>
        <v>100</v>
      </c>
      <c r="T13" s="662" t="s">
        <v>14</v>
      </c>
      <c r="U13" s="663">
        <f t="shared" si="1"/>
        <v>100</v>
      </c>
      <c r="V13" s="662" t="s">
        <v>14</v>
      </c>
      <c r="W13" s="663">
        <f t="shared" si="2"/>
        <v>100</v>
      </c>
      <c r="X13" s="664"/>
      <c r="Y13" s="3278"/>
      <c r="Z13" s="50">
        <f t="shared" si="7"/>
        <v>111</v>
      </c>
      <c r="AA13" s="50">
        <f>D13/F13</f>
        <v>1</v>
      </c>
      <c r="AB13" s="50">
        <f>D13/H13</f>
        <v>1</v>
      </c>
      <c r="AC13" s="50">
        <f>D13/J13</f>
        <v>1</v>
      </c>
    </row>
    <row r="14" spans="1:29" ht="15.75" hidden="1"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9"/>
      <c r="M14" s="2484"/>
      <c r="N14" s="2484"/>
      <c r="O14" s="2539"/>
      <c r="P14" s="3381"/>
      <c r="Q14" s="528">
        <f t="shared" si="6"/>
        <v>111</v>
      </c>
      <c r="R14" s="662" t="s">
        <v>14</v>
      </c>
      <c r="S14" s="663">
        <f t="shared" si="0"/>
        <v>100</v>
      </c>
      <c r="T14" s="662" t="s">
        <v>14</v>
      </c>
      <c r="U14" s="663">
        <f t="shared" si="1"/>
        <v>100</v>
      </c>
      <c r="V14" s="662" t="s">
        <v>14</v>
      </c>
      <c r="W14" s="663">
        <f t="shared" si="2"/>
        <v>100</v>
      </c>
      <c r="X14" s="664"/>
      <c r="Y14" s="3278"/>
      <c r="Z14" s="50">
        <f t="shared" si="7"/>
        <v>111</v>
      </c>
      <c r="AA14" s="50">
        <f>D14/F14</f>
        <v>1</v>
      </c>
      <c r="AB14" s="50">
        <f>D14/H14</f>
        <v>1</v>
      </c>
      <c r="AC14" s="50">
        <f>D14/J14</f>
        <v>1</v>
      </c>
    </row>
    <row r="15" spans="1:29" ht="15">
      <c r="A15" s="377" t="s">
        <v>1690</v>
      </c>
      <c r="B15" s="58" t="s">
        <v>1257</v>
      </c>
      <c r="C15" s="1746">
        <f>估价对象房地状况!C15</f>
        <v>0</v>
      </c>
      <c r="D15" s="378">
        <v>100</v>
      </c>
      <c r="E15" s="379"/>
      <c r="F15" s="378">
        <f>SUMIF(87:87,E16,88:88)-SUMIF(87:87,C16,88:88)+100</f>
        <v>100</v>
      </c>
      <c r="G15" s="379"/>
      <c r="H15" s="378">
        <f>SUMIF(87:87,G16,88:88)-SUMIF(87:87,C16,88:88)+100</f>
        <v>102</v>
      </c>
      <c r="I15" s="381"/>
      <c r="J15" s="378">
        <f>SUMIF(87:87,I16,88:88)-SUMIF(87:87,C16,88:88)+100</f>
        <v>100</v>
      </c>
      <c r="K15" s="591">
        <v>2</v>
      </c>
      <c r="L15" s="2489"/>
      <c r="M15" s="2484"/>
      <c r="N15" s="2484"/>
      <c r="O15" s="2539"/>
      <c r="P15" s="3382" t="s">
        <v>1691</v>
      </c>
      <c r="Q15" s="1259" t="str">
        <f t="shared" si="6"/>
        <v>居住社区成熟度</v>
      </c>
      <c r="R15" s="665" t="s">
        <v>14</v>
      </c>
      <c r="S15" s="666">
        <f t="shared" si="0"/>
        <v>100</v>
      </c>
      <c r="T15" s="665" t="s">
        <v>14</v>
      </c>
      <c r="U15" s="666">
        <f t="shared" si="1"/>
        <v>102</v>
      </c>
      <c r="V15" s="665" t="s">
        <v>14</v>
      </c>
      <c r="W15" s="666">
        <f t="shared" si="2"/>
        <v>100</v>
      </c>
      <c r="X15" s="1261"/>
      <c r="Y15" s="3382" t="s">
        <v>1691</v>
      </c>
      <c r="Z15" s="1260" t="str">
        <f t="shared" si="7"/>
        <v>居住社区成熟度</v>
      </c>
      <c r="AA15" s="1260">
        <f t="shared" si="3"/>
        <v>1</v>
      </c>
      <c r="AB15" s="1260">
        <f t="shared" si="4"/>
        <v>0.98039215686274506</v>
      </c>
      <c r="AC15" s="1260">
        <f t="shared" si="5"/>
        <v>1</v>
      </c>
    </row>
    <row r="16" spans="1:29" ht="15">
      <c r="A16" s="365"/>
      <c r="B16" s="383"/>
      <c r="C16" s="384" t="s">
        <v>3583</v>
      </c>
      <c r="D16" s="385"/>
      <c r="E16" s="1748" t="s">
        <v>3583</v>
      </c>
      <c r="F16" s="385"/>
      <c r="G16" s="1748" t="s">
        <v>3582</v>
      </c>
      <c r="H16" s="387"/>
      <c r="I16" s="1748" t="s">
        <v>3583</v>
      </c>
      <c r="J16" s="385"/>
      <c r="K16" s="590"/>
      <c r="L16" s="2489"/>
      <c r="M16" s="2484"/>
      <c r="N16" s="2484"/>
      <c r="O16" s="2539"/>
      <c r="P16" s="3383"/>
      <c r="Q16" s="1259"/>
      <c r="R16" s="665"/>
      <c r="S16" s="666"/>
      <c r="T16" s="665"/>
      <c r="U16" s="666"/>
      <c r="V16" s="665"/>
      <c r="W16" s="666"/>
      <c r="X16" s="1261"/>
      <c r="Y16" s="3383"/>
      <c r="Z16" s="1260"/>
      <c r="AA16" s="1260">
        <v>1</v>
      </c>
      <c r="AB16" s="1260">
        <v>1</v>
      </c>
      <c r="AC16" s="1260">
        <v>1</v>
      </c>
    </row>
    <row r="17" spans="1:29" ht="15" hidden="1">
      <c r="A17" s="365"/>
      <c r="B17" s="388" t="s">
        <v>1777</v>
      </c>
      <c r="C17" s="1802">
        <f>估价对象房地状况!C16</f>
        <v>0</v>
      </c>
      <c r="D17" s="387">
        <v>100</v>
      </c>
      <c r="E17" s="389"/>
      <c r="F17" s="387">
        <f>SUMIF(89:89,E18,90:90)-SUMIF(89:89,C18,90:90)+100</f>
        <v>100</v>
      </c>
      <c r="G17" s="389"/>
      <c r="H17" s="392">
        <f>SUMIF(89:89,G18,90:90)-SUMIF(89:89,C18,90:90)+100</f>
        <v>100</v>
      </c>
      <c r="I17" s="389"/>
      <c r="J17" s="392">
        <f>SUMIF(89:89,I18,90:90)-SUMIF(89:89,C18,90:90)+100</f>
        <v>100</v>
      </c>
      <c r="K17" s="591"/>
      <c r="L17" s="2489"/>
      <c r="M17" s="2484"/>
      <c r="N17" s="2484"/>
      <c r="O17" s="2539"/>
      <c r="P17" s="3383"/>
      <c r="Q17" s="1259" t="str">
        <f>B17</f>
        <v>商业繁华度</v>
      </c>
      <c r="R17" s="665" t="s">
        <v>14</v>
      </c>
      <c r="S17" s="666">
        <f>F17</f>
        <v>100</v>
      </c>
      <c r="T17" s="665" t="s">
        <v>14</v>
      </c>
      <c r="U17" s="666">
        <f>H17</f>
        <v>100</v>
      </c>
      <c r="V17" s="665" t="s">
        <v>14</v>
      </c>
      <c r="W17" s="666">
        <f>J17</f>
        <v>100</v>
      </c>
      <c r="X17" s="1261"/>
      <c r="Y17" s="3383"/>
      <c r="Z17" s="1260" t="str">
        <f>Q17</f>
        <v>商业繁华度</v>
      </c>
      <c r="AA17" s="1260">
        <f t="shared" si="3"/>
        <v>1</v>
      </c>
      <c r="AB17" s="1260">
        <f t="shared" si="4"/>
        <v>1</v>
      </c>
      <c r="AC17" s="1260">
        <f t="shared" si="5"/>
        <v>1</v>
      </c>
    </row>
    <row r="18" spans="1:29" ht="15" hidden="1">
      <c r="A18" s="365"/>
      <c r="B18" s="393"/>
      <c r="C18" s="1751" t="s">
        <v>3583</v>
      </c>
      <c r="D18" s="387"/>
      <c r="E18" s="1753" t="s">
        <v>3583</v>
      </c>
      <c r="F18" s="387"/>
      <c r="G18" s="1753" t="s">
        <v>3583</v>
      </c>
      <c r="H18" s="385"/>
      <c r="I18" s="1753" t="s">
        <v>3583</v>
      </c>
      <c r="J18" s="385"/>
      <c r="K18" s="590"/>
      <c r="L18" s="2489"/>
      <c r="M18" s="2484"/>
      <c r="N18" s="2484"/>
      <c r="O18" s="2539"/>
      <c r="P18" s="3383"/>
      <c r="Q18" s="1259"/>
      <c r="R18" s="665"/>
      <c r="S18" s="666"/>
      <c r="T18" s="665"/>
      <c r="U18" s="666"/>
      <c r="V18" s="665"/>
      <c r="W18" s="666"/>
      <c r="X18" s="1261"/>
      <c r="Y18" s="3383"/>
      <c r="Z18" s="1260"/>
      <c r="AA18" s="1260">
        <v>1</v>
      </c>
      <c r="AB18" s="1260">
        <v>1</v>
      </c>
      <c r="AC18" s="1260">
        <v>1</v>
      </c>
    </row>
    <row r="19" spans="1:29" ht="15" hidden="1">
      <c r="A19" s="365"/>
      <c r="B19" s="388" t="s">
        <v>1811</v>
      </c>
      <c r="C19" s="1802">
        <f>估价对象房地状况!C17</f>
        <v>0</v>
      </c>
      <c r="D19" s="392">
        <v>100</v>
      </c>
      <c r="E19" s="394">
        <v>0</v>
      </c>
      <c r="F19" s="392">
        <f>SUMIF(91:91,E20,92:92)-SUMIF(91:91,C20,92:92)+100</f>
        <v>100</v>
      </c>
      <c r="G19" s="394">
        <v>0</v>
      </c>
      <c r="H19" s="387">
        <f>SUMIF(91:91,G20,92:92)-SUMIF(91:91,C20,92:92)+100</f>
        <v>100</v>
      </c>
      <c r="I19" s="394">
        <v>0</v>
      </c>
      <c r="J19" s="387">
        <f>SUMIF(91:91,I20,92:92)-SUMIF(91:91,C20,92:92)+100</f>
        <v>100</v>
      </c>
      <c r="K19" s="591"/>
      <c r="L19" s="2489"/>
      <c r="M19" s="2484"/>
      <c r="N19" s="2484"/>
      <c r="O19" s="2539"/>
      <c r="P19" s="3383"/>
      <c r="Q19" s="1259" t="str">
        <f>B19</f>
        <v>办公集聚程度</v>
      </c>
      <c r="R19" s="665" t="s">
        <v>14</v>
      </c>
      <c r="S19" s="666">
        <f>F19</f>
        <v>100</v>
      </c>
      <c r="T19" s="665" t="s">
        <v>14</v>
      </c>
      <c r="U19" s="666">
        <f>H19</f>
        <v>100</v>
      </c>
      <c r="V19" s="665" t="s">
        <v>14</v>
      </c>
      <c r="W19" s="666">
        <f>J19</f>
        <v>100</v>
      </c>
      <c r="X19" s="1261"/>
      <c r="Y19" s="3383"/>
      <c r="Z19" s="1260" t="str">
        <f>Q19</f>
        <v>办公集聚程度</v>
      </c>
      <c r="AA19" s="1260">
        <f t="shared" si="3"/>
        <v>1</v>
      </c>
      <c r="AB19" s="1260">
        <f t="shared" si="4"/>
        <v>1</v>
      </c>
      <c r="AC19" s="1260">
        <f t="shared" si="5"/>
        <v>1</v>
      </c>
    </row>
    <row r="20" spans="1:29" ht="15" hidden="1">
      <c r="A20" s="365"/>
      <c r="B20" s="393"/>
      <c r="C20" s="384"/>
      <c r="D20" s="385"/>
      <c r="E20" s="1748"/>
      <c r="F20" s="385"/>
      <c r="G20" s="1748"/>
      <c r="H20" s="385"/>
      <c r="I20" s="1748"/>
      <c r="J20" s="385"/>
      <c r="K20" s="590"/>
      <c r="L20" s="2489"/>
      <c r="M20" s="2484"/>
      <c r="N20" s="2484"/>
      <c r="O20" s="2539"/>
      <c r="P20" s="3383"/>
      <c r="Q20" s="1259"/>
      <c r="R20" s="665"/>
      <c r="S20" s="666"/>
      <c r="T20" s="665"/>
      <c r="U20" s="666"/>
      <c r="V20" s="665"/>
      <c r="W20" s="666"/>
      <c r="X20" s="1261"/>
      <c r="Y20" s="3383"/>
      <c r="Z20" s="1260"/>
      <c r="AA20" s="1260">
        <v>1</v>
      </c>
      <c r="AB20" s="1260">
        <v>1</v>
      </c>
      <c r="AC20" s="1260">
        <v>1</v>
      </c>
    </row>
    <row r="21" spans="1:29" ht="15">
      <c r="A21" s="365"/>
      <c r="B21" s="388" t="s">
        <v>1833</v>
      </c>
      <c r="C21" s="1750">
        <f>估价对象房地状况!C18</f>
        <v>0</v>
      </c>
      <c r="D21" s="387">
        <v>100</v>
      </c>
      <c r="E21" s="389"/>
      <c r="F21" s="392">
        <f>SUMIF(93:93,E22,94:94)-SUMIF(93:93,C22,94:94)+100</f>
        <v>100</v>
      </c>
      <c r="G21" s="389"/>
      <c r="H21" s="387">
        <f>SUMIF(93:93,G22,94:94)-SUMIF(93:93,C22,94:94)+100</f>
        <v>100</v>
      </c>
      <c r="I21" s="389"/>
      <c r="J21" s="387">
        <f>SUMIF(93:93,I22,94:94)-SUMIF(93:93,C22,94:94)+100</f>
        <v>102</v>
      </c>
      <c r="K21" s="591">
        <v>2</v>
      </c>
      <c r="L21" s="2489"/>
      <c r="M21" s="2484"/>
      <c r="N21" s="2484"/>
      <c r="O21" s="2539"/>
      <c r="P21" s="3383"/>
      <c r="Q21" s="1259" t="str">
        <f>B21</f>
        <v>交通便捷度</v>
      </c>
      <c r="R21" s="665" t="s">
        <v>14</v>
      </c>
      <c r="S21" s="666">
        <f>F21</f>
        <v>100</v>
      </c>
      <c r="T21" s="665" t="s">
        <v>14</v>
      </c>
      <c r="U21" s="666">
        <f>H21</f>
        <v>100</v>
      </c>
      <c r="V21" s="665" t="s">
        <v>14</v>
      </c>
      <c r="W21" s="666">
        <f>J21</f>
        <v>102</v>
      </c>
      <c r="X21" s="1261"/>
      <c r="Y21" s="3383"/>
      <c r="Z21" s="1260" t="str">
        <f>Q21</f>
        <v>交通便捷度</v>
      </c>
      <c r="AA21" s="1260">
        <f t="shared" si="3"/>
        <v>1</v>
      </c>
      <c r="AB21" s="1260">
        <f t="shared" si="4"/>
        <v>1</v>
      </c>
      <c r="AC21" s="1260">
        <f t="shared" si="5"/>
        <v>0.98039215686274506</v>
      </c>
    </row>
    <row r="22" spans="1:29" ht="15">
      <c r="A22" s="365"/>
      <c r="B22" s="584"/>
      <c r="C22" s="384" t="s">
        <v>3583</v>
      </c>
      <c r="D22" s="387"/>
      <c r="E22" s="1748" t="s">
        <v>3583</v>
      </c>
      <c r="F22" s="385"/>
      <c r="G22" s="1748" t="s">
        <v>3583</v>
      </c>
      <c r="H22" s="385"/>
      <c r="I22" s="1748" t="s">
        <v>3582</v>
      </c>
      <c r="J22" s="385"/>
      <c r="K22" s="590"/>
      <c r="L22" s="2489"/>
      <c r="M22" s="2484"/>
      <c r="N22" s="2484"/>
      <c r="O22" s="2539"/>
      <c r="P22" s="3383"/>
      <c r="Q22" s="1259"/>
      <c r="R22" s="665"/>
      <c r="S22" s="666"/>
      <c r="T22" s="665"/>
      <c r="U22" s="666"/>
      <c r="V22" s="665"/>
      <c r="W22" s="666"/>
      <c r="X22" s="1261"/>
      <c r="Y22" s="3383"/>
      <c r="Z22" s="1260"/>
      <c r="AA22" s="1260">
        <v>1</v>
      </c>
      <c r="AB22" s="1260">
        <v>1</v>
      </c>
      <c r="AC22" s="1260">
        <v>1</v>
      </c>
    </row>
    <row r="23" spans="1:29" ht="15">
      <c r="A23" s="346"/>
      <c r="B23" s="388" t="s">
        <v>1870</v>
      </c>
      <c r="C23" s="1065">
        <f>估价对象房地状况!C19</f>
        <v>0</v>
      </c>
      <c r="D23" s="392">
        <v>100</v>
      </c>
      <c r="E23" s="389"/>
      <c r="F23" s="392">
        <f>SUMIF(95:95,E24,96:96)-SUMIF(95:95,C24,96:96)+100</f>
        <v>100</v>
      </c>
      <c r="G23" s="389"/>
      <c r="H23" s="392">
        <f>SUMIF(95:95,G24,96:96)-SUMIF(95:95,C24,96:96)+100</f>
        <v>100</v>
      </c>
      <c r="I23" s="389"/>
      <c r="J23" s="392">
        <f>SUMIF(95:95,I24,96:96)-SUMIF(95:95,C24,96:96)+100</f>
        <v>100</v>
      </c>
      <c r="K23" s="591">
        <v>2</v>
      </c>
      <c r="L23" s="2489"/>
      <c r="M23" s="2484"/>
      <c r="N23" s="2484"/>
      <c r="O23" s="2539"/>
      <c r="P23" s="3383"/>
      <c r="Q23" s="1259" t="str">
        <f t="shared" ref="Q23:Q37" si="8">B23</f>
        <v>区域土地利用方向</v>
      </c>
      <c r="R23" s="665" t="s">
        <v>14</v>
      </c>
      <c r="S23" s="666">
        <f>F23</f>
        <v>100</v>
      </c>
      <c r="T23" s="665" t="s">
        <v>14</v>
      </c>
      <c r="U23" s="666">
        <f>H23</f>
        <v>100</v>
      </c>
      <c r="V23" s="665" t="s">
        <v>14</v>
      </c>
      <c r="W23" s="666">
        <f>J23</f>
        <v>100</v>
      </c>
      <c r="X23" s="1261"/>
      <c r="Y23" s="3383"/>
      <c r="Z23" s="1260" t="str">
        <f>Q23</f>
        <v>区域土地利用方向</v>
      </c>
      <c r="AA23" s="1260">
        <f t="shared" si="3"/>
        <v>1</v>
      </c>
      <c r="AB23" s="1260">
        <f t="shared" si="4"/>
        <v>1</v>
      </c>
      <c r="AC23" s="1260">
        <f t="shared" si="5"/>
        <v>1</v>
      </c>
    </row>
    <row r="24" spans="1:29" ht="15">
      <c r="A24" s="346"/>
      <c r="B24" s="393"/>
      <c r="C24" s="540" t="s">
        <v>3582</v>
      </c>
      <c r="D24" s="385"/>
      <c r="E24" s="1748" t="s">
        <v>3582</v>
      </c>
      <c r="F24" s="385"/>
      <c r="G24" s="1748" t="s">
        <v>3582</v>
      </c>
      <c r="H24" s="385"/>
      <c r="I24" s="1748" t="s">
        <v>3582</v>
      </c>
      <c r="J24" s="385"/>
      <c r="K24" s="694"/>
      <c r="L24" s="2489"/>
      <c r="M24" s="2484"/>
      <c r="N24" s="2484"/>
      <c r="O24" s="2539"/>
      <c r="P24" s="3383"/>
      <c r="Q24" s="1259"/>
      <c r="R24" s="665"/>
      <c r="S24" s="666"/>
      <c r="T24" s="665"/>
      <c r="U24" s="666"/>
      <c r="V24" s="665"/>
      <c r="W24" s="666"/>
      <c r="X24" s="1261"/>
      <c r="Y24" s="3383"/>
      <c r="Z24" s="1260"/>
      <c r="AA24" s="1260"/>
      <c r="AB24" s="1260"/>
      <c r="AC24" s="1260"/>
    </row>
    <row r="25" spans="1:29" ht="27">
      <c r="A25" s="346"/>
      <c r="B25" s="584" t="s">
        <v>1871</v>
      </c>
      <c r="C25" s="1802">
        <f>估价对象房地状况!C20</f>
        <v>0</v>
      </c>
      <c r="D25" s="387">
        <v>100</v>
      </c>
      <c r="E25" s="389"/>
      <c r="F25" s="387">
        <f>SUMIF(97:97,E26,98:98)-SUMIF(97:97,C26,98:98)+100</f>
        <v>100</v>
      </c>
      <c r="G25" s="389"/>
      <c r="H25" s="387">
        <f>SUMIF(97:97,G26,98:98)-SUMIF(97:97,C26,98:98)+100</f>
        <v>100</v>
      </c>
      <c r="I25" s="389"/>
      <c r="J25" s="387">
        <f>SUMIF(97:97,I26,98:98)-SUMIF(97:97,C26,98:98)+100</f>
        <v>100</v>
      </c>
      <c r="K25" s="591">
        <v>2</v>
      </c>
      <c r="L25" s="2489"/>
      <c r="M25" s="2484"/>
      <c r="N25" s="2484"/>
      <c r="O25" s="2539"/>
      <c r="P25" s="3383"/>
      <c r="Q25" s="1259" t="str">
        <f t="shared" si="8"/>
        <v>自然及人文环境状况</v>
      </c>
      <c r="R25" s="665" t="s">
        <v>14</v>
      </c>
      <c r="S25" s="666">
        <f>F25</f>
        <v>100</v>
      </c>
      <c r="T25" s="665" t="s">
        <v>14</v>
      </c>
      <c r="U25" s="666">
        <f>H25</f>
        <v>100</v>
      </c>
      <c r="V25" s="665" t="s">
        <v>14</v>
      </c>
      <c r="W25" s="666">
        <f>J25</f>
        <v>100</v>
      </c>
      <c r="X25" s="1261"/>
      <c r="Y25" s="3383"/>
      <c r="Z25" s="1260" t="str">
        <f>Q25</f>
        <v>自然及人文环境状况</v>
      </c>
      <c r="AA25" s="1260">
        <f t="shared" si="3"/>
        <v>1</v>
      </c>
      <c r="AB25" s="1260">
        <f t="shared" si="4"/>
        <v>1</v>
      </c>
      <c r="AC25" s="1260">
        <f t="shared" si="5"/>
        <v>1</v>
      </c>
    </row>
    <row r="26" spans="1:29" ht="15">
      <c r="A26" s="346"/>
      <c r="B26" s="393"/>
      <c r="C26" s="384" t="s">
        <v>3582</v>
      </c>
      <c r="D26" s="385"/>
      <c r="E26" s="1754" t="s">
        <v>3582</v>
      </c>
      <c r="F26" s="385"/>
      <c r="G26" s="1754" t="s">
        <v>3582</v>
      </c>
      <c r="H26" s="385"/>
      <c r="I26" s="1754" t="s">
        <v>3582</v>
      </c>
      <c r="J26" s="385"/>
      <c r="K26" s="590"/>
      <c r="L26" s="2489"/>
      <c r="M26" s="2484"/>
      <c r="N26" s="2484"/>
      <c r="O26" s="2539"/>
      <c r="P26" s="3383"/>
      <c r="Q26" s="1259"/>
      <c r="R26" s="665"/>
      <c r="S26" s="666"/>
      <c r="T26" s="665"/>
      <c r="U26" s="666"/>
      <c r="V26" s="665"/>
      <c r="W26" s="666"/>
      <c r="X26" s="1261"/>
      <c r="Y26" s="3383"/>
      <c r="Z26" s="1260"/>
      <c r="AA26" s="1260">
        <v>1</v>
      </c>
      <c r="AB26" s="1260">
        <v>1</v>
      </c>
      <c r="AC26" s="1260">
        <v>1</v>
      </c>
    </row>
    <row r="27" spans="1:29" s="100" customFormat="1" ht="15">
      <c r="A27" s="441"/>
      <c r="B27" s="584" t="s">
        <v>1778</v>
      </c>
      <c r="C27" s="1750">
        <f>估价对象房地状况!C21</f>
        <v>0</v>
      </c>
      <c r="D27" s="387">
        <v>100</v>
      </c>
      <c r="E27" s="389"/>
      <c r="F27" s="387">
        <f>SUMIF(99:99,E28,100:100)-SUMIF(99:99,C28,100:100)+100</f>
        <v>100</v>
      </c>
      <c r="G27" s="389"/>
      <c r="H27" s="387">
        <f>SUMIF(99:99,G28,100:100)-SUMIF(99:99,C28,100:100)+100</f>
        <v>100</v>
      </c>
      <c r="I27" s="389"/>
      <c r="J27" s="387">
        <f>SUMIF(99:99,I28,100:100)-SUMIF(99:99,C28,100:100)+100</f>
        <v>100</v>
      </c>
      <c r="K27" s="591">
        <v>2</v>
      </c>
      <c r="L27" s="2485"/>
      <c r="M27" s="2436"/>
      <c r="N27" s="2436"/>
      <c r="O27" s="2537"/>
      <c r="P27" s="3383"/>
      <c r="Q27" s="528" t="str">
        <f t="shared" si="8"/>
        <v>公共配套设施</v>
      </c>
      <c r="R27" s="662" t="s">
        <v>14</v>
      </c>
      <c r="S27" s="663">
        <f>F27</f>
        <v>100</v>
      </c>
      <c r="T27" s="662" t="s">
        <v>14</v>
      </c>
      <c r="U27" s="663">
        <f>H27</f>
        <v>100</v>
      </c>
      <c r="V27" s="662" t="s">
        <v>14</v>
      </c>
      <c r="W27" s="663">
        <f>J27</f>
        <v>100</v>
      </c>
      <c r="X27" s="664"/>
      <c r="Y27" s="3383"/>
      <c r="Z27" s="50" t="str">
        <f>Q27</f>
        <v>公共配套设施</v>
      </c>
      <c r="AA27" s="1260">
        <f>D27/F27</f>
        <v>1</v>
      </c>
      <c r="AB27" s="1260">
        <f>D27/H27</f>
        <v>1</v>
      </c>
      <c r="AC27" s="1260">
        <f>D27/J27</f>
        <v>1</v>
      </c>
    </row>
    <row r="28" spans="1:29" s="100" customFormat="1" ht="15">
      <c r="A28" s="441"/>
      <c r="B28" s="393"/>
      <c r="C28" s="1822" t="s">
        <v>3583</v>
      </c>
      <c r="D28" s="385"/>
      <c r="E28" s="1754" t="s">
        <v>3583</v>
      </c>
      <c r="F28" s="385"/>
      <c r="G28" s="1754" t="s">
        <v>3583</v>
      </c>
      <c r="H28" s="385"/>
      <c r="I28" s="1754" t="s">
        <v>3583</v>
      </c>
      <c r="J28" s="385"/>
      <c r="K28" s="590"/>
      <c r="L28" s="2485"/>
      <c r="M28" s="2436"/>
      <c r="N28" s="2436"/>
      <c r="O28" s="2537"/>
      <c r="P28" s="3383"/>
      <c r="Q28" s="528"/>
      <c r="R28" s="662"/>
      <c r="S28" s="663"/>
      <c r="T28" s="662"/>
      <c r="U28" s="663"/>
      <c r="V28" s="662"/>
      <c r="W28" s="663"/>
      <c r="X28" s="664"/>
      <c r="Y28" s="3383"/>
      <c r="Z28" s="50"/>
      <c r="AA28" s="1260">
        <v>1</v>
      </c>
      <c r="AB28" s="1260">
        <v>1</v>
      </c>
      <c r="AC28" s="1260">
        <v>1</v>
      </c>
    </row>
    <row r="29" spans="1:29" s="100" customFormat="1" ht="15">
      <c r="A29" s="441"/>
      <c r="B29" s="584" t="s">
        <v>1779</v>
      </c>
      <c r="C29" s="1750">
        <f>估价对象房地状况!C22</f>
        <v>0</v>
      </c>
      <c r="D29" s="387">
        <v>100</v>
      </c>
      <c r="E29" s="389"/>
      <c r="F29" s="387">
        <f>SUMIF(101:101,E30,102:102)-SUMIF(101:101,C30,102:102)+100</f>
        <v>100</v>
      </c>
      <c r="G29" s="389"/>
      <c r="H29" s="387">
        <f>SUMIF(101:101,G30,102:102)-SUMIF(101:101,C30,102:102)+100</f>
        <v>100</v>
      </c>
      <c r="I29" s="389"/>
      <c r="J29" s="387">
        <f>SUMIF(101:101,I30,102:102)-SUMIF(101:101,C30,102:102)+100</f>
        <v>100</v>
      </c>
      <c r="K29" s="591">
        <v>2</v>
      </c>
      <c r="L29" s="2485"/>
      <c r="M29" s="2436"/>
      <c r="N29" s="2436"/>
      <c r="O29" s="2537"/>
      <c r="P29" s="3383"/>
      <c r="Q29" s="528" t="str">
        <f t="shared" ref="Q29" si="9">B29</f>
        <v>基础设施水平</v>
      </c>
      <c r="R29" s="662" t="s">
        <v>14</v>
      </c>
      <c r="S29" s="663">
        <f>F29</f>
        <v>100</v>
      </c>
      <c r="T29" s="662" t="s">
        <v>14</v>
      </c>
      <c r="U29" s="663">
        <f>H29</f>
        <v>100</v>
      </c>
      <c r="V29" s="662" t="s">
        <v>14</v>
      </c>
      <c r="W29" s="663">
        <f>J29</f>
        <v>100</v>
      </c>
      <c r="X29" s="664"/>
      <c r="Y29" s="3383"/>
      <c r="Z29" s="50" t="str">
        <f>Q29</f>
        <v>基础设施水平</v>
      </c>
      <c r="AA29" s="1260">
        <f>D29/F29</f>
        <v>1</v>
      </c>
      <c r="AB29" s="1260">
        <f>D29/H29</f>
        <v>1</v>
      </c>
      <c r="AC29" s="1260">
        <f>D29/J29</f>
        <v>1</v>
      </c>
    </row>
    <row r="30" spans="1:29" s="100" customFormat="1" ht="15.75" thickBot="1">
      <c r="A30" s="441"/>
      <c r="B30" s="393"/>
      <c r="C30" s="3174" t="s">
        <v>3585</v>
      </c>
      <c r="D30" s="385"/>
      <c r="E30" s="1823" t="s">
        <v>3584</v>
      </c>
      <c r="F30" s="385"/>
      <c r="G30" s="1823" t="s">
        <v>3584</v>
      </c>
      <c r="H30" s="385"/>
      <c r="I30" s="1823" t="s">
        <v>3584</v>
      </c>
      <c r="J30" s="385"/>
      <c r="K30" s="590"/>
      <c r="L30" s="2485"/>
      <c r="M30" s="2436"/>
      <c r="N30" s="2436"/>
      <c r="O30" s="2537"/>
      <c r="P30" s="3383"/>
      <c r="Q30" s="528"/>
      <c r="R30" s="662"/>
      <c r="S30" s="663"/>
      <c r="T30" s="662"/>
      <c r="U30" s="663"/>
      <c r="V30" s="662"/>
      <c r="W30" s="663"/>
      <c r="X30" s="664"/>
      <c r="Y30" s="3383"/>
      <c r="Z30" s="50"/>
      <c r="AA30" s="1260">
        <v>1</v>
      </c>
      <c r="AB30" s="1260">
        <v>1</v>
      </c>
      <c r="AC30" s="1260">
        <v>1</v>
      </c>
    </row>
    <row r="31" spans="1:29" ht="15" hidden="1">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9"/>
      <c r="M31" s="2484"/>
      <c r="N31" s="2484"/>
      <c r="O31" s="2539"/>
      <c r="P31" s="3383"/>
      <c r="Q31" s="1259" t="str">
        <f t="shared" si="8"/>
        <v>临街状况</v>
      </c>
      <c r="R31" s="665" t="s">
        <v>14</v>
      </c>
      <c r="S31" s="666">
        <f t="shared" ref="S31:S45" si="10">F31</f>
        <v>100</v>
      </c>
      <c r="T31" s="665" t="s">
        <v>14</v>
      </c>
      <c r="U31" s="666">
        <f t="shared" ref="U31:U45" si="11">H31</f>
        <v>100</v>
      </c>
      <c r="V31" s="665" t="s">
        <v>14</v>
      </c>
      <c r="W31" s="666">
        <f t="shared" ref="W31:W45" si="12">J31</f>
        <v>100</v>
      </c>
      <c r="X31" s="1261"/>
      <c r="Y31" s="3383"/>
      <c r="Z31" s="1260" t="str">
        <f t="shared" ref="Z31:Z45" si="13">Q31</f>
        <v>临街状况</v>
      </c>
      <c r="AA31" s="1260">
        <f t="shared" si="3"/>
        <v>1</v>
      </c>
      <c r="AB31" s="1260">
        <f t="shared" si="4"/>
        <v>1</v>
      </c>
      <c r="AC31" s="1260">
        <f t="shared" si="5"/>
        <v>1</v>
      </c>
    </row>
    <row r="32" spans="1:29" ht="27" hidden="1">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9"/>
      <c r="M32" s="2484"/>
      <c r="N32" s="2484"/>
      <c r="O32" s="2539"/>
      <c r="P32" s="3383"/>
      <c r="Q32" s="1259" t="str">
        <f t="shared" si="8"/>
        <v>毗邻道路的类型与等级</v>
      </c>
      <c r="R32" s="665" t="s">
        <v>14</v>
      </c>
      <c r="S32" s="666">
        <f t="shared" si="10"/>
        <v>100</v>
      </c>
      <c r="T32" s="665" t="s">
        <v>14</v>
      </c>
      <c r="U32" s="666">
        <f t="shared" si="11"/>
        <v>100</v>
      </c>
      <c r="V32" s="665" t="s">
        <v>14</v>
      </c>
      <c r="W32" s="666">
        <f t="shared" si="12"/>
        <v>100</v>
      </c>
      <c r="X32" s="1261"/>
      <c r="Y32" s="3383"/>
      <c r="Z32" s="1260" t="str">
        <f t="shared" si="13"/>
        <v>毗邻道路的类型与等级</v>
      </c>
      <c r="AA32" s="1260">
        <f t="shared" si="3"/>
        <v>1</v>
      </c>
      <c r="AB32" s="1260">
        <f t="shared" si="4"/>
        <v>1</v>
      </c>
      <c r="AC32" s="1260">
        <f t="shared" si="5"/>
        <v>1</v>
      </c>
    </row>
    <row r="33" spans="1:29" ht="15" hidden="1">
      <c r="A33" s="365"/>
      <c r="B33" s="393"/>
      <c r="C33" s="384"/>
      <c r="D33" s="385"/>
      <c r="E33" s="1754"/>
      <c r="F33" s="385"/>
      <c r="G33" s="1754"/>
      <c r="H33" s="385"/>
      <c r="I33" s="384"/>
      <c r="J33" s="385"/>
      <c r="K33" s="537"/>
      <c r="L33" s="2489"/>
      <c r="M33" s="2484"/>
      <c r="N33" s="2484"/>
      <c r="O33" s="2539"/>
      <c r="P33" s="3383"/>
      <c r="Q33" s="1259"/>
      <c r="R33" s="665"/>
      <c r="S33" s="666"/>
      <c r="T33" s="665"/>
      <c r="U33" s="666"/>
      <c r="V33" s="665"/>
      <c r="W33" s="666"/>
      <c r="X33" s="1261"/>
      <c r="Y33" s="3383"/>
      <c r="Z33" s="1260"/>
      <c r="AA33" s="1260">
        <v>1</v>
      </c>
      <c r="AB33" s="1260">
        <v>1</v>
      </c>
      <c r="AC33" s="1260">
        <v>1</v>
      </c>
    </row>
    <row r="34" spans="1:29" ht="15" hidden="1">
      <c r="A34" s="365"/>
      <c r="B34" s="362" t="s">
        <v>1872</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9"/>
      <c r="M34" s="2484"/>
      <c r="N34" s="2484"/>
      <c r="O34" s="2539"/>
      <c r="P34" s="3383"/>
      <c r="Q34" s="1259" t="str">
        <f t="shared" si="8"/>
        <v>土地级别</v>
      </c>
      <c r="R34" s="665" t="s">
        <v>14</v>
      </c>
      <c r="S34" s="666">
        <f t="shared" si="10"/>
        <v>100</v>
      </c>
      <c r="T34" s="665" t="s">
        <v>14</v>
      </c>
      <c r="U34" s="666">
        <f t="shared" si="11"/>
        <v>100</v>
      </c>
      <c r="V34" s="665" t="s">
        <v>14</v>
      </c>
      <c r="W34" s="666">
        <f t="shared" si="12"/>
        <v>100</v>
      </c>
      <c r="X34" s="1261"/>
      <c r="Y34" s="3383"/>
      <c r="Z34" s="1260" t="str">
        <f t="shared" si="13"/>
        <v>土地级别</v>
      </c>
      <c r="AA34" s="1260">
        <f t="shared" si="3"/>
        <v>1</v>
      </c>
      <c r="AB34" s="1260">
        <f t="shared" si="4"/>
        <v>1</v>
      </c>
      <c r="AC34" s="1260">
        <f t="shared" si="5"/>
        <v>1</v>
      </c>
    </row>
    <row r="35" spans="1:29" ht="15" hidden="1">
      <c r="A35" s="346"/>
      <c r="B35" s="1062">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9"/>
      <c r="M35" s="2484"/>
      <c r="N35" s="2484"/>
      <c r="O35" s="2539"/>
      <c r="P35" s="3383"/>
      <c r="Q35" s="1259">
        <f t="shared" si="8"/>
        <v>111</v>
      </c>
      <c r="R35" s="665" t="s">
        <v>14</v>
      </c>
      <c r="S35" s="666">
        <f t="shared" si="10"/>
        <v>100</v>
      </c>
      <c r="T35" s="665" t="s">
        <v>14</v>
      </c>
      <c r="U35" s="666">
        <f t="shared" si="11"/>
        <v>100</v>
      </c>
      <c r="V35" s="665" t="s">
        <v>14</v>
      </c>
      <c r="W35" s="666">
        <f t="shared" si="12"/>
        <v>100</v>
      </c>
      <c r="X35" s="1261"/>
      <c r="Y35" s="3383"/>
      <c r="Z35" s="1260">
        <f t="shared" si="13"/>
        <v>111</v>
      </c>
      <c r="AA35" s="1260">
        <f t="shared" si="3"/>
        <v>1</v>
      </c>
      <c r="AB35" s="1260">
        <f t="shared" si="4"/>
        <v>1</v>
      </c>
      <c r="AC35" s="1260">
        <f t="shared" si="5"/>
        <v>1</v>
      </c>
    </row>
    <row r="36" spans="1:29" ht="15" hidden="1">
      <c r="A36" s="593"/>
      <c r="B36" s="1063">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9"/>
      <c r="M36" s="2484"/>
      <c r="N36" s="2484"/>
      <c r="O36" s="2539"/>
      <c r="P36" s="3384" t="s">
        <v>1696</v>
      </c>
      <c r="Q36" s="1259">
        <f t="shared" si="8"/>
        <v>111</v>
      </c>
      <c r="R36" s="665" t="s">
        <v>14</v>
      </c>
      <c r="S36" s="666">
        <f t="shared" si="10"/>
        <v>100</v>
      </c>
      <c r="T36" s="665" t="s">
        <v>14</v>
      </c>
      <c r="U36" s="666">
        <f t="shared" si="11"/>
        <v>100</v>
      </c>
      <c r="V36" s="665" t="s">
        <v>14</v>
      </c>
      <c r="W36" s="666">
        <f t="shared" si="12"/>
        <v>100</v>
      </c>
      <c r="X36" s="1261"/>
      <c r="Y36" s="3385" t="s">
        <v>1696</v>
      </c>
      <c r="Z36" s="1260">
        <f t="shared" si="13"/>
        <v>111</v>
      </c>
      <c r="AA36" s="1260">
        <f t="shared" si="3"/>
        <v>1</v>
      </c>
      <c r="AB36" s="1260">
        <f t="shared" si="4"/>
        <v>1</v>
      </c>
      <c r="AC36" s="1260">
        <f t="shared" si="5"/>
        <v>1</v>
      </c>
    </row>
    <row r="37" spans="1:29" s="406" customFormat="1" ht="15.75" hidden="1" thickBot="1">
      <c r="A37" s="594"/>
      <c r="B37" s="1064">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8"/>
      <c r="M37" s="2490"/>
      <c r="N37" s="2490"/>
      <c r="O37" s="2540"/>
      <c r="P37" s="3385"/>
      <c r="Q37" s="1259">
        <f t="shared" si="8"/>
        <v>111</v>
      </c>
      <c r="R37" s="667" t="s">
        <v>14</v>
      </c>
      <c r="S37" s="668">
        <f t="shared" si="10"/>
        <v>100</v>
      </c>
      <c r="T37" s="667" t="s">
        <v>14</v>
      </c>
      <c r="U37" s="668">
        <f t="shared" si="11"/>
        <v>100</v>
      </c>
      <c r="V37" s="667" t="s">
        <v>14</v>
      </c>
      <c r="W37" s="668">
        <f t="shared" si="12"/>
        <v>100</v>
      </c>
      <c r="X37" s="669"/>
      <c r="Y37" s="3385"/>
      <c r="Z37" s="670">
        <f t="shared" si="13"/>
        <v>111</v>
      </c>
      <c r="AA37" s="1260">
        <f t="shared" si="3"/>
        <v>1</v>
      </c>
      <c r="AB37" s="1260">
        <f t="shared" si="4"/>
        <v>1</v>
      </c>
      <c r="AC37" s="1260">
        <f t="shared" si="5"/>
        <v>1</v>
      </c>
    </row>
    <row r="38" spans="1:29" ht="15">
      <c r="A38" s="407" t="s">
        <v>1694</v>
      </c>
      <c r="B38" s="393" t="s">
        <v>1873</v>
      </c>
      <c r="C38" s="597">
        <v>48346</v>
      </c>
      <c r="D38" s="403">
        <v>100</v>
      </c>
      <c r="E38" s="597">
        <f>土地案例!BI3</f>
        <v>34786</v>
      </c>
      <c r="F38" s="403">
        <f>LOOKUP(E38,116:116,117:117)-LOOKUP(C38,116:116,117:117)+100</f>
        <v>100</v>
      </c>
      <c r="G38" s="597">
        <f>土地案例!BI4</f>
        <v>91852.45</v>
      </c>
      <c r="H38" s="403">
        <f>LOOKUP(G38,116:116,117:117)-LOOKUP(C38,116:116,117:117)+100</f>
        <v>101</v>
      </c>
      <c r="I38" s="460">
        <f>土地案例!BI5</f>
        <v>34067.89</v>
      </c>
      <c r="J38" s="403">
        <f>LOOKUP(I38,116:116,117:117)-LOOKUP(C38,116:116,117:117)+100</f>
        <v>100</v>
      </c>
      <c r="K38" s="537"/>
      <c r="L38" s="2489"/>
      <c r="M38" s="2484"/>
      <c r="N38" s="2484"/>
      <c r="O38" s="2539"/>
      <c r="P38" s="3385"/>
      <c r="Q38" s="1259" t="str">
        <f>B38</f>
        <v>宗地面积</v>
      </c>
      <c r="R38" s="665" t="s">
        <v>14</v>
      </c>
      <c r="S38" s="666">
        <f t="shared" si="10"/>
        <v>100</v>
      </c>
      <c r="T38" s="665" t="s">
        <v>14</v>
      </c>
      <c r="U38" s="666">
        <f t="shared" si="11"/>
        <v>101</v>
      </c>
      <c r="V38" s="665" t="s">
        <v>14</v>
      </c>
      <c r="W38" s="666">
        <f t="shared" si="12"/>
        <v>100</v>
      </c>
      <c r="X38" s="1261"/>
      <c r="Y38" s="3385"/>
      <c r="Z38" s="1260" t="str">
        <f t="shared" si="13"/>
        <v>宗地面积</v>
      </c>
      <c r="AA38" s="1260">
        <f t="shared" si="3"/>
        <v>1</v>
      </c>
      <c r="AB38" s="1260">
        <f t="shared" si="4"/>
        <v>0.99009900990099009</v>
      </c>
      <c r="AC38" s="1260">
        <f t="shared" si="5"/>
        <v>1</v>
      </c>
    </row>
    <row r="39" spans="1:29" ht="15">
      <c r="A39" s="407"/>
      <c r="B39" s="362" t="s">
        <v>1874</v>
      </c>
      <c r="C39" s="1756" t="s">
        <v>3648</v>
      </c>
      <c r="D39" s="372">
        <v>100</v>
      </c>
      <c r="E39" s="1756" t="s">
        <v>3648</v>
      </c>
      <c r="F39" s="372">
        <f>SUMIF(118:118,E39,119:119)-SUMIF(118:118,C39,119:119)+100</f>
        <v>100</v>
      </c>
      <c r="G39" s="1756" t="s">
        <v>3648</v>
      </c>
      <c r="H39" s="372">
        <f>SUMIF(118:118,G39,119:119)-SUMIF(118:118,C39,119:119)+100</f>
        <v>100</v>
      </c>
      <c r="I39" s="1756" t="s">
        <v>3648</v>
      </c>
      <c r="J39" s="372">
        <f>SUMIF(118:118,I39,119:119)-SUMIF(118:118,C39,119:119)+100</f>
        <v>100</v>
      </c>
      <c r="K39" s="536">
        <v>2</v>
      </c>
      <c r="L39" s="2489"/>
      <c r="M39" s="2484"/>
      <c r="N39" s="2484"/>
      <c r="O39" s="2539"/>
      <c r="P39" s="3385"/>
      <c r="Q39" s="1259" t="str">
        <f t="shared" ref="Q39:Q45" si="14">B39</f>
        <v>宗地形状</v>
      </c>
      <c r="R39" s="665" t="s">
        <v>14</v>
      </c>
      <c r="S39" s="666">
        <f t="shared" si="10"/>
        <v>100</v>
      </c>
      <c r="T39" s="665" t="s">
        <v>14</v>
      </c>
      <c r="U39" s="666">
        <f t="shared" si="11"/>
        <v>100</v>
      </c>
      <c r="V39" s="665" t="s">
        <v>14</v>
      </c>
      <c r="W39" s="666">
        <f t="shared" si="12"/>
        <v>100</v>
      </c>
      <c r="X39" s="1261"/>
      <c r="Y39" s="3385"/>
      <c r="Z39" s="1260" t="str">
        <f t="shared" si="13"/>
        <v>宗地形状</v>
      </c>
      <c r="AA39" s="1260">
        <f t="shared" si="3"/>
        <v>1</v>
      </c>
      <c r="AB39" s="1260">
        <f t="shared" si="4"/>
        <v>1</v>
      </c>
      <c r="AC39" s="1260">
        <f t="shared" si="5"/>
        <v>1</v>
      </c>
    </row>
    <row r="40" spans="1:29" ht="15">
      <c r="A40" s="407"/>
      <c r="B40" s="362" t="s">
        <v>1875</v>
      </c>
      <c r="C40" s="1756" t="s">
        <v>3582</v>
      </c>
      <c r="D40" s="372">
        <v>100</v>
      </c>
      <c r="E40" s="1756" t="s">
        <v>3582</v>
      </c>
      <c r="F40" s="372">
        <f>SUMIF(120:120,E40,121:121)-SUMIF(120:120,C40,121:121)+100</f>
        <v>100</v>
      </c>
      <c r="G40" s="1756" t="s">
        <v>3582</v>
      </c>
      <c r="H40" s="372">
        <f>SUMIF(120:120,G40,121:121)-SUMIF(120:120,C40,121:121)+100</f>
        <v>100</v>
      </c>
      <c r="I40" s="1756" t="s">
        <v>3582</v>
      </c>
      <c r="J40" s="372">
        <f>SUMIF(120:120,I40,121:121)-SUMIF(120:120,C40,121:121)+100</f>
        <v>100</v>
      </c>
      <c r="K40" s="536">
        <v>2</v>
      </c>
      <c r="L40" s="2489"/>
      <c r="M40" s="2484"/>
      <c r="N40" s="2484"/>
      <c r="O40" s="2539"/>
      <c r="P40" s="3385"/>
      <c r="Q40" s="1259" t="str">
        <f t="shared" si="14"/>
        <v>临街宽度及深度</v>
      </c>
      <c r="R40" s="665" t="s">
        <v>14</v>
      </c>
      <c r="S40" s="666">
        <f t="shared" si="10"/>
        <v>100</v>
      </c>
      <c r="T40" s="665" t="s">
        <v>14</v>
      </c>
      <c r="U40" s="666">
        <f t="shared" si="11"/>
        <v>100</v>
      </c>
      <c r="V40" s="665" t="s">
        <v>14</v>
      </c>
      <c r="W40" s="666">
        <f t="shared" si="12"/>
        <v>100</v>
      </c>
      <c r="X40" s="1261"/>
      <c r="Y40" s="3385"/>
      <c r="Z40" s="1260" t="str">
        <f t="shared" si="13"/>
        <v>临街宽度及深度</v>
      </c>
      <c r="AA40" s="1260">
        <f t="shared" si="3"/>
        <v>1</v>
      </c>
      <c r="AB40" s="1260">
        <f t="shared" si="4"/>
        <v>1</v>
      </c>
      <c r="AC40" s="1260">
        <f t="shared" si="5"/>
        <v>1</v>
      </c>
    </row>
    <row r="41" spans="1:29" s="100" customFormat="1" ht="15">
      <c r="A41" s="408"/>
      <c r="B41" s="362" t="s">
        <v>1876</v>
      </c>
      <c r="C41" s="3187" t="s">
        <v>3652</v>
      </c>
      <c r="D41" s="117">
        <v>100</v>
      </c>
      <c r="E41" s="3187" t="s">
        <v>3652</v>
      </c>
      <c r="F41" s="372">
        <f>SUMIF(122:122,E41,123:123)-SUMIF(122:122,C41,123:123)+100</f>
        <v>100</v>
      </c>
      <c r="G41" s="3187" t="s">
        <v>3652</v>
      </c>
      <c r="H41" s="372">
        <f>SUMIF(122:122,G41,123:123)-SUMIF(122:122,C41,123:123)+100</f>
        <v>100</v>
      </c>
      <c r="I41" s="3187" t="s">
        <v>3653</v>
      </c>
      <c r="J41" s="372">
        <f>SUMIF(122:122,I41,123:123)-SUMIF(122:122,C41,123:123)+100</f>
        <v>98</v>
      </c>
      <c r="K41" s="536">
        <v>2</v>
      </c>
      <c r="L41" s="2485"/>
      <c r="M41" s="2436"/>
      <c r="N41" s="2436"/>
      <c r="O41" s="2537"/>
      <c r="P41" s="3385"/>
      <c r="Q41" s="1259" t="str">
        <f t="shared" si="14"/>
        <v>宗地开发程度</v>
      </c>
      <c r="R41" s="662" t="s">
        <v>14</v>
      </c>
      <c r="S41" s="663">
        <f t="shared" si="10"/>
        <v>100</v>
      </c>
      <c r="T41" s="662" t="s">
        <v>14</v>
      </c>
      <c r="U41" s="663">
        <f t="shared" si="11"/>
        <v>100</v>
      </c>
      <c r="V41" s="662" t="s">
        <v>14</v>
      </c>
      <c r="W41" s="663">
        <f t="shared" si="12"/>
        <v>98</v>
      </c>
      <c r="X41" s="664"/>
      <c r="Y41" s="3385"/>
      <c r="Z41" s="50" t="str">
        <f t="shared" si="13"/>
        <v>宗地开发程度</v>
      </c>
      <c r="AA41" s="50">
        <f t="shared" si="3"/>
        <v>1</v>
      </c>
      <c r="AB41" s="50">
        <f t="shared" si="4"/>
        <v>1</v>
      </c>
      <c r="AC41" s="50">
        <f t="shared" si="5"/>
        <v>1.0204081632653061</v>
      </c>
    </row>
    <row r="42" spans="1:29" ht="15.75" thickBot="1">
      <c r="A42" s="407"/>
      <c r="B42" s="362" t="s">
        <v>1877</v>
      </c>
      <c r="C42" s="1756" t="s">
        <v>3582</v>
      </c>
      <c r="D42" s="372">
        <v>100</v>
      </c>
      <c r="E42" s="1756" t="s">
        <v>3582</v>
      </c>
      <c r="F42" s="372">
        <f>SUMIF(124:124,E42,125:125)-SUMIF(124:124,C42,125:125)+100</f>
        <v>100</v>
      </c>
      <c r="G42" s="1756" t="s">
        <v>3582</v>
      </c>
      <c r="H42" s="372">
        <f>SUMIF(124:124,G42,125:125)-SUMIF(124:124,C42,125:125)+100</f>
        <v>100</v>
      </c>
      <c r="I42" s="1756" t="s">
        <v>3582</v>
      </c>
      <c r="J42" s="372">
        <f>SUMIF(124:124,I42,125:125)-SUMIF(124:124,C42,125:125)+100</f>
        <v>100</v>
      </c>
      <c r="K42" s="536">
        <v>2</v>
      </c>
      <c r="L42" s="2489"/>
      <c r="M42" s="2484"/>
      <c r="N42" s="2484"/>
      <c r="O42" s="2539"/>
      <c r="P42" s="3385" t="s">
        <v>1696</v>
      </c>
      <c r="Q42" s="1259" t="str">
        <f t="shared" si="14"/>
        <v>工程地质条件</v>
      </c>
      <c r="R42" s="665" t="s">
        <v>14</v>
      </c>
      <c r="S42" s="666">
        <f t="shared" si="10"/>
        <v>100</v>
      </c>
      <c r="T42" s="665" t="s">
        <v>14</v>
      </c>
      <c r="U42" s="666">
        <f t="shared" si="11"/>
        <v>100</v>
      </c>
      <c r="V42" s="665" t="s">
        <v>14</v>
      </c>
      <c r="W42" s="666">
        <f t="shared" si="12"/>
        <v>100</v>
      </c>
      <c r="X42" s="1261"/>
      <c r="Y42" s="3385" t="s">
        <v>1696</v>
      </c>
      <c r="Z42" s="1260" t="str">
        <f t="shared" si="13"/>
        <v>工程地质条件</v>
      </c>
      <c r="AA42" s="1260">
        <f t="shared" si="3"/>
        <v>1</v>
      </c>
      <c r="AB42" s="1260">
        <f t="shared" si="4"/>
        <v>1</v>
      </c>
      <c r="AC42" s="1260">
        <f t="shared" si="5"/>
        <v>1</v>
      </c>
    </row>
    <row r="43" spans="1:29" ht="15" hidden="1">
      <c r="A43" s="407"/>
      <c r="B43" s="1063">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9"/>
      <c r="M43" s="2484"/>
      <c r="N43" s="2484"/>
      <c r="O43" s="2539"/>
      <c r="P43" s="3385"/>
      <c r="Q43" s="1259">
        <f t="shared" si="14"/>
        <v>111</v>
      </c>
      <c r="R43" s="665" t="s">
        <v>14</v>
      </c>
      <c r="S43" s="666">
        <f t="shared" si="10"/>
        <v>100</v>
      </c>
      <c r="T43" s="665" t="s">
        <v>14</v>
      </c>
      <c r="U43" s="666">
        <f t="shared" si="11"/>
        <v>100</v>
      </c>
      <c r="V43" s="665" t="s">
        <v>14</v>
      </c>
      <c r="W43" s="666">
        <f t="shared" si="12"/>
        <v>100</v>
      </c>
      <c r="X43" s="1261"/>
      <c r="Y43" s="3385"/>
      <c r="Z43" s="1260">
        <f t="shared" si="13"/>
        <v>111</v>
      </c>
      <c r="AA43" s="1260">
        <f t="shared" si="3"/>
        <v>1</v>
      </c>
      <c r="AB43" s="1260">
        <f t="shared" si="4"/>
        <v>1</v>
      </c>
      <c r="AC43" s="1260">
        <f t="shared" si="5"/>
        <v>1</v>
      </c>
    </row>
    <row r="44" spans="1:29" ht="15" hidden="1">
      <c r="A44" s="407"/>
      <c r="B44" s="1063">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9"/>
      <c r="M44" s="2484"/>
      <c r="N44" s="2484"/>
      <c r="O44" s="2539"/>
      <c r="P44" s="3385"/>
      <c r="Q44" s="1259">
        <f t="shared" si="14"/>
        <v>111</v>
      </c>
      <c r="R44" s="665" t="s">
        <v>14</v>
      </c>
      <c r="S44" s="666">
        <f t="shared" si="10"/>
        <v>100</v>
      </c>
      <c r="T44" s="665" t="s">
        <v>14</v>
      </c>
      <c r="U44" s="666">
        <f t="shared" si="11"/>
        <v>100</v>
      </c>
      <c r="V44" s="665" t="s">
        <v>14</v>
      </c>
      <c r="W44" s="666">
        <f t="shared" si="12"/>
        <v>100</v>
      </c>
      <c r="X44" s="1261"/>
      <c r="Y44" s="3385"/>
      <c r="Z44" s="1260">
        <f t="shared" si="13"/>
        <v>111</v>
      </c>
      <c r="AA44" s="1260">
        <f t="shared" si="3"/>
        <v>1</v>
      </c>
      <c r="AB44" s="1260">
        <f t="shared" si="4"/>
        <v>1</v>
      </c>
      <c r="AC44" s="1260">
        <f t="shared" si="5"/>
        <v>1</v>
      </c>
    </row>
    <row r="45" spans="1:29" s="406" customFormat="1" ht="15.75" hidden="1" thickBot="1">
      <c r="A45" s="404"/>
      <c r="B45" s="1063">
        <v>111</v>
      </c>
      <c r="C45" s="1825"/>
      <c r="D45" s="598">
        <v>100</v>
      </c>
      <c r="E45" s="592"/>
      <c r="F45" s="375">
        <f>SUMIF(130:130,E45,131:131)-SUMIF(130:130,C45,131:131)+100</f>
        <v>100</v>
      </c>
      <c r="G45" s="592"/>
      <c r="H45" s="375">
        <f>SUMIF(130:130,G45,131:131)-SUMIF(130:130,C45,131:131)+100</f>
        <v>100</v>
      </c>
      <c r="I45" s="592"/>
      <c r="J45" s="375">
        <f>SUMIF(130:130,I45,131:131)-SUMIF(130:130,C45,131:131)+100</f>
        <v>100</v>
      </c>
      <c r="K45" s="599"/>
      <c r="L45" s="2488"/>
      <c r="M45" s="2490"/>
      <c r="N45" s="2490"/>
      <c r="O45" s="2540"/>
      <c r="P45" s="3385"/>
      <c r="Q45" s="1259">
        <f t="shared" si="14"/>
        <v>111</v>
      </c>
      <c r="R45" s="667" t="s">
        <v>14</v>
      </c>
      <c r="S45" s="668">
        <f t="shared" si="10"/>
        <v>100</v>
      </c>
      <c r="T45" s="667" t="s">
        <v>14</v>
      </c>
      <c r="U45" s="668">
        <f t="shared" si="11"/>
        <v>100</v>
      </c>
      <c r="V45" s="667" t="s">
        <v>14</v>
      </c>
      <c r="W45" s="668">
        <f t="shared" si="12"/>
        <v>100</v>
      </c>
      <c r="X45" s="669"/>
      <c r="Y45" s="3385"/>
      <c r="Z45" s="670">
        <f t="shared" si="13"/>
        <v>111</v>
      </c>
      <c r="AA45" s="1260">
        <f t="shared" si="3"/>
        <v>1</v>
      </c>
      <c r="AB45" s="1260">
        <f t="shared" si="4"/>
        <v>1</v>
      </c>
      <c r="AC45" s="1260">
        <f t="shared" si="5"/>
        <v>1</v>
      </c>
    </row>
    <row r="46" spans="1:29" ht="15">
      <c r="A46" s="414" t="s">
        <v>1844</v>
      </c>
      <c r="B46" s="1826" t="s">
        <v>1878</v>
      </c>
      <c r="C46" s="600" t="s">
        <v>0</v>
      </c>
      <c r="D46" s="416"/>
      <c r="E46" s="417">
        <v>20035</v>
      </c>
      <c r="F46" s="418"/>
      <c r="G46" s="419">
        <v>17003</v>
      </c>
      <c r="H46" s="420"/>
      <c r="I46" s="417">
        <v>18717</v>
      </c>
      <c r="J46" s="420"/>
      <c r="K46" s="672"/>
      <c r="L46" s="2491"/>
      <c r="M46" s="2484"/>
      <c r="N46" s="2484"/>
      <c r="O46" s="2484"/>
      <c r="P46" s="3381" t="str">
        <f>A46</f>
        <v>成交单价</v>
      </c>
      <c r="Q46" s="3381"/>
      <c r="R46" s="3386">
        <f>E46</f>
        <v>20035</v>
      </c>
      <c r="S46" s="3386"/>
      <c r="T46" s="3386">
        <f>G46</f>
        <v>17003</v>
      </c>
      <c r="U46" s="3386"/>
      <c r="V46" s="3386">
        <f>I46</f>
        <v>18717</v>
      </c>
      <c r="W46" s="3386"/>
      <c r="X46" s="383"/>
      <c r="Y46" s="671"/>
      <c r="Z46" s="383"/>
      <c r="AA46" s="383"/>
      <c r="AB46" s="383"/>
      <c r="AC46" s="383"/>
    </row>
    <row r="47" spans="1:29" ht="15.75" thickBot="1">
      <c r="A47" s="421" t="s">
        <v>1793</v>
      </c>
      <c r="B47" s="601"/>
      <c r="C47" s="424">
        <f>R48</f>
        <v>17788</v>
      </c>
      <c r="D47" s="2137" t="s">
        <v>2137</v>
      </c>
      <c r="E47" s="424">
        <f>R47</f>
        <v>20168</v>
      </c>
      <c r="F47" s="2138"/>
      <c r="G47" s="423">
        <f>T47</f>
        <v>15503</v>
      </c>
      <c r="H47" s="2138"/>
      <c r="I47" s="424">
        <f>V47</f>
        <v>17692</v>
      </c>
      <c r="J47" s="2138"/>
      <c r="K47" s="2140">
        <f>F47+H47+J47</f>
        <v>0</v>
      </c>
      <c r="L47" s="2491"/>
      <c r="M47" s="2484"/>
      <c r="N47" s="2484"/>
      <c r="O47" s="2484"/>
      <c r="P47" s="3381" t="str">
        <f>A47</f>
        <v>比较价值（元/平方米）</v>
      </c>
      <c r="Q47" s="3381"/>
      <c r="R47" s="3374">
        <f>ROUND(PRODUCT(R46,AA7:AA45),0)</f>
        <v>20168</v>
      </c>
      <c r="S47" s="3374"/>
      <c r="T47" s="3374">
        <f>ROUND(PRODUCT(T46,AB7:AB45),0)</f>
        <v>15503</v>
      </c>
      <c r="U47" s="3374"/>
      <c r="V47" s="3374">
        <f>ROUND(PRODUCT(V46,AC7:AC45),0)</f>
        <v>17692</v>
      </c>
      <c r="W47" s="3374"/>
      <c r="X47" s="383"/>
      <c r="Y47" s="383"/>
      <c r="Z47" s="383"/>
      <c r="AA47" s="383"/>
      <c r="AB47" s="383"/>
      <c r="AC47" s="383"/>
    </row>
    <row r="48" spans="1:29" ht="15.75" thickBot="1">
      <c r="A48" s="425" t="s">
        <v>1879</v>
      </c>
      <c r="B48" s="426"/>
      <c r="C48" s="427">
        <f>R48</f>
        <v>17788</v>
      </c>
      <c r="D48" s="427"/>
      <c r="E48" s="427"/>
      <c r="F48" s="427"/>
      <c r="G48" s="427"/>
      <c r="H48" s="427"/>
      <c r="I48" s="427"/>
      <c r="J48" s="427"/>
      <c r="K48" s="673"/>
      <c r="L48" s="2491"/>
      <c r="M48" s="2484"/>
      <c r="N48" s="2484"/>
      <c r="O48" s="2484"/>
      <c r="P48" s="3375" t="str">
        <f>A48</f>
        <v>估价对象XX用房的比较价值（楼面单价，元/平方米）</v>
      </c>
      <c r="Q48" s="3376"/>
      <c r="R48" s="3377">
        <f>ROUND(IF(D47="简单平均",AVERAGE(R47:W47),R47*F47+T47*H47+V47*J47),0)</f>
        <v>17788</v>
      </c>
      <c r="S48" s="3377"/>
      <c r="T48" s="3377"/>
      <c r="U48" s="3377"/>
      <c r="V48" s="3377"/>
      <c r="W48" s="3377"/>
      <c r="X48" s="383"/>
      <c r="Y48" s="383"/>
      <c r="Z48" s="383"/>
      <c r="AA48" s="383"/>
      <c r="AB48" s="383"/>
      <c r="AC48" s="383"/>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0" t="s">
        <v>1795</v>
      </c>
      <c r="D51" s="431"/>
      <c r="E51" s="432">
        <f>IF(E46&lt;E47,E47/E46-1,E46/E47-1)</f>
        <v>6.6383828300473624E-3</v>
      </c>
      <c r="F51" s="433" t="str">
        <f>IF(OR(E51&gt;=0.3,E51&lt;=-0.3),"超过30%","")</f>
        <v/>
      </c>
      <c r="G51" s="432">
        <f>IF(G46&lt;G47,G47/G46-1,G46/G47-1)</f>
        <v>9.6755466683867697E-2</v>
      </c>
      <c r="H51" s="433" t="str">
        <f>IF(OR(G51&gt;=0.3,G51&lt;=-0.3),"超过30%","")</f>
        <v/>
      </c>
      <c r="I51" s="432">
        <f>IF(I46&lt;I47,I47/I46-1,I46/I47-1)</f>
        <v>5.7935790187655378E-2</v>
      </c>
      <c r="J51" s="433" t="str">
        <f>IF(OR(I51&gt;=0.3,I51&lt;=-0.3),"超过30%","")</f>
        <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0" t="s">
        <v>1796</v>
      </c>
      <c r="D52" s="434"/>
      <c r="E52" s="432">
        <f>IF(E47&lt;G47,G47/E47-1,E47/G47-1)</f>
        <v>0.30090950138682837</v>
      </c>
      <c r="F52" s="433" t="str">
        <f>IF(OR(E52&gt;=0.2,E52&lt;=-0.2),"超过20%","")</f>
        <v>超过20%</v>
      </c>
      <c r="G52" s="432">
        <f>IF(G47&lt;I47,I47/G47-1,G47/I47-1)</f>
        <v>0.14119847771399074</v>
      </c>
      <c r="H52" s="433" t="str">
        <f>IF(OR(G52&gt;=0.2,G52&lt;=-0.2),"超过20%","")</f>
        <v/>
      </c>
      <c r="I52" s="432">
        <f>IF(I47&lt;E47,E47/I47-1,I47/E47-1)</f>
        <v>0.13995026000452171</v>
      </c>
      <c r="J52" s="433" t="str">
        <f>IF(OR(I52&gt;=0.2,I52&lt;=-0.2),"超过20%","")</f>
        <v/>
      </c>
      <c r="K52" s="2496"/>
      <c r="L52" s="2492"/>
      <c r="M52" s="2484"/>
      <c r="N52" s="2484"/>
      <c r="O52" s="2484"/>
      <c r="P52" s="2484"/>
      <c r="Q52" s="2484"/>
      <c r="R52" s="2484"/>
      <c r="S52" s="2484"/>
      <c r="T52" s="2484"/>
      <c r="U52" s="2484"/>
      <c r="V52" s="2484"/>
      <c r="W52" s="2484"/>
      <c r="X52" s="2484"/>
      <c r="Y52" s="2484"/>
      <c r="Z52" s="2484"/>
      <c r="AA52" s="2484"/>
      <c r="AB52" s="2484"/>
      <c r="AC52" s="2484"/>
    </row>
    <row r="53" spans="1:29" s="435" customFormat="1" ht="13.5" customHeight="1">
      <c r="A53" s="2494"/>
      <c r="B53" s="2494"/>
      <c r="C53" s="430" t="s">
        <v>1797</v>
      </c>
      <c r="D53" s="434"/>
      <c r="E53" s="432">
        <f>IF(E46&lt;G46,G46/E46-1,E46/G46-1)</f>
        <v>0.17832147268129162</v>
      </c>
      <c r="F53" s="433" t="str">
        <f>IF(OR(E53&gt;=0.3,E53&lt;=-0.3),"超过30%","")</f>
        <v/>
      </c>
      <c r="G53" s="432">
        <f>IF(G46&lt;I46,I46/G46-1,G46/I46-1)</f>
        <v>0.10080574016350052</v>
      </c>
      <c r="H53" s="433" t="str">
        <f>IF(OR(G53&gt;=0.3,G53&lt;=-0.3),"超过30%","")</f>
        <v/>
      </c>
      <c r="I53" s="432">
        <f>IF(I46&lt;E46,E46/I46-1,I46/E46-1)</f>
        <v>7.0417267724528498E-2</v>
      </c>
      <c r="J53" s="433" t="str">
        <f>IF(OR(I53&gt;=0.3,I53&lt;=-0.3),"超过30%","")</f>
        <v/>
      </c>
      <c r="K53" s="2499"/>
      <c r="L53" s="2493"/>
      <c r="M53" s="2494"/>
      <c r="N53" s="2494"/>
      <c r="O53" s="2494"/>
      <c r="P53" s="2494"/>
      <c r="Q53" s="2494"/>
      <c r="R53" s="2494"/>
      <c r="S53" s="2494"/>
      <c r="T53" s="2494"/>
      <c r="U53" s="2494"/>
      <c r="V53" s="2494"/>
      <c r="W53" s="2494"/>
      <c r="X53" s="2494"/>
      <c r="Y53" s="2494"/>
      <c r="Z53" s="2494"/>
      <c r="AA53" s="2494"/>
      <c r="AB53" s="2494"/>
      <c r="AC53" s="2494"/>
    </row>
    <row r="54" spans="1:29" s="435" customFormat="1" ht="15" thickBot="1">
      <c r="A54" s="2494"/>
      <c r="B54" s="2497"/>
      <c r="C54" s="655"/>
      <c r="D54" s="653"/>
      <c r="E54" s="653"/>
      <c r="F54" s="653"/>
      <c r="G54" s="653"/>
      <c r="H54" s="653"/>
      <c r="I54" s="653"/>
      <c r="J54" s="653"/>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2" t="s">
        <v>1880</v>
      </c>
      <c r="B55" s="603" t="s">
        <v>1881</v>
      </c>
      <c r="C55" s="1827" t="s">
        <v>1882</v>
      </c>
      <c r="D55" s="1828" t="s">
        <v>1883</v>
      </c>
      <c r="E55" s="604" t="s">
        <v>1884</v>
      </c>
      <c r="F55" s="833" t="s">
        <v>1885</v>
      </c>
      <c r="G55" s="3378" t="s">
        <v>1886</v>
      </c>
      <c r="H55" s="3379"/>
      <c r="I55" s="125" t="s">
        <v>1887</v>
      </c>
      <c r="J55" s="1829">
        <f>项目基本情况!F35</f>
        <v>0</v>
      </c>
      <c r="K55" s="1830" t="s">
        <v>1888</v>
      </c>
      <c r="L55" s="2492"/>
      <c r="M55" s="2484"/>
      <c r="N55" s="2484"/>
      <c r="O55" s="2484"/>
      <c r="P55" s="2484"/>
      <c r="Q55" s="2484"/>
      <c r="R55" s="2484"/>
      <c r="S55" s="2484"/>
      <c r="T55" s="2484"/>
      <c r="U55" s="2484"/>
      <c r="V55" s="2484"/>
      <c r="W55" s="2484"/>
      <c r="X55" s="2484"/>
      <c r="Y55" s="2484"/>
      <c r="Z55" s="2484"/>
      <c r="AA55" s="2484"/>
      <c r="AB55" s="2484"/>
      <c r="AC55" s="2484"/>
    </row>
    <row r="56" spans="1:29" s="610" customFormat="1">
      <c r="A56" s="606" t="s">
        <v>1889</v>
      </c>
      <c r="B56" s="607">
        <f>C48</f>
        <v>17788</v>
      </c>
      <c r="C56" s="608">
        <v>1</v>
      </c>
      <c r="D56" s="886">
        <v>1</v>
      </c>
      <c r="E56" s="608">
        <f>'数据-汇总表'!E8+'数据-汇总表'!E9</f>
        <v>55618.469999999863</v>
      </c>
      <c r="F56" s="829">
        <f t="shared" ref="F56:F64" si="15">ROUND(B56*E56/10000,0)</f>
        <v>98934</v>
      </c>
      <c r="G56" s="3380"/>
      <c r="H56" s="3381"/>
      <c r="I56" s="834">
        <v>1</v>
      </c>
      <c r="J56" s="837">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0" customFormat="1">
      <c r="A57" s="611" t="s">
        <v>1890</v>
      </c>
      <c r="B57" s="208">
        <f>ROUND($C$48*C57*D57,0)</f>
        <v>2224</v>
      </c>
      <c r="C57" s="161">
        <f t="shared" ref="C57:C64" si="16">IF($C$55="北京市系数",I57,J57)</f>
        <v>0.5</v>
      </c>
      <c r="D57" s="887">
        <v>0.25</v>
      </c>
      <c r="E57" s="612">
        <f>'数据-汇总表'!G20</f>
        <v>522.33999999999992</v>
      </c>
      <c r="F57" s="829">
        <f t="shared" si="15"/>
        <v>116</v>
      </c>
      <c r="G57" s="2747" t="s">
        <v>1891</v>
      </c>
      <c r="H57" s="830" t="str">
        <f>项目基本情况!B37</f>
        <v>八级</v>
      </c>
      <c r="I57" s="834">
        <f>SUMIF(修正!A59:A70,H57,修正!B59:B70)</f>
        <v>0.5</v>
      </c>
      <c r="J57" s="838"/>
      <c r="K57" s="2484"/>
      <c r="L57" s="2543"/>
      <c r="M57" s="2543"/>
      <c r="N57" s="2543"/>
      <c r="O57" s="2543"/>
      <c r="P57" s="2543"/>
      <c r="Q57" s="2543"/>
      <c r="R57" s="2543"/>
      <c r="S57" s="2543"/>
      <c r="T57" s="2543"/>
      <c r="U57" s="2543"/>
      <c r="V57" s="2543"/>
      <c r="W57" s="2543"/>
      <c r="X57" s="2543"/>
      <c r="Y57" s="2543"/>
      <c r="Z57" s="2543"/>
      <c r="AA57" s="2543"/>
      <c r="AB57" s="2543"/>
      <c r="AC57" s="2543"/>
    </row>
    <row r="58" spans="1:29" s="610" customFormat="1">
      <c r="A58" s="611" t="s">
        <v>1892</v>
      </c>
      <c r="B58" s="208">
        <f t="shared" ref="B58:B64" si="17">ROUND($C$48*C58*D58,0)</f>
        <v>889</v>
      </c>
      <c r="C58" s="161">
        <f t="shared" si="16"/>
        <v>0.2</v>
      </c>
      <c r="D58" s="887">
        <v>0.25</v>
      </c>
      <c r="E58" s="612"/>
      <c r="F58" s="829">
        <f t="shared" si="15"/>
        <v>0</v>
      </c>
      <c r="G58" s="2748"/>
      <c r="H58" s="830" t="str">
        <f>项目基本情况!B37</f>
        <v>八级</v>
      </c>
      <c r="I58" s="834">
        <f>SUMIF(修正!A59:A70,H58,修正!C59:C70)</f>
        <v>0.2</v>
      </c>
      <c r="J58" s="838"/>
      <c r="K58" s="2494"/>
      <c r="L58" s="2543"/>
      <c r="M58" s="2543"/>
      <c r="N58" s="2543"/>
      <c r="O58" s="2543"/>
      <c r="P58" s="2543"/>
      <c r="Q58" s="2543"/>
      <c r="R58" s="2543"/>
      <c r="S58" s="2543"/>
      <c r="T58" s="2543"/>
      <c r="U58" s="2543"/>
      <c r="V58" s="2543"/>
      <c r="W58" s="2543"/>
      <c r="X58" s="2543"/>
      <c r="Y58" s="2543"/>
      <c r="Z58" s="2543"/>
      <c r="AA58" s="2543"/>
      <c r="AB58" s="2543"/>
      <c r="AC58" s="2543"/>
    </row>
    <row r="59" spans="1:29" s="610" customFormat="1">
      <c r="A59" s="611" t="s">
        <v>1893</v>
      </c>
      <c r="B59" s="208">
        <f t="shared" si="17"/>
        <v>889</v>
      </c>
      <c r="C59" s="161">
        <f t="shared" si="16"/>
        <v>0.2</v>
      </c>
      <c r="D59" s="887">
        <v>0.25</v>
      </c>
      <c r="E59" s="612"/>
      <c r="F59" s="829">
        <f t="shared" si="15"/>
        <v>0</v>
      </c>
      <c r="G59" s="2748"/>
      <c r="H59" s="830" t="str">
        <f>项目基本情况!B37</f>
        <v>八级</v>
      </c>
      <c r="I59" s="834">
        <f>SUMIF(修正!A59:A70,H59,修正!D59:D70)</f>
        <v>0.2</v>
      </c>
      <c r="J59" s="838"/>
      <c r="K59" s="2484"/>
      <c r="L59" s="2543"/>
      <c r="M59" s="2543"/>
      <c r="N59" s="2543"/>
      <c r="O59" s="2543"/>
      <c r="P59" s="2543"/>
      <c r="Q59" s="2543"/>
      <c r="R59" s="2543"/>
      <c r="S59" s="2543"/>
      <c r="T59" s="2543"/>
      <c r="U59" s="2543"/>
      <c r="V59" s="2543"/>
      <c r="W59" s="2543"/>
      <c r="X59" s="2543"/>
      <c r="Y59" s="2543"/>
      <c r="Z59" s="2543"/>
      <c r="AA59" s="2543"/>
      <c r="AB59" s="2543"/>
      <c r="AC59" s="2543"/>
    </row>
    <row r="60" spans="1:29" s="610" customFormat="1">
      <c r="A60" s="611" t="s">
        <v>1894</v>
      </c>
      <c r="B60" s="208">
        <f t="shared" si="17"/>
        <v>0</v>
      </c>
      <c r="C60" s="161">
        <f t="shared" si="16"/>
        <v>0</v>
      </c>
      <c r="D60" s="887">
        <v>0.25</v>
      </c>
      <c r="E60" s="207">
        <f>'数据-汇总表'!E11</f>
        <v>0</v>
      </c>
      <c r="F60" s="829">
        <f t="shared" si="15"/>
        <v>0</v>
      </c>
      <c r="G60" s="1831" t="s">
        <v>1895</v>
      </c>
      <c r="H60" s="830">
        <f>项目基本情况!C37</f>
        <v>0</v>
      </c>
      <c r="I60" s="834">
        <f>SUMIF(修正!A59:A70,H60,修正!E59:E70)</f>
        <v>0</v>
      </c>
      <c r="J60" s="838"/>
      <c r="K60" s="2484"/>
      <c r="L60" s="2543"/>
      <c r="M60" s="2543"/>
      <c r="N60" s="2543"/>
      <c r="O60" s="2543"/>
      <c r="P60" s="2543"/>
      <c r="Q60" s="2543"/>
      <c r="R60" s="2543"/>
      <c r="S60" s="2543"/>
      <c r="T60" s="2543"/>
      <c r="U60" s="2543"/>
      <c r="V60" s="2543"/>
      <c r="W60" s="2543"/>
      <c r="X60" s="2543"/>
      <c r="Y60" s="2543"/>
      <c r="Z60" s="2543"/>
      <c r="AA60" s="2543"/>
      <c r="AB60" s="2543"/>
      <c r="AC60" s="2543"/>
    </row>
    <row r="61" spans="1:29" s="610" customFormat="1">
      <c r="A61" s="611" t="s">
        <v>1896</v>
      </c>
      <c r="B61" s="208">
        <f t="shared" si="17"/>
        <v>889</v>
      </c>
      <c r="C61" s="161">
        <f t="shared" si="16"/>
        <v>0.2</v>
      </c>
      <c r="D61" s="887">
        <v>0.25</v>
      </c>
      <c r="E61" s="207">
        <f>'数据-汇总表'!E12</f>
        <v>2565.2700000000004</v>
      </c>
      <c r="F61" s="829">
        <f t="shared" si="15"/>
        <v>228</v>
      </c>
      <c r="G61" s="835" t="s">
        <v>3394</v>
      </c>
      <c r="H61" s="830" t="str">
        <f>IF(G61="商业",项目基本情况!B37,IF(G61="办公",项目基本情况!C37,IF(G61="住宅",项目基本情况!D37,项目基本情况!E37)))</f>
        <v>八级</v>
      </c>
      <c r="I61" s="834">
        <f>SUMIF(修正!A59:A70,H61,修正!F59:F70)</f>
        <v>0.2</v>
      </c>
      <c r="J61" s="838"/>
      <c r="K61" s="2494"/>
      <c r="L61" s="2543"/>
      <c r="M61" s="2543"/>
      <c r="N61" s="2543"/>
      <c r="O61" s="2543"/>
      <c r="P61" s="2543"/>
      <c r="Q61" s="2543"/>
      <c r="R61" s="2543"/>
      <c r="S61" s="2543"/>
      <c r="T61" s="2543"/>
      <c r="U61" s="2543"/>
      <c r="V61" s="2543"/>
      <c r="W61" s="2543"/>
      <c r="X61" s="2543"/>
      <c r="Y61" s="2543"/>
      <c r="Z61" s="2543"/>
      <c r="AA61" s="2543"/>
      <c r="AB61" s="2543"/>
      <c r="AC61" s="2543"/>
    </row>
    <row r="62" spans="1:29" s="610" customFormat="1">
      <c r="A62" s="611" t="s">
        <v>1898</v>
      </c>
      <c r="B62" s="208">
        <f t="shared" si="17"/>
        <v>445</v>
      </c>
      <c r="C62" s="161">
        <f t="shared" si="16"/>
        <v>0.1</v>
      </c>
      <c r="D62" s="887">
        <v>0.25</v>
      </c>
      <c r="E62" s="207">
        <f>'数据-汇总表'!E13</f>
        <v>15647.569999999918</v>
      </c>
      <c r="F62" s="829">
        <f t="shared" si="15"/>
        <v>696</v>
      </c>
      <c r="G62" s="835" t="s">
        <v>1899</v>
      </c>
      <c r="H62" s="830" t="str">
        <f>IF(G62="商业",项目基本情况!B37,IF(G62="办公",项目基本情况!C37,IF(G62="住宅",项目基本情况!D37,项目基本情况!E37)))</f>
        <v>八级</v>
      </c>
      <c r="I62" s="834">
        <f>SUMIF(修正!A59:A70,H62,修正!G59:G70)</f>
        <v>0.1</v>
      </c>
      <c r="J62" s="838"/>
      <c r="K62" s="2484"/>
      <c r="L62" s="2543"/>
      <c r="M62" s="2543"/>
      <c r="N62" s="2543"/>
      <c r="O62" s="2543"/>
      <c r="P62" s="2543"/>
      <c r="Q62" s="2543"/>
      <c r="R62" s="2543"/>
      <c r="S62" s="2543"/>
      <c r="T62" s="2543"/>
      <c r="U62" s="2543"/>
      <c r="V62" s="2543"/>
      <c r="W62" s="2543"/>
      <c r="X62" s="2543"/>
      <c r="Y62" s="2543"/>
      <c r="Z62" s="2543"/>
      <c r="AA62" s="2543"/>
      <c r="AB62" s="2543"/>
      <c r="AC62" s="2543"/>
    </row>
    <row r="63" spans="1:29" s="610" customFormat="1">
      <c r="A63" s="611" t="s">
        <v>1900</v>
      </c>
      <c r="B63" s="208">
        <f t="shared" si="17"/>
        <v>445</v>
      </c>
      <c r="C63" s="161">
        <f t="shared" si="16"/>
        <v>0.1</v>
      </c>
      <c r="D63" s="887">
        <v>0.25</v>
      </c>
      <c r="E63" s="207">
        <f>'数据-汇总表'!E14</f>
        <v>0</v>
      </c>
      <c r="F63" s="829">
        <f t="shared" si="15"/>
        <v>0</v>
      </c>
      <c r="G63" s="1831" t="s">
        <v>1891</v>
      </c>
      <c r="H63" s="830" t="str">
        <f>项目基本情况!B37</f>
        <v>八级</v>
      </c>
      <c r="I63" s="834">
        <f>SUMIF(修正!A59:A70,H63,修正!G59:G70)</f>
        <v>0.1</v>
      </c>
      <c r="J63" s="838"/>
      <c r="K63" s="2494"/>
      <c r="L63" s="2543"/>
      <c r="M63" s="2543"/>
      <c r="N63" s="2543"/>
      <c r="O63" s="2543"/>
      <c r="P63" s="2543"/>
      <c r="Q63" s="2543"/>
      <c r="R63" s="2543"/>
      <c r="S63" s="2543"/>
      <c r="T63" s="2543"/>
      <c r="U63" s="2543"/>
      <c r="V63" s="2543"/>
      <c r="W63" s="2543"/>
      <c r="X63" s="2543"/>
      <c r="Y63" s="2543"/>
      <c r="Z63" s="2543"/>
      <c r="AA63" s="2543"/>
      <c r="AB63" s="2543"/>
      <c r="AC63" s="2543"/>
    </row>
    <row r="64" spans="1:29" s="610" customFormat="1" ht="15" thickBot="1">
      <c r="A64" s="611" t="s">
        <v>1901</v>
      </c>
      <c r="B64" s="208">
        <f t="shared" si="17"/>
        <v>0</v>
      </c>
      <c r="C64" s="161">
        <f t="shared" si="16"/>
        <v>0</v>
      </c>
      <c r="D64" s="887">
        <v>0.25</v>
      </c>
      <c r="E64" s="207">
        <f>'数据-汇总表'!E15</f>
        <v>0</v>
      </c>
      <c r="F64" s="829">
        <f t="shared" si="15"/>
        <v>0</v>
      </c>
      <c r="G64" s="1832" t="s">
        <v>1895</v>
      </c>
      <c r="H64" s="840">
        <f>项目基本情况!C37</f>
        <v>0</v>
      </c>
      <c r="I64" s="836">
        <f>SUMIF(修正!A59:A70,H64,修正!G59:G70)</f>
        <v>0</v>
      </c>
      <c r="J64" s="839"/>
      <c r="K64" s="2484"/>
      <c r="L64" s="2543"/>
      <c r="M64" s="2543"/>
      <c r="N64" s="2543"/>
      <c r="O64" s="2543"/>
      <c r="P64" s="2543"/>
      <c r="Q64" s="2543"/>
      <c r="R64" s="2543"/>
      <c r="S64" s="2543"/>
      <c r="T64" s="2543"/>
      <c r="U64" s="2543"/>
      <c r="V64" s="2543"/>
      <c r="W64" s="2543"/>
      <c r="X64" s="2543"/>
      <c r="Y64" s="2543"/>
      <c r="Z64" s="2543"/>
      <c r="AA64" s="2543"/>
      <c r="AB64" s="2543"/>
      <c r="AC64" s="2543"/>
    </row>
    <row r="65" spans="1:29" s="610" customFormat="1" ht="13.5" thickBot="1">
      <c r="A65" s="613" t="s">
        <v>1902</v>
      </c>
      <c r="B65" s="614" t="s">
        <v>22</v>
      </c>
      <c r="C65" s="614" t="s">
        <v>23</v>
      </c>
      <c r="D65" s="614" t="s">
        <v>392</v>
      </c>
      <c r="E65" s="614">
        <f>IF(B46="楼面地价",SUM(E56:E64),'数据-汇总表'!D3)</f>
        <v>74353.649999999776</v>
      </c>
      <c r="F65" s="615">
        <f>IF(B46="楼面地价",SUM(F56:F64),ROUND(C48*E65/10000,0))</f>
        <v>99974</v>
      </c>
      <c r="G65" s="675"/>
      <c r="H65" s="675"/>
      <c r="I65" s="675"/>
      <c r="J65" s="675"/>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3"/>
      <c r="B66" s="654"/>
      <c r="C66" s="655"/>
      <c r="D66" s="383"/>
      <c r="E66" s="383"/>
      <c r="F66" s="383"/>
      <c r="G66" s="383"/>
      <c r="H66" s="383"/>
      <c r="I66" s="383"/>
      <c r="J66" s="857"/>
      <c r="K66" s="831"/>
      <c r="L66" s="832"/>
      <c r="M66" s="857"/>
      <c r="N66" s="857"/>
      <c r="O66" s="857"/>
      <c r="P66" s="2484"/>
      <c r="Q66" s="2484"/>
      <c r="R66" s="2484"/>
      <c r="S66" s="2484"/>
      <c r="T66" s="2484"/>
      <c r="U66" s="2484"/>
      <c r="V66" s="2484"/>
      <c r="W66" s="2484"/>
      <c r="X66" s="2484"/>
      <c r="Y66" s="2484"/>
      <c r="Z66" s="2484"/>
      <c r="AA66" s="2484"/>
      <c r="AB66" s="2484"/>
      <c r="AC66" s="2484"/>
    </row>
    <row r="67" spans="1:29">
      <c r="A67" s="383"/>
      <c r="B67" s="654"/>
      <c r="C67" s="654" t="str">
        <f>YEAR(C7)&amp;"-"&amp;MONTH(C7)&amp;"-1"</f>
        <v>2025-9-1</v>
      </c>
      <c r="D67" s="654">
        <f>EDATE(C67,-3)</f>
        <v>45809</v>
      </c>
      <c r="E67" s="654">
        <f>EDATE(D67,-3)</f>
        <v>45717</v>
      </c>
      <c r="F67" s="654">
        <f t="shared" ref="F67:O67" si="18">EDATE(E67,-3)</f>
        <v>45627</v>
      </c>
      <c r="G67" s="654">
        <f t="shared" si="18"/>
        <v>45536</v>
      </c>
      <c r="H67" s="654">
        <f t="shared" si="18"/>
        <v>45444</v>
      </c>
      <c r="I67" s="654">
        <f t="shared" si="18"/>
        <v>45352</v>
      </c>
      <c r="J67" s="654">
        <f t="shared" si="18"/>
        <v>45261</v>
      </c>
      <c r="K67" s="654">
        <f t="shared" si="18"/>
        <v>45170</v>
      </c>
      <c r="L67" s="654">
        <f t="shared" si="18"/>
        <v>45078</v>
      </c>
      <c r="M67" s="654">
        <f t="shared" si="18"/>
        <v>44986</v>
      </c>
      <c r="N67" s="654">
        <f t="shared" si="18"/>
        <v>44896</v>
      </c>
      <c r="O67" s="654">
        <f t="shared" si="18"/>
        <v>44805</v>
      </c>
      <c r="P67" s="2484"/>
      <c r="Q67" s="2484"/>
      <c r="R67" s="2484"/>
      <c r="S67" s="2484"/>
      <c r="T67" s="2484"/>
      <c r="U67" s="2484"/>
      <c r="V67" s="2484"/>
      <c r="W67" s="2484"/>
      <c r="X67" s="2484"/>
      <c r="Y67" s="2484"/>
      <c r="Z67" s="2484"/>
      <c r="AA67" s="2484"/>
      <c r="AB67" s="2484"/>
      <c r="AC67" s="2484"/>
    </row>
    <row r="68" spans="1:29" ht="21.75" thickBot="1">
      <c r="A68" s="656" t="s">
        <v>1798</v>
      </c>
      <c r="B68" s="383"/>
      <c r="C68" s="657"/>
      <c r="D68" s="657"/>
      <c r="E68" s="657"/>
      <c r="F68" s="658"/>
      <c r="G68" s="658"/>
      <c r="H68" s="657"/>
      <c r="I68" s="657"/>
      <c r="J68" s="882"/>
      <c r="K68" s="883"/>
      <c r="L68" s="884"/>
      <c r="M68" s="882"/>
      <c r="N68" s="2534"/>
      <c r="O68" s="2534"/>
      <c r="P68" s="2534"/>
      <c r="Q68" s="2505"/>
      <c r="R68" s="2484"/>
      <c r="S68" s="2484"/>
      <c r="T68" s="2484"/>
      <c r="U68" s="2484"/>
      <c r="V68" s="2484"/>
      <c r="W68" s="2484"/>
      <c r="X68" s="2484"/>
      <c r="Y68" s="2484"/>
      <c r="Z68" s="2484"/>
      <c r="AA68" s="2484"/>
      <c r="AB68" s="2484"/>
      <c r="AC68" s="2484"/>
    </row>
    <row r="69" spans="1:29" s="440" customFormat="1" ht="15">
      <c r="A69" s="1626" t="s">
        <v>1903</v>
      </c>
      <c r="B69" s="1042"/>
      <c r="C69" s="1097" t="str">
        <f>YEAR(C67)&amp;"-"&amp;ROUNDUP(MONTH(C67)/3,0)</f>
        <v>2025-3</v>
      </c>
      <c r="D69" s="1097" t="str">
        <f>YEAR(D67)&amp;"-"&amp;ROUNDUP(MONTH(D67)/3,0)</f>
        <v>2025-2</v>
      </c>
      <c r="E69" s="1097" t="str">
        <f t="shared" ref="E69:O69" si="19">YEAR(E67)&amp;"-"&amp;ROUNDUP(MONTH(E67)/3,0)</f>
        <v>2025-1</v>
      </c>
      <c r="F69" s="1097" t="str">
        <f t="shared" si="19"/>
        <v>2024-4</v>
      </c>
      <c r="G69" s="1097" t="str">
        <f t="shared" si="19"/>
        <v>2024-3</v>
      </c>
      <c r="H69" s="1097" t="str">
        <f t="shared" si="19"/>
        <v>2024-2</v>
      </c>
      <c r="I69" s="1097" t="str">
        <f t="shared" si="19"/>
        <v>2024-1</v>
      </c>
      <c r="J69" s="1097" t="str">
        <f t="shared" si="19"/>
        <v>2023-4</v>
      </c>
      <c r="K69" s="1097" t="str">
        <f t="shared" si="19"/>
        <v>2023-3</v>
      </c>
      <c r="L69" s="1097" t="str">
        <f t="shared" si="19"/>
        <v>2023-2</v>
      </c>
      <c r="M69" s="1097" t="str">
        <f t="shared" si="19"/>
        <v>2023-1</v>
      </c>
      <c r="N69" s="1097" t="str">
        <f t="shared" si="19"/>
        <v>2022-4</v>
      </c>
      <c r="O69" s="1097" t="str">
        <f t="shared" si="19"/>
        <v>2022-3</v>
      </c>
      <c r="P69" s="2507"/>
      <c r="Q69" s="2507"/>
      <c r="R69" s="2507"/>
      <c r="S69" s="2507"/>
      <c r="T69" s="2507"/>
      <c r="U69" s="2507"/>
      <c r="V69" s="2507"/>
      <c r="W69" s="2507"/>
      <c r="X69" s="2507"/>
      <c r="Y69" s="2507"/>
      <c r="Z69" s="2507"/>
      <c r="AA69" s="2507"/>
      <c r="AB69" s="2507"/>
      <c r="AC69" s="2507"/>
    </row>
    <row r="70" spans="1:29" s="100" customFormat="1" ht="30" customHeight="1">
      <c r="A70" s="1833" t="s">
        <v>1904</v>
      </c>
      <c r="B70" s="278" t="str">
        <f>"北京市平均增长率"&amp;TEXT(SUMIF(基准地价修正!N25:N29,A70,基准地价修正!P25:P29),"0.00%")</f>
        <v>北京市平均增长率0.00%</v>
      </c>
      <c r="C70" s="528">
        <v>100</v>
      </c>
      <c r="D70" s="3171">
        <f>ROUND('地价-分区'!AP35,2)</f>
        <v>100</v>
      </c>
      <c r="E70" s="3171">
        <f>ROUND('地价-分区'!AP36,2)</f>
        <v>99.97</v>
      </c>
      <c r="F70" s="3171">
        <f>ROUND('地价-分区'!AP37,2)</f>
        <v>100.48</v>
      </c>
      <c r="G70" s="3171">
        <f>ROUND('地价-分区'!AP38,2)</f>
        <v>101.37</v>
      </c>
      <c r="H70" s="3171">
        <f>ROUND('地价-分区'!AP39,2)</f>
        <v>104.37</v>
      </c>
      <c r="I70" s="3171">
        <f>ROUND('地价-分区'!AP40,2)</f>
        <v>103.1</v>
      </c>
      <c r="J70" s="3171">
        <f>ROUND('地价-分区'!AP41,2)</f>
        <v>103.76</v>
      </c>
      <c r="K70" s="3171">
        <f>ROUND('地价-分区'!AP42,2)</f>
        <v>103.72</v>
      </c>
      <c r="L70" s="3171">
        <f>ROUND('地价-分区'!AP43,2)</f>
        <v>103.19</v>
      </c>
      <c r="M70" s="3172">
        <f>ROUND('地价-分区'!AP44,2)</f>
        <v>102.28</v>
      </c>
      <c r="N70" s="6"/>
      <c r="O70" s="1094"/>
      <c r="P70" s="2505"/>
      <c r="Q70" s="2436"/>
      <c r="R70" s="2436"/>
      <c r="S70" s="2436"/>
      <c r="T70" s="2436"/>
      <c r="U70" s="2436"/>
      <c r="V70" s="2436"/>
      <c r="W70" s="2436"/>
      <c r="X70" s="2436"/>
      <c r="Y70" s="2436"/>
      <c r="Z70" s="2436"/>
      <c r="AA70" s="2436"/>
      <c r="AB70" s="2436"/>
      <c r="AC70" s="2436"/>
    </row>
    <row r="71" spans="1:29" s="100" customFormat="1" ht="15.75" thickBot="1">
      <c r="A71" s="447" t="s">
        <v>1716</v>
      </c>
      <c r="B71" s="448"/>
      <c r="C71" s="449"/>
      <c r="D71" s="450"/>
      <c r="E71" s="450"/>
      <c r="F71" s="450"/>
      <c r="G71" s="450"/>
      <c r="H71" s="450"/>
      <c r="I71" s="450"/>
      <c r="J71" s="450"/>
      <c r="K71" s="450"/>
      <c r="L71" s="450"/>
      <c r="M71" s="451"/>
      <c r="N71" s="450"/>
      <c r="O71" s="885"/>
      <c r="P71" s="2505"/>
      <c r="Q71" s="2505"/>
      <c r="R71" s="2436"/>
      <c r="S71" s="2436"/>
      <c r="T71" s="2436"/>
      <c r="U71" s="2436"/>
      <c r="V71" s="2436"/>
      <c r="W71" s="2436"/>
      <c r="X71" s="2436"/>
      <c r="Y71" s="2436"/>
      <c r="Z71" s="2436"/>
      <c r="AA71" s="2436"/>
      <c r="AB71" s="2436"/>
      <c r="AC71" s="2436"/>
    </row>
    <row r="72" spans="1:29" s="100" customFormat="1" ht="15">
      <c r="A72" s="453" t="s">
        <v>1681</v>
      </c>
      <c r="B72" s="442"/>
      <c r="C72" s="454" t="s">
        <v>1776</v>
      </c>
      <c r="D72" s="31"/>
      <c r="E72" s="31"/>
      <c r="F72" s="31"/>
      <c r="G72" s="31"/>
      <c r="H72" s="31"/>
      <c r="I72" s="31"/>
      <c r="J72" s="31"/>
      <c r="K72" s="31"/>
      <c r="L72" s="455"/>
      <c r="M72" s="456"/>
      <c r="N72" s="2517"/>
      <c r="O72" s="2517"/>
      <c r="P72" s="2541"/>
      <c r="Q72" s="2505"/>
      <c r="R72" s="2436"/>
      <c r="S72" s="2436"/>
      <c r="T72" s="2436"/>
      <c r="U72" s="2436"/>
      <c r="V72" s="2436"/>
      <c r="W72" s="2436"/>
      <c r="X72" s="2436"/>
      <c r="Y72" s="2436"/>
      <c r="Z72" s="2436"/>
      <c r="AA72" s="2436"/>
      <c r="AB72" s="2436"/>
      <c r="AC72" s="2436"/>
    </row>
    <row r="73" spans="1:29" s="100" customFormat="1" ht="15.75" thickBot="1">
      <c r="A73" s="453"/>
      <c r="B73" s="442"/>
      <c r="C73" s="561">
        <v>100</v>
      </c>
      <c r="D73" s="444"/>
      <c r="E73" s="444"/>
      <c r="F73" s="444"/>
      <c r="G73" s="444"/>
      <c r="H73" s="444"/>
      <c r="I73" s="444"/>
      <c r="J73" s="444"/>
      <c r="K73" s="444"/>
      <c r="L73" s="444"/>
      <c r="M73" s="446"/>
      <c r="N73" s="2517"/>
      <c r="O73" s="2517"/>
      <c r="P73" s="2505"/>
      <c r="Q73" s="2505"/>
      <c r="R73" s="2436"/>
      <c r="S73" s="2436"/>
      <c r="T73" s="2436"/>
      <c r="U73" s="2436"/>
      <c r="V73" s="2436"/>
      <c r="W73" s="2436"/>
      <c r="X73" s="2436"/>
      <c r="Y73" s="2436"/>
      <c r="Z73" s="2436"/>
      <c r="AA73" s="2436"/>
      <c r="AB73" s="2436"/>
      <c r="AC73" s="2436"/>
    </row>
    <row r="74" spans="1:29">
      <c r="A74" s="377" t="s">
        <v>1719</v>
      </c>
      <c r="B74" s="458" t="s">
        <v>1685</v>
      </c>
      <c r="C74" s="3184" t="s">
        <v>3580</v>
      </c>
      <c r="D74" s="460"/>
      <c r="E74" s="460"/>
      <c r="F74" s="460"/>
      <c r="G74" s="460"/>
      <c r="H74" s="460"/>
      <c r="I74" s="460"/>
      <c r="J74" s="460"/>
      <c r="K74" s="461"/>
      <c r="L74" s="462"/>
      <c r="M74" s="463"/>
      <c r="N74" s="2518"/>
      <c r="O74" s="2518"/>
      <c r="P74" s="2517"/>
      <c r="Q74" s="2505"/>
      <c r="R74" s="2484"/>
      <c r="S74" s="2484"/>
      <c r="T74" s="2484"/>
      <c r="U74" s="2484"/>
      <c r="V74" s="2484"/>
      <c r="W74" s="2484"/>
      <c r="X74" s="2484"/>
      <c r="Y74" s="2484"/>
      <c r="Z74" s="2484"/>
      <c r="AA74" s="2484"/>
      <c r="AB74" s="2484"/>
      <c r="AC74" s="2484"/>
    </row>
    <row r="75" spans="1:29" ht="15.75" thickBot="1">
      <c r="A75" s="365"/>
      <c r="B75" s="464"/>
      <c r="C75" s="465">
        <v>100</v>
      </c>
      <c r="D75" s="465"/>
      <c r="E75" s="465"/>
      <c r="F75" s="465"/>
      <c r="G75" s="465"/>
      <c r="H75" s="465"/>
      <c r="I75" s="465"/>
      <c r="J75" s="465"/>
      <c r="K75" s="465"/>
      <c r="L75" s="465"/>
      <c r="M75" s="466"/>
      <c r="N75" s="2519"/>
      <c r="O75" s="2519"/>
      <c r="P75" s="2517"/>
      <c r="Q75" s="2505"/>
      <c r="R75" s="2484"/>
      <c r="S75" s="2484"/>
      <c r="T75" s="2484"/>
      <c r="U75" s="2484"/>
      <c r="V75" s="2484"/>
      <c r="W75" s="2484"/>
      <c r="X75" s="2484"/>
      <c r="Y75" s="2484"/>
      <c r="Z75" s="2484"/>
      <c r="AA75" s="2484"/>
      <c r="AB75" s="2484"/>
      <c r="AC75" s="2484"/>
    </row>
    <row r="76" spans="1:29" ht="27.75" thickTop="1">
      <c r="A76" s="365"/>
      <c r="B76" s="467" t="s">
        <v>1688</v>
      </c>
      <c r="C76" s="468"/>
      <c r="D76" s="468"/>
      <c r="E76" s="468"/>
      <c r="F76" s="468"/>
      <c r="G76" s="468"/>
      <c r="H76" s="468"/>
      <c r="I76" s="468"/>
      <c r="J76" s="468"/>
      <c r="K76" s="469"/>
      <c r="L76" s="470"/>
      <c r="M76" s="471"/>
      <c r="N76" s="2518"/>
      <c r="O76" s="2518"/>
      <c r="P76" s="2517"/>
      <c r="Q76" s="2505"/>
      <c r="R76" s="2484"/>
      <c r="S76" s="2484"/>
      <c r="T76" s="2484"/>
      <c r="U76" s="2484"/>
      <c r="V76" s="2484"/>
      <c r="W76" s="2484"/>
      <c r="X76" s="2484"/>
      <c r="Y76" s="2484"/>
      <c r="Z76" s="2484"/>
      <c r="AA76" s="2484"/>
      <c r="AB76" s="2484"/>
      <c r="AC76" s="2484"/>
    </row>
    <row r="77" spans="1:29" ht="15.75" thickBot="1">
      <c r="A77" s="365"/>
      <c r="B77" s="472"/>
      <c r="C77" s="473"/>
      <c r="D77" s="473"/>
      <c r="E77" s="473"/>
      <c r="F77" s="473"/>
      <c r="G77" s="473"/>
      <c r="H77" s="473"/>
      <c r="I77" s="473"/>
      <c r="J77" s="473"/>
      <c r="K77" s="473"/>
      <c r="L77" s="473"/>
      <c r="M77" s="474"/>
      <c r="N77" s="2519"/>
      <c r="O77" s="2519"/>
      <c r="P77" s="2517"/>
      <c r="Q77" s="2505"/>
      <c r="R77" s="2484"/>
      <c r="S77" s="2484"/>
      <c r="T77" s="2484"/>
      <c r="U77" s="2484"/>
      <c r="V77" s="2484"/>
      <c r="W77" s="2484"/>
      <c r="X77" s="2484"/>
      <c r="Y77" s="2484"/>
      <c r="Z77" s="2484"/>
      <c r="AA77" s="2484"/>
      <c r="AB77" s="2484"/>
      <c r="AC77" s="2484"/>
    </row>
    <row r="78" spans="1:29" ht="15.75" thickTop="1">
      <c r="A78" s="365"/>
      <c r="B78" s="475" t="s">
        <v>1689</v>
      </c>
      <c r="C78" s="476" t="str">
        <f>C79&amp;"（含）"&amp;"-"&amp;D79</f>
        <v>1（含）-1.5</v>
      </c>
      <c r="D78" s="476" t="str">
        <f t="shared" ref="D78:L78" si="20">D79&amp;"（含）"&amp;"-"&amp;E79</f>
        <v>1.5（含）-2</v>
      </c>
      <c r="E78" s="476" t="str">
        <f t="shared" si="20"/>
        <v>2（含）-2.5</v>
      </c>
      <c r="F78" s="476" t="str">
        <f t="shared" si="20"/>
        <v>2.5（含）-3</v>
      </c>
      <c r="G78" s="476" t="str">
        <f t="shared" si="20"/>
        <v>3（含）-</v>
      </c>
      <c r="H78" s="476" t="str">
        <f t="shared" si="20"/>
        <v>（含）-</v>
      </c>
      <c r="I78" s="476" t="str">
        <f t="shared" si="20"/>
        <v>（含）-</v>
      </c>
      <c r="J78" s="476" t="str">
        <f t="shared" si="20"/>
        <v>（含）-</v>
      </c>
      <c r="K78" s="476" t="str">
        <f t="shared" si="20"/>
        <v>（含）-</v>
      </c>
      <c r="L78" s="476" t="str">
        <f t="shared" si="20"/>
        <v>（含）-</v>
      </c>
      <c r="M78" s="385"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5"/>
      <c r="B79" s="477"/>
      <c r="C79" s="478">
        <v>1</v>
      </c>
      <c r="D79" s="478">
        <v>1.5</v>
      </c>
      <c r="E79" s="478">
        <v>2</v>
      </c>
      <c r="F79" s="478">
        <v>2.5</v>
      </c>
      <c r="G79" s="478">
        <v>3</v>
      </c>
      <c r="H79" s="478"/>
      <c r="I79" s="478"/>
      <c r="J79" s="478"/>
      <c r="K79" s="479"/>
      <c r="L79" s="480"/>
      <c r="M79" s="481"/>
      <c r="N79" s="2518"/>
      <c r="O79" s="2518"/>
      <c r="P79" s="2517"/>
      <c r="Q79" s="2505"/>
      <c r="R79" s="2484"/>
      <c r="S79" s="2484"/>
      <c r="T79" s="2484"/>
      <c r="U79" s="2484"/>
      <c r="V79" s="2484"/>
      <c r="W79" s="2484"/>
      <c r="X79" s="2484"/>
      <c r="Y79" s="2484"/>
      <c r="Z79" s="2484"/>
      <c r="AA79" s="2484"/>
      <c r="AB79" s="2484"/>
      <c r="AC79" s="2484"/>
    </row>
    <row r="80" spans="1:29" ht="15.75" thickBot="1">
      <c r="A80" s="365"/>
      <c r="B80" s="464"/>
      <c r="C80" s="473">
        <v>100</v>
      </c>
      <c r="D80" s="473">
        <f t="shared" ref="D80:M80" si="21">IF($B$46="单位面积地价",C80+$K11,C80-$K11)</f>
        <v>98</v>
      </c>
      <c r="E80" s="473">
        <f t="shared" si="21"/>
        <v>96</v>
      </c>
      <c r="F80" s="473">
        <f t="shared" si="21"/>
        <v>94</v>
      </c>
      <c r="G80" s="473">
        <f t="shared" si="21"/>
        <v>92</v>
      </c>
      <c r="H80" s="473">
        <f t="shared" si="21"/>
        <v>90</v>
      </c>
      <c r="I80" s="473">
        <f t="shared" si="21"/>
        <v>88</v>
      </c>
      <c r="J80" s="473">
        <f t="shared" si="21"/>
        <v>86</v>
      </c>
      <c r="K80" s="473">
        <f t="shared" si="21"/>
        <v>84</v>
      </c>
      <c r="L80" s="473">
        <f t="shared" si="21"/>
        <v>82</v>
      </c>
      <c r="M80" s="473">
        <f t="shared" si="21"/>
        <v>80</v>
      </c>
      <c r="N80" s="2519"/>
      <c r="O80" s="2519"/>
      <c r="P80" s="2517"/>
      <c r="Q80" s="2505"/>
      <c r="R80" s="2484"/>
      <c r="S80" s="2484"/>
      <c r="T80" s="2484"/>
      <c r="U80" s="2484"/>
      <c r="V80" s="2484"/>
      <c r="W80" s="2484"/>
      <c r="X80" s="2484"/>
      <c r="Y80" s="2484"/>
      <c r="Z80" s="2484"/>
      <c r="AA80" s="2484"/>
      <c r="AB80" s="2484"/>
      <c r="AC80" s="2484"/>
    </row>
    <row r="81" spans="1:29" s="406" customFormat="1" ht="15.75" thickTop="1">
      <c r="A81" s="482"/>
      <c r="B81" s="467" t="str">
        <f>B12</f>
        <v>限价</v>
      </c>
      <c r="C81" s="483"/>
      <c r="D81" s="483"/>
      <c r="E81" s="483"/>
      <c r="F81" s="483"/>
      <c r="G81" s="483"/>
      <c r="H81" s="484"/>
      <c r="I81" s="484"/>
      <c r="J81" s="484"/>
      <c r="K81" s="484"/>
      <c r="L81" s="485"/>
      <c r="M81" s="486"/>
      <c r="N81" s="2520"/>
      <c r="O81" s="2520"/>
      <c r="P81" s="2520"/>
      <c r="Q81" s="2512"/>
      <c r="R81" s="2490"/>
      <c r="S81" s="2490"/>
      <c r="T81" s="2490"/>
      <c r="U81" s="2490"/>
      <c r="V81" s="2490"/>
      <c r="W81" s="2490"/>
      <c r="X81" s="2490"/>
      <c r="Y81" s="2490"/>
      <c r="Z81" s="2490"/>
      <c r="AA81" s="2490"/>
      <c r="AB81" s="2490"/>
      <c r="AC81" s="2490"/>
    </row>
    <row r="82" spans="1:29" s="406" customFormat="1" ht="15.75" thickBot="1">
      <c r="A82" s="482"/>
      <c r="B82" s="472"/>
      <c r="C82" s="489"/>
      <c r="D82" s="465"/>
      <c r="E82" s="465"/>
      <c r="F82" s="465"/>
      <c r="G82" s="465"/>
      <c r="H82" s="465"/>
      <c r="I82" s="465"/>
      <c r="J82" s="465"/>
      <c r="K82" s="465"/>
      <c r="L82" s="465"/>
      <c r="M82" s="466"/>
      <c r="N82" s="2519"/>
      <c r="O82" s="2519"/>
      <c r="P82" s="2520"/>
      <c r="Q82" s="2512"/>
      <c r="R82" s="2490"/>
      <c r="S82" s="2490"/>
      <c r="T82" s="2490"/>
      <c r="U82" s="2490"/>
      <c r="V82" s="2490"/>
      <c r="W82" s="2490"/>
      <c r="X82" s="2490"/>
      <c r="Y82" s="2490"/>
      <c r="Z82" s="2490"/>
      <c r="AA82" s="2490"/>
      <c r="AB82" s="2490"/>
      <c r="AC82" s="2490"/>
    </row>
    <row r="83" spans="1:29" s="406" customFormat="1" ht="15.75" thickTop="1">
      <c r="A83" s="482"/>
      <c r="B83" s="467">
        <f>B13</f>
        <v>111</v>
      </c>
      <c r="C83" s="483"/>
      <c r="D83" s="483"/>
      <c r="E83" s="483"/>
      <c r="F83" s="483"/>
      <c r="G83" s="483"/>
      <c r="H83" s="484"/>
      <c r="I83" s="484"/>
      <c r="J83" s="484"/>
      <c r="K83" s="484"/>
      <c r="L83" s="485"/>
      <c r="M83" s="486"/>
      <c r="N83" s="2520"/>
      <c r="O83" s="2520"/>
      <c r="P83" s="2490"/>
      <c r="Q83" s="2514"/>
      <c r="R83" s="2490"/>
      <c r="S83" s="2490"/>
      <c r="T83" s="2490"/>
      <c r="U83" s="2490"/>
      <c r="V83" s="2490"/>
      <c r="W83" s="2490"/>
      <c r="X83" s="2490"/>
      <c r="Y83" s="2490"/>
      <c r="Z83" s="2490"/>
      <c r="AA83" s="2490"/>
      <c r="AB83" s="2490"/>
      <c r="AC83" s="2490"/>
    </row>
    <row r="84" spans="1:29" s="406" customFormat="1" ht="15.75" thickBot="1">
      <c r="A84" s="482"/>
      <c r="B84" s="472"/>
      <c r="C84" s="489"/>
      <c r="D84" s="489"/>
      <c r="E84" s="489"/>
      <c r="F84" s="489"/>
      <c r="G84" s="489"/>
      <c r="H84" s="491"/>
      <c r="I84" s="491"/>
      <c r="J84" s="491"/>
      <c r="K84" s="491"/>
      <c r="L84" s="491"/>
      <c r="M84" s="492"/>
      <c r="N84" s="2520"/>
      <c r="O84" s="2520"/>
      <c r="P84" s="2520"/>
      <c r="Q84" s="2512"/>
      <c r="R84" s="2490"/>
      <c r="S84" s="2490"/>
      <c r="T84" s="2490"/>
      <c r="U84" s="2490"/>
      <c r="V84" s="2490"/>
      <c r="W84" s="2490"/>
      <c r="X84" s="2490"/>
      <c r="Y84" s="2490"/>
      <c r="Z84" s="2490"/>
      <c r="AA84" s="2490"/>
      <c r="AB84" s="2490"/>
      <c r="AC84" s="2490"/>
    </row>
    <row r="85" spans="1:29" s="406" customFormat="1" ht="15.75" thickTop="1">
      <c r="A85" s="482"/>
      <c r="B85" s="475">
        <f>B14</f>
        <v>111</v>
      </c>
      <c r="C85" s="31"/>
      <c r="D85" s="31"/>
      <c r="E85" s="31"/>
      <c r="F85" s="31"/>
      <c r="G85" s="31"/>
      <c r="H85" s="493"/>
      <c r="I85" s="493"/>
      <c r="J85" s="493"/>
      <c r="K85" s="493"/>
      <c r="L85" s="494"/>
      <c r="M85" s="495"/>
      <c r="N85" s="2520"/>
      <c r="O85" s="2520"/>
      <c r="P85" s="2545"/>
      <c r="Q85" s="2512"/>
      <c r="R85" s="2490"/>
      <c r="S85" s="2490"/>
      <c r="T85" s="2490"/>
      <c r="U85" s="2490"/>
      <c r="V85" s="2490"/>
      <c r="W85" s="2490"/>
      <c r="X85" s="2490"/>
      <c r="Y85" s="2490"/>
      <c r="Z85" s="2490"/>
      <c r="AA85" s="2490"/>
      <c r="AB85" s="2490"/>
      <c r="AC85" s="2490"/>
    </row>
    <row r="86" spans="1:29" s="406" customFormat="1" ht="15.75" thickBot="1">
      <c r="A86" s="497"/>
      <c r="B86" s="498"/>
      <c r="C86" s="499"/>
      <c r="D86" s="499"/>
      <c r="E86" s="499"/>
      <c r="F86" s="499"/>
      <c r="G86" s="499"/>
      <c r="H86" s="500"/>
      <c r="I86" s="500"/>
      <c r="J86" s="500"/>
      <c r="K86" s="500"/>
      <c r="L86" s="500"/>
      <c r="M86" s="501"/>
      <c r="N86" s="2520"/>
      <c r="O86" s="2520"/>
      <c r="P86" s="2520"/>
      <c r="Q86" s="2512"/>
      <c r="R86" s="2490"/>
      <c r="S86" s="2490"/>
      <c r="T86" s="2490"/>
      <c r="U86" s="2490"/>
      <c r="V86" s="2490"/>
      <c r="W86" s="2490"/>
      <c r="X86" s="2490"/>
      <c r="Y86" s="2490"/>
      <c r="Z86" s="2490"/>
      <c r="AA86" s="2490"/>
      <c r="AB86" s="2490"/>
      <c r="AC86" s="2490"/>
    </row>
    <row r="87" spans="1:29">
      <c r="A87" s="377" t="s">
        <v>1690</v>
      </c>
      <c r="B87" s="458" t="s">
        <v>1720</v>
      </c>
      <c r="C87" s="502" t="s">
        <v>1721</v>
      </c>
      <c r="D87" s="502" t="s">
        <v>1722</v>
      </c>
      <c r="E87" s="502" t="s">
        <v>1723</v>
      </c>
      <c r="F87" s="502" t="s">
        <v>1724</v>
      </c>
      <c r="G87" s="502" t="s">
        <v>1725</v>
      </c>
      <c r="H87" s="459"/>
      <c r="I87" s="459"/>
      <c r="J87" s="459"/>
      <c r="K87" s="503"/>
      <c r="L87" s="504"/>
      <c r="M87" s="505"/>
      <c r="N87" s="2518"/>
      <c r="O87" s="2518"/>
      <c r="P87" s="2542"/>
      <c r="Q87" s="2505"/>
      <c r="R87" s="2484"/>
      <c r="S87" s="2484"/>
      <c r="T87" s="2484"/>
      <c r="U87" s="2484"/>
      <c r="V87" s="2484"/>
      <c r="W87" s="2484"/>
      <c r="X87" s="2484"/>
      <c r="Y87" s="2484"/>
      <c r="Z87" s="2484"/>
      <c r="AA87" s="2484"/>
      <c r="AB87" s="2484"/>
      <c r="AC87" s="2484"/>
    </row>
    <row r="88" spans="1:29" ht="15.75" thickBot="1">
      <c r="A88" s="365"/>
      <c r="B88" s="472"/>
      <c r="C88" s="473">
        <v>100</v>
      </c>
      <c r="D88" s="473">
        <f>C88-$K15</f>
        <v>98</v>
      </c>
      <c r="E88" s="473">
        <f>D88-$K15</f>
        <v>96</v>
      </c>
      <c r="F88" s="473">
        <f>E88-$K15</f>
        <v>94</v>
      </c>
      <c r="G88" s="473">
        <f>F88-$K15</f>
        <v>92</v>
      </c>
      <c r="H88" s="473"/>
      <c r="I88" s="473"/>
      <c r="J88" s="473"/>
      <c r="K88" s="473"/>
      <c r="L88" s="473"/>
      <c r="M88" s="474"/>
      <c r="N88" s="2519"/>
      <c r="O88" s="2519"/>
      <c r="P88" s="2517"/>
      <c r="Q88" s="2505"/>
      <c r="R88" s="2484"/>
      <c r="S88" s="2484"/>
      <c r="T88" s="2484"/>
      <c r="U88" s="2484"/>
      <c r="V88" s="2484"/>
      <c r="W88" s="2484"/>
      <c r="X88" s="2484"/>
      <c r="Y88" s="2484"/>
      <c r="Z88" s="2484"/>
      <c r="AA88" s="2484"/>
      <c r="AB88" s="2484"/>
      <c r="AC88" s="2484"/>
    </row>
    <row r="89" spans="1:29" ht="15.75" thickTop="1">
      <c r="A89" s="365"/>
      <c r="B89" s="467" t="s">
        <v>1905</v>
      </c>
      <c r="C89" s="507" t="s">
        <v>1721</v>
      </c>
      <c r="D89" s="507" t="s">
        <v>1722</v>
      </c>
      <c r="E89" s="507" t="s">
        <v>1723</v>
      </c>
      <c r="F89" s="507" t="s">
        <v>1724</v>
      </c>
      <c r="G89" s="507" t="s">
        <v>1725</v>
      </c>
      <c r="H89" s="468"/>
      <c r="I89" s="468"/>
      <c r="J89" s="468"/>
      <c r="K89" s="469"/>
      <c r="L89" s="470"/>
      <c r="M89" s="471"/>
      <c r="N89" s="2518"/>
      <c r="O89" s="2518"/>
      <c r="P89" s="2517"/>
      <c r="Q89" s="2505"/>
      <c r="R89" s="2484"/>
      <c r="S89" s="2484"/>
      <c r="T89" s="2484"/>
      <c r="U89" s="2484"/>
      <c r="V89" s="2484"/>
      <c r="W89" s="2484"/>
      <c r="X89" s="2484"/>
      <c r="Y89" s="2484"/>
      <c r="Z89" s="2484"/>
      <c r="AA89" s="2484"/>
      <c r="AB89" s="2484"/>
      <c r="AC89" s="2484"/>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9"/>
      <c r="O90" s="2519"/>
      <c r="P90" s="2517"/>
      <c r="Q90" s="2505"/>
      <c r="R90" s="2484"/>
      <c r="S90" s="2484"/>
      <c r="T90" s="2484"/>
      <c r="U90" s="2484"/>
      <c r="V90" s="2484"/>
      <c r="W90" s="2484"/>
      <c r="X90" s="2484"/>
      <c r="Y90" s="2484"/>
      <c r="Z90" s="2484"/>
      <c r="AA90" s="2484"/>
      <c r="AB90" s="2484"/>
      <c r="AC90" s="2484"/>
    </row>
    <row r="91" spans="1:29" ht="15.75" thickTop="1">
      <c r="A91" s="365"/>
      <c r="B91" s="467" t="s">
        <v>1821</v>
      </c>
      <c r="C91" s="507" t="s">
        <v>1721</v>
      </c>
      <c r="D91" s="507" t="s">
        <v>1722</v>
      </c>
      <c r="E91" s="507" t="s">
        <v>1723</v>
      </c>
      <c r="F91" s="507" t="s">
        <v>1724</v>
      </c>
      <c r="G91" s="507" t="s">
        <v>1725</v>
      </c>
      <c r="H91" s="468"/>
      <c r="I91" s="468"/>
      <c r="J91" s="468"/>
      <c r="K91" s="469"/>
      <c r="L91" s="470"/>
      <c r="M91" s="471"/>
      <c r="N91" s="2518"/>
      <c r="O91" s="2518"/>
      <c r="P91" s="2517"/>
      <c r="Q91" s="2505"/>
      <c r="R91" s="2484"/>
      <c r="S91" s="2484"/>
      <c r="T91" s="2484"/>
      <c r="U91" s="2484"/>
      <c r="V91" s="2484"/>
      <c r="W91" s="2484"/>
      <c r="X91" s="2484"/>
      <c r="Y91" s="2484"/>
      <c r="Z91" s="2484"/>
      <c r="AA91" s="2484"/>
      <c r="AB91" s="2484"/>
      <c r="AC91" s="2484"/>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9"/>
      <c r="O92" s="2519"/>
      <c r="P92" s="2517"/>
      <c r="Q92" s="2505"/>
      <c r="R92" s="2484"/>
      <c r="S92" s="2484"/>
      <c r="T92" s="2484"/>
      <c r="U92" s="2484"/>
      <c r="V92" s="2484"/>
      <c r="W92" s="2484"/>
      <c r="X92" s="2484"/>
      <c r="Y92" s="2484"/>
      <c r="Z92" s="2484"/>
      <c r="AA92" s="2484"/>
      <c r="AB92" s="2484"/>
      <c r="AC92" s="2484"/>
    </row>
    <row r="93" spans="1:29" ht="15.75" thickTop="1">
      <c r="A93" s="365"/>
      <c r="B93" s="467" t="s">
        <v>1726</v>
      </c>
      <c r="C93" s="507" t="s">
        <v>1721</v>
      </c>
      <c r="D93" s="507" t="s">
        <v>1722</v>
      </c>
      <c r="E93" s="507" t="s">
        <v>1723</v>
      </c>
      <c r="F93" s="507" t="s">
        <v>1724</v>
      </c>
      <c r="G93" s="507" t="s">
        <v>1725</v>
      </c>
      <c r="H93" s="468"/>
      <c r="I93" s="468"/>
      <c r="J93" s="468"/>
      <c r="K93" s="469"/>
      <c r="L93" s="470"/>
      <c r="M93" s="471"/>
      <c r="N93" s="2518"/>
      <c r="O93" s="2518"/>
      <c r="P93" s="2517"/>
      <c r="Q93" s="2505"/>
      <c r="R93" s="2484"/>
      <c r="S93" s="2484"/>
      <c r="T93" s="2484"/>
      <c r="U93" s="2484"/>
      <c r="V93" s="2484"/>
      <c r="W93" s="2484"/>
      <c r="X93" s="2484"/>
      <c r="Y93" s="2484"/>
      <c r="Z93" s="2484"/>
      <c r="AA93" s="2484"/>
      <c r="AB93" s="2484"/>
      <c r="AC93" s="2484"/>
    </row>
    <row r="94" spans="1:29" ht="15.75" thickBot="1">
      <c r="A94" s="365"/>
      <c r="B94" s="472"/>
      <c r="C94" s="473">
        <v>100</v>
      </c>
      <c r="D94" s="473">
        <f>C94-$K21</f>
        <v>98</v>
      </c>
      <c r="E94" s="473">
        <f>D94-$K21</f>
        <v>96</v>
      </c>
      <c r="F94" s="473">
        <f>E94-$K21</f>
        <v>94</v>
      </c>
      <c r="G94" s="473">
        <f>F94-$K21</f>
        <v>92</v>
      </c>
      <c r="H94" s="473"/>
      <c r="I94" s="473"/>
      <c r="J94" s="473"/>
      <c r="K94" s="473"/>
      <c r="L94" s="473"/>
      <c r="M94" s="474"/>
      <c r="N94" s="2519"/>
      <c r="O94" s="2519"/>
      <c r="P94" s="2517"/>
      <c r="Q94" s="2505"/>
      <c r="R94" s="2484"/>
      <c r="S94" s="2484"/>
      <c r="T94" s="2484"/>
      <c r="U94" s="2484"/>
      <c r="V94" s="2484"/>
      <c r="W94" s="2484"/>
      <c r="X94" s="2484"/>
      <c r="Y94" s="2484"/>
      <c r="Z94" s="2484"/>
      <c r="AA94" s="2484"/>
      <c r="AB94" s="2484"/>
      <c r="AC94" s="2484"/>
    </row>
    <row r="95" spans="1:29" s="100" customFormat="1" ht="15.75" thickTop="1">
      <c r="A95" s="368"/>
      <c r="B95" s="467" t="s">
        <v>1906</v>
      </c>
      <c r="C95" s="507" t="s">
        <v>1721</v>
      </c>
      <c r="D95" s="507" t="s">
        <v>1722</v>
      </c>
      <c r="E95" s="507" t="s">
        <v>1723</v>
      </c>
      <c r="F95" s="507" t="s">
        <v>1724</v>
      </c>
      <c r="G95" s="507" t="s">
        <v>1725</v>
      </c>
      <c r="H95" s="507"/>
      <c r="I95" s="507"/>
      <c r="J95" s="507"/>
      <c r="K95" s="507"/>
      <c r="L95" s="616"/>
      <c r="M95" s="545"/>
      <c r="N95" s="2517"/>
      <c r="O95" s="2517"/>
      <c r="P95" s="2517"/>
      <c r="Q95" s="2505"/>
      <c r="R95" s="2436"/>
      <c r="S95" s="2436"/>
      <c r="T95" s="2436"/>
      <c r="U95" s="2436"/>
      <c r="V95" s="2436"/>
      <c r="W95" s="2436"/>
      <c r="X95" s="2436"/>
      <c r="Y95" s="2436"/>
      <c r="Z95" s="2436"/>
      <c r="AA95" s="2436"/>
      <c r="AB95" s="2436"/>
      <c r="AC95" s="2436"/>
    </row>
    <row r="96" spans="1:29" s="100" customFormat="1" ht="15.75" thickBot="1">
      <c r="A96" s="368"/>
      <c r="B96" s="472"/>
      <c r="C96" s="510">
        <v>100</v>
      </c>
      <c r="D96" s="473">
        <f>C96-$K23</f>
        <v>98</v>
      </c>
      <c r="E96" s="473">
        <f>D96-$K23</f>
        <v>96</v>
      </c>
      <c r="F96" s="473">
        <f>E96-$K23</f>
        <v>94</v>
      </c>
      <c r="G96" s="473">
        <f>F96-$K23</f>
        <v>92</v>
      </c>
      <c r="H96" s="473"/>
      <c r="I96" s="473"/>
      <c r="J96" s="473"/>
      <c r="K96" s="473"/>
      <c r="L96" s="473"/>
      <c r="M96" s="474"/>
      <c r="N96" s="2519"/>
      <c r="O96" s="2519"/>
      <c r="P96" s="2517"/>
      <c r="Q96" s="2505"/>
      <c r="R96" s="2436"/>
      <c r="S96" s="2436"/>
      <c r="T96" s="2436"/>
      <c r="U96" s="2436"/>
      <c r="V96" s="2436"/>
      <c r="W96" s="2436"/>
      <c r="X96" s="2436"/>
      <c r="Y96" s="2436"/>
      <c r="Z96" s="2436"/>
      <c r="AA96" s="2436"/>
      <c r="AB96" s="2436"/>
      <c r="AC96" s="2436"/>
    </row>
    <row r="97" spans="1:29" s="100" customFormat="1" ht="27.75" thickTop="1">
      <c r="A97" s="368"/>
      <c r="B97" s="467" t="s">
        <v>1907</v>
      </c>
      <c r="C97" s="502" t="s">
        <v>1721</v>
      </c>
      <c r="D97" s="502" t="s">
        <v>1722</v>
      </c>
      <c r="E97" s="502" t="s">
        <v>1723</v>
      </c>
      <c r="F97" s="502" t="s">
        <v>1724</v>
      </c>
      <c r="G97" s="502" t="s">
        <v>1725</v>
      </c>
      <c r="H97" s="507"/>
      <c r="I97" s="507"/>
      <c r="J97" s="507"/>
      <c r="K97" s="507"/>
      <c r="L97" s="507"/>
      <c r="M97" s="545"/>
      <c r="N97" s="2517"/>
      <c r="O97" s="2517"/>
      <c r="P97" s="2517"/>
      <c r="Q97" s="2505"/>
      <c r="R97" s="2436"/>
      <c r="S97" s="2436"/>
      <c r="T97" s="2436"/>
      <c r="U97" s="2436"/>
      <c r="V97" s="2436"/>
      <c r="W97" s="2436"/>
      <c r="X97" s="2436"/>
      <c r="Y97" s="2436"/>
      <c r="Z97" s="2436"/>
      <c r="AA97" s="2436"/>
      <c r="AB97" s="2436"/>
      <c r="AC97" s="2436"/>
    </row>
    <row r="98" spans="1:29" s="100" customFormat="1" ht="15.75" thickBot="1">
      <c r="A98" s="368"/>
      <c r="B98" s="472"/>
      <c r="C98" s="473">
        <v>100</v>
      </c>
      <c r="D98" s="473">
        <f>C98-$K25</f>
        <v>98</v>
      </c>
      <c r="E98" s="473">
        <f>D98-$K25</f>
        <v>96</v>
      </c>
      <c r="F98" s="473">
        <f>E98-$K25</f>
        <v>94</v>
      </c>
      <c r="G98" s="473">
        <f>F98-$K25</f>
        <v>92</v>
      </c>
      <c r="H98" s="473"/>
      <c r="I98" s="473"/>
      <c r="J98" s="473"/>
      <c r="K98" s="473"/>
      <c r="L98" s="473"/>
      <c r="M98" s="474"/>
      <c r="N98" s="2519"/>
      <c r="O98" s="2519"/>
      <c r="P98" s="2517"/>
      <c r="Q98" s="2505"/>
      <c r="R98" s="2436"/>
      <c r="S98" s="2436"/>
      <c r="T98" s="2436"/>
      <c r="U98" s="2436"/>
      <c r="V98" s="2436"/>
      <c r="W98" s="2436"/>
      <c r="X98" s="2436"/>
      <c r="Y98" s="2436"/>
      <c r="Z98" s="2436"/>
      <c r="AA98" s="2436"/>
      <c r="AB98" s="2436"/>
      <c r="AC98" s="2436"/>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20"/>
      <c r="O99" s="2520"/>
      <c r="P99" s="2520"/>
      <c r="Q99" s="2512"/>
      <c r="R99" s="2490"/>
      <c r="S99" s="2490"/>
      <c r="T99" s="2490"/>
      <c r="U99" s="2490"/>
      <c r="V99" s="2490"/>
      <c r="W99" s="2490"/>
      <c r="X99" s="2490"/>
      <c r="Y99" s="2490"/>
      <c r="Z99" s="2490"/>
      <c r="AA99" s="2490"/>
      <c r="AB99" s="2490"/>
      <c r="AC99" s="2490"/>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20"/>
      <c r="O100" s="2520"/>
      <c r="P100" s="2520"/>
      <c r="Q100" s="2512"/>
      <c r="R100" s="2490"/>
      <c r="S100" s="2490"/>
      <c r="T100" s="2490"/>
      <c r="U100" s="2490"/>
      <c r="V100" s="2490"/>
      <c r="W100" s="2490"/>
      <c r="X100" s="2490"/>
      <c r="Y100" s="2490"/>
      <c r="Z100" s="2490"/>
      <c r="AA100" s="2490"/>
      <c r="AB100" s="2490"/>
      <c r="AC100" s="2490"/>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1"/>
      <c r="N101" s="2520"/>
      <c r="O101" s="2520"/>
      <c r="P101" s="2520"/>
      <c r="Q101" s="2512"/>
      <c r="R101" s="2490"/>
      <c r="S101" s="2490"/>
      <c r="T101" s="2490"/>
      <c r="U101" s="2490"/>
      <c r="V101" s="2490"/>
      <c r="W101" s="2490"/>
      <c r="X101" s="2490"/>
      <c r="Y101" s="2490"/>
      <c r="Z101" s="2490"/>
      <c r="AA101" s="2490"/>
      <c r="AB101" s="2490"/>
      <c r="AC101" s="2490"/>
    </row>
    <row r="102" spans="1:29" s="406" customFormat="1" ht="15.75" thickBot="1">
      <c r="A102" s="482"/>
      <c r="B102" s="475"/>
      <c r="C102" s="473">
        <v>100</v>
      </c>
      <c r="D102" s="473">
        <f>C102-$K29</f>
        <v>98</v>
      </c>
      <c r="E102" s="473">
        <f>D102-$K29</f>
        <v>96</v>
      </c>
      <c r="F102" s="473">
        <f>E102-$K29</f>
        <v>94</v>
      </c>
      <c r="G102" s="473">
        <f>F102-$K29</f>
        <v>92</v>
      </c>
      <c r="H102" s="477"/>
      <c r="I102" s="477"/>
      <c r="J102" s="477"/>
      <c r="K102" s="477"/>
      <c r="L102" s="477"/>
      <c r="M102" s="1061"/>
      <c r="N102" s="2520"/>
      <c r="O102" s="2520"/>
      <c r="P102" s="2520"/>
      <c r="Q102" s="2512"/>
      <c r="R102" s="2490"/>
      <c r="S102" s="2490"/>
      <c r="T102" s="2490"/>
      <c r="U102" s="2490"/>
      <c r="V102" s="2490"/>
      <c r="W102" s="2490"/>
      <c r="X102" s="2490"/>
      <c r="Y102" s="2490"/>
      <c r="Z102" s="2490"/>
      <c r="AA102" s="2490"/>
      <c r="AB102" s="2490"/>
      <c r="AC102" s="2490"/>
    </row>
    <row r="103" spans="1:29" ht="15.75" thickTop="1">
      <c r="A103" s="365"/>
      <c r="B103" s="467" t="str">
        <f>B31</f>
        <v>临街状况</v>
      </c>
      <c r="C103" s="468" t="s">
        <v>1908</v>
      </c>
      <c r="D103" s="468" t="s">
        <v>1909</v>
      </c>
      <c r="E103" s="468" t="s">
        <v>1910</v>
      </c>
      <c r="F103" s="468" t="s">
        <v>1911</v>
      </c>
      <c r="G103" s="468"/>
      <c r="H103" s="468"/>
      <c r="I103" s="468"/>
      <c r="J103" s="468"/>
      <c r="K103" s="469"/>
      <c r="L103" s="470"/>
      <c r="M103" s="471"/>
      <c r="N103" s="2518"/>
      <c r="O103" s="2518"/>
      <c r="P103" s="2517"/>
      <c r="Q103" s="2505"/>
      <c r="R103" s="2484"/>
      <c r="S103" s="2484"/>
      <c r="T103" s="2484"/>
      <c r="U103" s="2484"/>
      <c r="V103" s="2484"/>
      <c r="W103" s="2484"/>
      <c r="X103" s="2484"/>
      <c r="Y103" s="2484"/>
      <c r="Z103" s="2484"/>
      <c r="AA103" s="2484"/>
      <c r="AB103" s="2484"/>
      <c r="AC103" s="2484"/>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5"/>
      <c r="B105" s="467" t="s">
        <v>1815</v>
      </c>
      <c r="C105" s="483"/>
      <c r="D105" s="483"/>
      <c r="E105" s="483"/>
      <c r="F105" s="483"/>
      <c r="G105" s="483"/>
      <c r="H105" s="511"/>
      <c r="I105" s="511"/>
      <c r="J105" s="511"/>
      <c r="K105" s="512"/>
      <c r="L105" s="513"/>
      <c r="M105" s="514"/>
      <c r="N105" s="2518"/>
      <c r="O105" s="2518"/>
      <c r="P105" s="2517"/>
      <c r="Q105" s="2505"/>
      <c r="R105" s="2484"/>
      <c r="S105" s="2484"/>
      <c r="T105" s="2484"/>
      <c r="U105" s="2484"/>
      <c r="V105" s="2484"/>
      <c r="W105" s="2484"/>
      <c r="X105" s="2484"/>
      <c r="Y105" s="2484"/>
      <c r="Z105" s="2484"/>
      <c r="AA105" s="2484"/>
      <c r="AB105" s="2484"/>
      <c r="AC105" s="2484"/>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5"/>
      <c r="B107" s="467" t="s">
        <v>1872</v>
      </c>
      <c r="C107" s="511"/>
      <c r="D107" s="511"/>
      <c r="E107" s="511"/>
      <c r="F107" s="511"/>
      <c r="G107" s="511"/>
      <c r="H107" s="511"/>
      <c r="I107" s="511"/>
      <c r="J107" s="511"/>
      <c r="K107" s="512"/>
      <c r="L107" s="513"/>
      <c r="M107" s="514"/>
      <c r="N107" s="2518"/>
      <c r="O107" s="2518"/>
      <c r="P107" s="2517"/>
      <c r="Q107" s="2505"/>
      <c r="R107" s="2484"/>
      <c r="S107" s="2484"/>
      <c r="T107" s="2484"/>
      <c r="U107" s="2484"/>
      <c r="V107" s="2484"/>
      <c r="W107" s="2484"/>
      <c r="X107" s="2484"/>
      <c r="Y107" s="2484"/>
      <c r="Z107" s="2484"/>
      <c r="AA107" s="2484"/>
      <c r="AB107" s="2484"/>
      <c r="AC107" s="2484"/>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5"/>
      <c r="B109" s="475">
        <f>B35</f>
        <v>111</v>
      </c>
      <c r="C109" s="483"/>
      <c r="D109" s="483"/>
      <c r="E109" s="483"/>
      <c r="F109" s="483"/>
      <c r="G109" s="515"/>
      <c r="H109" s="515"/>
      <c r="I109" s="515"/>
      <c r="J109" s="515"/>
      <c r="K109" s="516"/>
      <c r="L109" s="517"/>
      <c r="M109" s="518"/>
      <c r="N109" s="2518"/>
      <c r="O109" s="2518"/>
      <c r="P109" s="2517"/>
      <c r="Q109" s="2505"/>
      <c r="R109" s="2484"/>
      <c r="S109" s="2484"/>
      <c r="T109" s="2484"/>
      <c r="U109" s="2484"/>
      <c r="V109" s="2484"/>
      <c r="W109" s="2484"/>
      <c r="X109" s="2484"/>
      <c r="Y109" s="2484"/>
      <c r="Z109" s="2484"/>
      <c r="AA109" s="2484"/>
      <c r="AB109" s="2484"/>
      <c r="AC109" s="2484"/>
    </row>
    <row r="110" spans="1:29" ht="15.75" thickBot="1">
      <c r="A110" s="365"/>
      <c r="B110" s="498"/>
      <c r="C110" s="489"/>
      <c r="D110" s="489"/>
      <c r="E110" s="489"/>
      <c r="F110" s="489"/>
      <c r="G110" s="519"/>
      <c r="H110" s="519"/>
      <c r="I110" s="519"/>
      <c r="J110" s="519"/>
      <c r="K110" s="519"/>
      <c r="L110" s="519"/>
      <c r="M110" s="520"/>
      <c r="N110" s="2519"/>
      <c r="O110" s="2519"/>
      <c r="P110" s="2517"/>
      <c r="Q110" s="2505"/>
      <c r="R110" s="2484"/>
      <c r="S110" s="2484"/>
      <c r="T110" s="2484"/>
      <c r="U110" s="2484"/>
      <c r="V110" s="2484"/>
      <c r="W110" s="2484"/>
      <c r="X110" s="2484"/>
      <c r="Y110" s="2484"/>
      <c r="Z110" s="2484"/>
      <c r="AA110" s="2484"/>
      <c r="AB110" s="2484"/>
      <c r="AC110" s="2484"/>
    </row>
    <row r="111" spans="1:29" ht="15" thickTop="1">
      <c r="A111" s="593"/>
      <c r="B111" s="467">
        <f>B36</f>
        <v>111</v>
      </c>
      <c r="C111" s="31"/>
      <c r="D111" s="31"/>
      <c r="E111" s="31"/>
      <c r="F111" s="31"/>
      <c r="G111" s="511"/>
      <c r="H111" s="511"/>
      <c r="I111" s="511"/>
      <c r="J111" s="511"/>
      <c r="K111" s="512"/>
      <c r="L111" s="513"/>
      <c r="M111" s="514"/>
      <c r="N111" s="2518"/>
      <c r="O111" s="2518"/>
      <c r="P111" s="2517"/>
      <c r="Q111" s="2505"/>
      <c r="R111" s="2484"/>
      <c r="S111" s="2484"/>
      <c r="T111" s="2484"/>
      <c r="U111" s="2484"/>
      <c r="V111" s="2484"/>
      <c r="W111" s="2484"/>
      <c r="X111" s="2484"/>
      <c r="Y111" s="2484"/>
      <c r="Z111" s="2484"/>
      <c r="AA111" s="2484"/>
      <c r="AB111" s="2484"/>
      <c r="AC111" s="2484"/>
    </row>
    <row r="112" spans="1:29" ht="15.75" thickBot="1">
      <c r="A112" s="365"/>
      <c r="B112" s="472"/>
      <c r="C112" s="499"/>
      <c r="D112" s="499"/>
      <c r="E112" s="499"/>
      <c r="F112" s="499"/>
      <c r="G112" s="465"/>
      <c r="H112" s="465"/>
      <c r="I112" s="465"/>
      <c r="J112" s="465"/>
      <c r="K112" s="465"/>
      <c r="L112" s="465"/>
      <c r="M112" s="466"/>
      <c r="N112" s="2519"/>
      <c r="O112" s="2519"/>
      <c r="P112" s="2517"/>
      <c r="Q112" s="2505"/>
      <c r="R112" s="2484"/>
      <c r="S112" s="2484"/>
      <c r="T112" s="2484"/>
      <c r="U112" s="2484"/>
      <c r="V112" s="2484"/>
      <c r="W112" s="2484"/>
      <c r="X112" s="2484"/>
      <c r="Y112" s="2484"/>
      <c r="Z112" s="2484"/>
      <c r="AA112" s="2484"/>
      <c r="AB112" s="2484"/>
      <c r="AC112" s="2484"/>
    </row>
    <row r="113" spans="1:29" s="406" customFormat="1" ht="15" thickTop="1">
      <c r="A113" s="404"/>
      <c r="B113" s="521">
        <f>B37</f>
        <v>111</v>
      </c>
      <c r="C113" s="6"/>
      <c r="D113" s="6"/>
      <c r="E113" s="6"/>
      <c r="F113" s="6"/>
      <c r="G113" s="6"/>
      <c r="H113" s="6"/>
      <c r="I113" s="6"/>
      <c r="J113" s="522"/>
      <c r="K113" s="522"/>
      <c r="L113" s="523"/>
      <c r="M113" s="524"/>
      <c r="N113" s="2520"/>
      <c r="O113" s="2520"/>
      <c r="P113" s="2520"/>
      <c r="Q113" s="2512"/>
      <c r="R113" s="2490"/>
      <c r="S113" s="2490"/>
      <c r="T113" s="2490"/>
      <c r="U113" s="2490"/>
      <c r="V113" s="2490"/>
      <c r="W113" s="2490"/>
      <c r="X113" s="2490"/>
      <c r="Y113" s="2490"/>
      <c r="Z113" s="2490"/>
      <c r="AA113" s="2490"/>
      <c r="AB113" s="2490"/>
      <c r="AC113" s="2490"/>
    </row>
    <row r="114" spans="1:29" s="406" customFormat="1" ht="15.75" thickBot="1">
      <c r="A114" s="482"/>
      <c r="B114" s="475"/>
      <c r="C114" s="444"/>
      <c r="D114" s="595"/>
      <c r="E114" s="595"/>
      <c r="F114" s="595"/>
      <c r="G114" s="595"/>
      <c r="H114" s="595"/>
      <c r="I114" s="595"/>
      <c r="J114" s="595"/>
      <c r="K114" s="595"/>
      <c r="L114" s="595"/>
      <c r="M114" s="617"/>
      <c r="N114" s="2519"/>
      <c r="O114" s="2519"/>
      <c r="P114" s="2520"/>
      <c r="Q114" s="2512"/>
      <c r="R114" s="2490"/>
      <c r="S114" s="2490"/>
      <c r="T114" s="2490"/>
      <c r="U114" s="2490"/>
      <c r="V114" s="2490"/>
      <c r="W114" s="2490"/>
      <c r="X114" s="2490"/>
      <c r="Y114" s="2490"/>
      <c r="Z114" s="2490"/>
      <c r="AA114" s="2490"/>
      <c r="AB114" s="2490"/>
      <c r="AC114" s="2490"/>
    </row>
    <row r="115" spans="1:29" ht="28.5">
      <c r="A115" s="377" t="s">
        <v>1694</v>
      </c>
      <c r="B115" s="458" t="s">
        <v>1912</v>
      </c>
      <c r="C115" s="459" t="str">
        <f>C116&amp;"(含)"&amp;"-"&amp;D116</f>
        <v>0(含)-20000</v>
      </c>
      <c r="D115" s="459" t="str">
        <f t="shared" ref="D115:M115" si="25">D116&amp;"(含)"&amp;"-"&amp;E116</f>
        <v>20000(含)-50000</v>
      </c>
      <c r="E115" s="459" t="str">
        <f t="shared" si="25"/>
        <v>50000(含)-100000</v>
      </c>
      <c r="F115" s="459" t="str">
        <f t="shared" si="25"/>
        <v>100000(含)-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5"/>
      <c r="B116" s="475"/>
      <c r="C116" s="6">
        <v>0</v>
      </c>
      <c r="D116" s="6">
        <v>20000</v>
      </c>
      <c r="E116" s="6">
        <v>50000</v>
      </c>
      <c r="F116" s="6">
        <v>100000</v>
      </c>
      <c r="G116" s="6"/>
      <c r="H116" s="6"/>
      <c r="I116" s="6"/>
      <c r="J116" s="522"/>
      <c r="K116" s="522"/>
      <c r="L116" s="523"/>
      <c r="M116" s="524"/>
      <c r="N116" s="2518"/>
      <c r="O116" s="2518"/>
      <c r="P116" s="2517"/>
      <c r="Q116" s="2505"/>
      <c r="R116" s="2484"/>
      <c r="S116" s="2484"/>
      <c r="T116" s="2484"/>
      <c r="U116" s="2484"/>
      <c r="V116" s="2484"/>
      <c r="W116" s="2484"/>
      <c r="X116" s="2484"/>
      <c r="Y116" s="2484"/>
      <c r="Z116" s="2484"/>
      <c r="AA116" s="2484"/>
      <c r="AB116" s="2484"/>
      <c r="AC116" s="2484"/>
    </row>
    <row r="117" spans="1:29" ht="15.75" thickBot="1">
      <c r="A117" s="365"/>
      <c r="B117" s="472"/>
      <c r="C117" s="499">
        <v>100</v>
      </c>
      <c r="D117" s="519">
        <v>101</v>
      </c>
      <c r="E117" s="519">
        <v>102</v>
      </c>
      <c r="F117" s="519">
        <v>103</v>
      </c>
      <c r="G117" s="519"/>
      <c r="H117" s="519"/>
      <c r="I117" s="519"/>
      <c r="J117" s="519"/>
      <c r="K117" s="519"/>
      <c r="L117" s="519"/>
      <c r="M117" s="520"/>
      <c r="N117" s="2519"/>
      <c r="O117" s="2519"/>
      <c r="P117" s="2517"/>
      <c r="Q117" s="2505"/>
      <c r="R117" s="2484"/>
      <c r="S117" s="2484"/>
      <c r="T117" s="2484"/>
      <c r="U117" s="2484"/>
      <c r="V117" s="2484"/>
      <c r="W117" s="2484"/>
      <c r="X117" s="2484"/>
      <c r="Y117" s="2484"/>
      <c r="Z117" s="2484"/>
      <c r="AA117" s="2484"/>
      <c r="AB117" s="2484"/>
      <c r="AC117" s="2484"/>
    </row>
    <row r="118" spans="1:29" ht="15" thickTop="1">
      <c r="A118" s="407"/>
      <c r="B118" s="467" t="s">
        <v>1913</v>
      </c>
      <c r="C118" s="3185" t="s">
        <v>3647</v>
      </c>
      <c r="D118" s="3185" t="s">
        <v>3649</v>
      </c>
      <c r="E118" s="3185" t="s">
        <v>3650</v>
      </c>
      <c r="F118" s="3185" t="s">
        <v>3651</v>
      </c>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row>
    <row r="119" spans="1:29" ht="15.75" thickBot="1">
      <c r="A119" s="365"/>
      <c r="B119" s="472"/>
      <c r="C119" s="473">
        <v>100</v>
      </c>
      <c r="D119" s="473">
        <f t="shared" ref="D119:M119" si="26">C119-$K39</f>
        <v>98</v>
      </c>
      <c r="E119" s="473">
        <f t="shared" si="26"/>
        <v>96</v>
      </c>
      <c r="F119" s="473">
        <f t="shared" si="26"/>
        <v>94</v>
      </c>
      <c r="G119" s="473">
        <f t="shared" si="26"/>
        <v>92</v>
      </c>
      <c r="H119" s="473">
        <f t="shared" si="26"/>
        <v>90</v>
      </c>
      <c r="I119" s="473">
        <f t="shared" si="26"/>
        <v>88</v>
      </c>
      <c r="J119" s="473">
        <f t="shared" si="26"/>
        <v>86</v>
      </c>
      <c r="K119" s="473">
        <f t="shared" si="26"/>
        <v>84</v>
      </c>
      <c r="L119" s="473">
        <f t="shared" si="26"/>
        <v>82</v>
      </c>
      <c r="M119" s="474">
        <f t="shared" si="26"/>
        <v>80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7"/>
      <c r="B120" s="467" t="s">
        <v>1914</v>
      </c>
      <c r="C120" s="3186" t="s">
        <v>3657</v>
      </c>
      <c r="D120" s="483"/>
      <c r="E120" s="483"/>
      <c r="F120" s="511"/>
      <c r="G120" s="511"/>
      <c r="H120" s="511"/>
      <c r="I120" s="511"/>
      <c r="J120" s="511"/>
      <c r="K120" s="512"/>
      <c r="L120" s="513"/>
      <c r="M120" s="514"/>
      <c r="N120" s="2518"/>
      <c r="O120" s="2518"/>
      <c r="P120" s="2517"/>
      <c r="Q120" s="2505"/>
      <c r="R120" s="2484"/>
      <c r="S120" s="2484"/>
      <c r="T120" s="2484"/>
      <c r="U120" s="2484"/>
      <c r="V120" s="2484"/>
      <c r="W120" s="2484"/>
      <c r="X120" s="2484"/>
      <c r="Y120" s="2484"/>
      <c r="Z120" s="2484"/>
      <c r="AA120" s="2484"/>
      <c r="AB120" s="2484"/>
      <c r="AC120" s="2484"/>
    </row>
    <row r="121" spans="1:29" ht="15.75" thickBot="1">
      <c r="A121" s="365"/>
      <c r="B121" s="472"/>
      <c r="C121" s="473">
        <v>100</v>
      </c>
      <c r="D121" s="473">
        <f t="shared" ref="D121:M121" si="27">C121-$K40</f>
        <v>98</v>
      </c>
      <c r="E121" s="473">
        <f t="shared" si="27"/>
        <v>96</v>
      </c>
      <c r="F121" s="473">
        <f t="shared" si="27"/>
        <v>94</v>
      </c>
      <c r="G121" s="473">
        <f t="shared" si="27"/>
        <v>92</v>
      </c>
      <c r="H121" s="473">
        <f t="shared" si="27"/>
        <v>90</v>
      </c>
      <c r="I121" s="473">
        <f t="shared" si="27"/>
        <v>88</v>
      </c>
      <c r="J121" s="473">
        <f t="shared" si="27"/>
        <v>86</v>
      </c>
      <c r="K121" s="473">
        <f t="shared" si="27"/>
        <v>84</v>
      </c>
      <c r="L121" s="473">
        <f t="shared" si="27"/>
        <v>82</v>
      </c>
      <c r="M121" s="474">
        <f t="shared" si="27"/>
        <v>80</v>
      </c>
      <c r="N121" s="2519"/>
      <c r="O121" s="2519"/>
      <c r="P121" s="2517"/>
      <c r="Q121" s="2505"/>
      <c r="R121" s="2484"/>
      <c r="S121" s="2484"/>
      <c r="T121" s="2484"/>
      <c r="U121" s="2484"/>
      <c r="V121" s="2484"/>
      <c r="W121" s="2484"/>
      <c r="X121" s="2484"/>
      <c r="Y121" s="2484"/>
      <c r="Z121" s="2484"/>
      <c r="AA121" s="2484"/>
      <c r="AB121" s="2484"/>
      <c r="AC121" s="2484"/>
    </row>
    <row r="122" spans="1:29" s="406" customFormat="1" ht="15" thickTop="1">
      <c r="A122" s="404"/>
      <c r="B122" s="467" t="s">
        <v>1915</v>
      </c>
      <c r="C122" s="3186" t="s">
        <v>3585</v>
      </c>
      <c r="D122" s="3186" t="s">
        <v>3652</v>
      </c>
      <c r="E122" s="3186" t="s">
        <v>3654</v>
      </c>
      <c r="F122" s="3186" t="s">
        <v>3655</v>
      </c>
      <c r="G122" s="3186" t="s">
        <v>3656</v>
      </c>
      <c r="H122" s="511"/>
      <c r="I122" s="511"/>
      <c r="J122" s="511"/>
      <c r="K122" s="512"/>
      <c r="L122" s="513"/>
      <c r="M122" s="514"/>
      <c r="N122" s="2520"/>
      <c r="O122" s="2520"/>
      <c r="P122" s="2520"/>
      <c r="Q122" s="2512"/>
      <c r="R122" s="2490"/>
      <c r="S122" s="2490"/>
      <c r="T122" s="2490"/>
      <c r="U122" s="2490"/>
      <c r="V122" s="2490"/>
      <c r="W122" s="2490"/>
      <c r="X122" s="2490"/>
      <c r="Y122" s="2490"/>
      <c r="Z122" s="2490"/>
      <c r="AA122" s="2490"/>
      <c r="AB122" s="2490"/>
      <c r="AC122" s="2490"/>
    </row>
    <row r="123" spans="1:29" s="406" customFormat="1" ht="15.75" thickBot="1">
      <c r="A123" s="482"/>
      <c r="B123" s="472"/>
      <c r="C123" s="473">
        <v>100</v>
      </c>
      <c r="D123" s="473">
        <f t="shared" ref="D123:M123" si="28">C123-$K41</f>
        <v>98</v>
      </c>
      <c r="E123" s="473">
        <f t="shared" si="28"/>
        <v>96</v>
      </c>
      <c r="F123" s="473">
        <f t="shared" si="28"/>
        <v>94</v>
      </c>
      <c r="G123" s="473">
        <f t="shared" si="28"/>
        <v>92</v>
      </c>
      <c r="H123" s="473">
        <f t="shared" si="28"/>
        <v>90</v>
      </c>
      <c r="I123" s="473">
        <f t="shared" si="28"/>
        <v>88</v>
      </c>
      <c r="J123" s="473">
        <f t="shared" si="28"/>
        <v>86</v>
      </c>
      <c r="K123" s="473">
        <f t="shared" si="28"/>
        <v>84</v>
      </c>
      <c r="L123" s="473">
        <f t="shared" si="28"/>
        <v>82</v>
      </c>
      <c r="M123" s="474">
        <f t="shared" si="28"/>
        <v>80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7"/>
      <c r="B124" s="467" t="s">
        <v>1916</v>
      </c>
      <c r="C124" s="3186" t="s">
        <v>3657</v>
      </c>
      <c r="D124" s="483"/>
      <c r="E124" s="511"/>
      <c r="F124" s="511"/>
      <c r="G124" s="511"/>
      <c r="H124" s="511"/>
      <c r="I124" s="511"/>
      <c r="J124" s="511"/>
      <c r="K124" s="512"/>
      <c r="L124" s="513"/>
      <c r="M124" s="514"/>
      <c r="N124" s="2518"/>
      <c r="O124" s="2518"/>
      <c r="P124" s="2517"/>
      <c r="Q124" s="2505"/>
      <c r="R124" s="2484"/>
      <c r="S124" s="2484"/>
      <c r="T124" s="2484"/>
      <c r="U124" s="2484"/>
      <c r="V124" s="2484"/>
      <c r="W124" s="2484"/>
      <c r="X124" s="2484"/>
      <c r="Y124" s="2484"/>
      <c r="Z124" s="2484"/>
      <c r="AA124" s="2484"/>
      <c r="AB124" s="2484"/>
      <c r="AC124" s="2484"/>
    </row>
    <row r="125" spans="1:29" ht="15.75" thickBot="1">
      <c r="A125" s="365"/>
      <c r="B125" s="472"/>
      <c r="C125" s="473">
        <v>100</v>
      </c>
      <c r="D125" s="473">
        <f t="shared" ref="D125:M125" si="29">C125-$K42</f>
        <v>98</v>
      </c>
      <c r="E125" s="473">
        <f t="shared" si="29"/>
        <v>96</v>
      </c>
      <c r="F125" s="473">
        <f t="shared" si="29"/>
        <v>94</v>
      </c>
      <c r="G125" s="473">
        <f t="shared" si="29"/>
        <v>92</v>
      </c>
      <c r="H125" s="473">
        <f t="shared" si="29"/>
        <v>90</v>
      </c>
      <c r="I125" s="473">
        <f t="shared" si="29"/>
        <v>88</v>
      </c>
      <c r="J125" s="473">
        <f t="shared" si="29"/>
        <v>86</v>
      </c>
      <c r="K125" s="473">
        <f t="shared" si="29"/>
        <v>84</v>
      </c>
      <c r="L125" s="473">
        <f t="shared" si="29"/>
        <v>82</v>
      </c>
      <c r="M125" s="474">
        <f t="shared" si="29"/>
        <v>80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7"/>
      <c r="B126" s="467">
        <f>B43</f>
        <v>111</v>
      </c>
      <c r="C126" s="483"/>
      <c r="D126" s="483"/>
      <c r="E126" s="483"/>
      <c r="F126" s="483"/>
      <c r="G126" s="483"/>
      <c r="H126" s="511"/>
      <c r="I126" s="511"/>
      <c r="J126" s="511"/>
      <c r="K126" s="512"/>
      <c r="L126" s="513"/>
      <c r="M126" s="514"/>
      <c r="N126" s="2518"/>
      <c r="O126" s="2518"/>
      <c r="P126" s="2517"/>
      <c r="Q126" s="2505"/>
      <c r="R126" s="2484"/>
      <c r="S126" s="2484"/>
      <c r="T126" s="2484"/>
      <c r="U126" s="2484"/>
      <c r="V126" s="2484"/>
      <c r="W126" s="2484"/>
      <c r="X126" s="2484"/>
      <c r="Y126" s="2484"/>
      <c r="Z126" s="2484"/>
      <c r="AA126" s="2484"/>
      <c r="AB126" s="2484"/>
      <c r="AC126" s="2484"/>
    </row>
    <row r="127" spans="1:29" ht="15.75" thickBot="1">
      <c r="A127" s="365"/>
      <c r="B127" s="472"/>
      <c r="C127" s="489"/>
      <c r="D127" s="489"/>
      <c r="E127" s="489"/>
      <c r="F127" s="489"/>
      <c r="G127" s="465"/>
      <c r="H127" s="465"/>
      <c r="I127" s="465"/>
      <c r="J127" s="465"/>
      <c r="K127" s="465"/>
      <c r="L127" s="465"/>
      <c r="M127" s="466"/>
      <c r="N127" s="2519"/>
      <c r="O127" s="2519"/>
      <c r="P127" s="2517"/>
      <c r="Q127" s="2505"/>
      <c r="R127" s="2484"/>
      <c r="S127" s="2484"/>
      <c r="T127" s="2484"/>
      <c r="U127" s="2484"/>
      <c r="V127" s="2484"/>
      <c r="W127" s="2484"/>
      <c r="X127" s="2484"/>
      <c r="Y127" s="2484"/>
      <c r="Z127" s="2484"/>
      <c r="AA127" s="2484"/>
      <c r="AB127" s="2484"/>
      <c r="AC127" s="2484"/>
    </row>
    <row r="128" spans="1:29" ht="15" thickTop="1">
      <c r="A128" s="407"/>
      <c r="B128" s="467">
        <f>B44</f>
        <v>111</v>
      </c>
      <c r="C128" s="31"/>
      <c r="D128" s="31"/>
      <c r="E128" s="31"/>
      <c r="F128" s="31"/>
      <c r="G128" s="511"/>
      <c r="H128" s="511"/>
      <c r="I128" s="511"/>
      <c r="J128" s="511"/>
      <c r="K128" s="512"/>
      <c r="L128" s="513"/>
      <c r="M128" s="514"/>
      <c r="N128" s="2518"/>
      <c r="O128" s="2518"/>
      <c r="P128" s="2517"/>
      <c r="Q128" s="2505"/>
      <c r="R128" s="2484"/>
      <c r="S128" s="2484"/>
      <c r="T128" s="2484"/>
      <c r="U128" s="2484"/>
      <c r="V128" s="2484"/>
      <c r="W128" s="2484"/>
      <c r="X128" s="2484"/>
      <c r="Y128" s="2484"/>
      <c r="Z128" s="2484"/>
      <c r="AA128" s="2484"/>
      <c r="AB128" s="2484"/>
      <c r="AC128" s="2484"/>
    </row>
    <row r="129" spans="1:29" ht="15.75" thickBot="1">
      <c r="A129" s="365"/>
      <c r="B129" s="472"/>
      <c r="C129" s="499"/>
      <c r="D129" s="499"/>
      <c r="E129" s="499"/>
      <c r="F129" s="499"/>
      <c r="G129" s="465"/>
      <c r="H129" s="465"/>
      <c r="I129" s="465"/>
      <c r="J129" s="465"/>
      <c r="K129" s="465"/>
      <c r="L129" s="465"/>
      <c r="M129" s="466"/>
      <c r="N129" s="2519"/>
      <c r="O129" s="2519"/>
      <c r="P129" s="2517"/>
      <c r="Q129" s="2505"/>
      <c r="R129" s="2484"/>
      <c r="S129" s="2484"/>
      <c r="T129" s="2484"/>
      <c r="U129" s="2484"/>
      <c r="V129" s="2484"/>
      <c r="W129" s="2484"/>
      <c r="X129" s="2484"/>
      <c r="Y129" s="2484"/>
      <c r="Z129" s="2484"/>
      <c r="AA129" s="2484"/>
      <c r="AB129" s="2484"/>
      <c r="AC129" s="2484"/>
    </row>
    <row r="130" spans="1:29" s="406" customFormat="1" ht="15" thickTop="1">
      <c r="A130" s="404"/>
      <c r="B130" s="467">
        <f>B45</f>
        <v>111</v>
      </c>
      <c r="C130" s="31"/>
      <c r="D130" s="31"/>
      <c r="E130" s="31"/>
      <c r="F130" s="31"/>
      <c r="G130" s="484"/>
      <c r="H130" s="484"/>
      <c r="I130" s="484"/>
      <c r="J130" s="484"/>
      <c r="K130" s="484"/>
      <c r="L130" s="485"/>
      <c r="M130" s="486"/>
      <c r="N130" s="2520"/>
      <c r="O130" s="2520"/>
      <c r="P130" s="2520"/>
      <c r="Q130" s="2512"/>
      <c r="R130" s="2490"/>
      <c r="S130" s="2490"/>
      <c r="T130" s="2490"/>
      <c r="U130" s="2490"/>
      <c r="V130" s="2490"/>
      <c r="W130" s="2490"/>
      <c r="X130" s="2490"/>
      <c r="Y130" s="2490"/>
      <c r="Z130" s="2490"/>
      <c r="AA130" s="2490"/>
      <c r="AB130" s="2490"/>
      <c r="AC130" s="2490"/>
    </row>
    <row r="131" spans="1:29" s="406" customFormat="1" ht="15.75" thickBot="1">
      <c r="A131" s="497"/>
      <c r="B131" s="618"/>
      <c r="C131" s="499"/>
      <c r="D131" s="499"/>
      <c r="E131" s="499"/>
      <c r="F131" s="499"/>
      <c r="G131" s="519"/>
      <c r="H131" s="519"/>
      <c r="I131" s="519"/>
      <c r="J131" s="519"/>
      <c r="K131" s="519"/>
      <c r="L131" s="519"/>
      <c r="M131" s="520"/>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6B853-9A6B-45E3-A3EA-C40049438E8E}">
  <dimension ref="BE1:BY9"/>
  <sheetViews>
    <sheetView topLeftCell="BA1" zoomScaleNormal="100" workbookViewId="0">
      <selection activeCell="BH35" sqref="BH35"/>
    </sheetView>
  </sheetViews>
  <sheetFormatPr defaultRowHeight="13.5"/>
  <cols>
    <col min="57" max="57" width="35.125" customWidth="1"/>
    <col min="58" max="58" width="6.375" bestFit="1" customWidth="1"/>
    <col min="59" max="59" width="22" bestFit="1" customWidth="1"/>
    <col min="61" max="62" width="9.125" bestFit="1" customWidth="1"/>
    <col min="63" max="63" width="17.5" customWidth="1"/>
    <col min="64" max="64" width="0" hidden="1" customWidth="1"/>
    <col min="67" max="67" width="10.25" hidden="1" customWidth="1"/>
    <col min="68" max="68" width="10.25" bestFit="1" customWidth="1"/>
    <col min="71" max="72" width="9.125" hidden="1" customWidth="1"/>
    <col min="73" max="73" width="16.125" hidden="1" customWidth="1"/>
    <col min="74" max="76" width="9.125" bestFit="1" customWidth="1"/>
  </cols>
  <sheetData>
    <row r="1" spans="57:77">
      <c r="BE1" s="3175" t="s">
        <v>3586</v>
      </c>
      <c r="BF1" s="3175" t="s">
        <v>3587</v>
      </c>
      <c r="BG1" s="3175" t="s">
        <v>3588</v>
      </c>
      <c r="BH1" s="3175" t="s">
        <v>3589</v>
      </c>
      <c r="BI1" s="3175" t="s">
        <v>3590</v>
      </c>
      <c r="BJ1" s="3175" t="s">
        <v>3591</v>
      </c>
      <c r="BK1" s="3175" t="s">
        <v>3592</v>
      </c>
      <c r="BL1" s="3175" t="s">
        <v>3593</v>
      </c>
      <c r="BM1" s="3175" t="s">
        <v>3594</v>
      </c>
      <c r="BN1" s="3175" t="s">
        <v>3595</v>
      </c>
      <c r="BO1" s="3175" t="s">
        <v>3596</v>
      </c>
      <c r="BP1" s="3175" t="s">
        <v>3597</v>
      </c>
      <c r="BQ1" s="3175" t="s">
        <v>3598</v>
      </c>
      <c r="BR1" s="3175" t="s">
        <v>3599</v>
      </c>
      <c r="BS1" s="3175" t="s">
        <v>3600</v>
      </c>
      <c r="BT1" s="3175" t="s">
        <v>3601</v>
      </c>
      <c r="BU1" s="3175" t="s">
        <v>3602</v>
      </c>
      <c r="BV1" s="3175" t="s">
        <v>3603</v>
      </c>
      <c r="BW1" s="3175" t="s">
        <v>3604</v>
      </c>
      <c r="BX1" s="3175" t="s">
        <v>3605</v>
      </c>
    </row>
    <row r="2" spans="57:77">
      <c r="BE2" s="3176" t="s">
        <v>3606</v>
      </c>
      <c r="BF2" s="3176" t="s">
        <v>3409</v>
      </c>
      <c r="BG2" s="3176" t="s">
        <v>3607</v>
      </c>
      <c r="BH2" s="3176" t="s">
        <v>3608</v>
      </c>
      <c r="BI2" s="3176">
        <v>48345.71</v>
      </c>
      <c r="BJ2" s="3176">
        <v>90571.42</v>
      </c>
      <c r="BK2" s="3176" t="s">
        <v>3609</v>
      </c>
      <c r="BL2" s="3176" t="s">
        <v>3610</v>
      </c>
      <c r="BM2" s="3176" t="s">
        <v>3611</v>
      </c>
      <c r="BN2" s="3176"/>
      <c r="BO2" s="3177">
        <v>45505</v>
      </c>
      <c r="BP2" s="3177">
        <v>45505</v>
      </c>
      <c r="BQ2" s="3176" t="s">
        <v>3612</v>
      </c>
      <c r="BR2" s="3176" t="s">
        <v>3613</v>
      </c>
      <c r="BS2" s="3176">
        <v>164400</v>
      </c>
      <c r="BT2" s="3176">
        <v>32900</v>
      </c>
      <c r="BU2" s="3178">
        <v>45505.625</v>
      </c>
      <c r="BV2" s="3176">
        <v>164400</v>
      </c>
      <c r="BW2" s="3176">
        <v>18151</v>
      </c>
      <c r="BX2" s="3176">
        <v>0</v>
      </c>
    </row>
    <row r="3" spans="57:77">
      <c r="BE3" s="3181" t="s">
        <v>3614</v>
      </c>
      <c r="BF3" s="3181" t="s">
        <v>3409</v>
      </c>
      <c r="BG3" s="3181" t="s">
        <v>3615</v>
      </c>
      <c r="BH3" s="3181" t="s">
        <v>3616</v>
      </c>
      <c r="BI3" s="3181">
        <v>34786</v>
      </c>
      <c r="BJ3" s="3181">
        <v>84979</v>
      </c>
      <c r="BK3" s="3181" t="s">
        <v>3617</v>
      </c>
      <c r="BL3" s="3181" t="s">
        <v>3610</v>
      </c>
      <c r="BM3" s="3181" t="s">
        <v>3618</v>
      </c>
      <c r="BN3" s="3181"/>
      <c r="BO3" s="3182">
        <v>45412</v>
      </c>
      <c r="BP3" s="3182">
        <v>45412</v>
      </c>
      <c r="BQ3" s="3181" t="s">
        <v>3612</v>
      </c>
      <c r="BR3" s="3181" t="s">
        <v>3619</v>
      </c>
      <c r="BS3" s="3181">
        <v>160300</v>
      </c>
      <c r="BT3" s="3181">
        <v>33000</v>
      </c>
      <c r="BU3" s="3183">
        <v>45411.625</v>
      </c>
      <c r="BV3" s="3181">
        <v>160300</v>
      </c>
      <c r="BW3" s="3181">
        <v>18863</v>
      </c>
      <c r="BX3" s="3181">
        <v>0</v>
      </c>
      <c r="BY3">
        <f>BJ3/BI3</f>
        <v>2.4429080664635197</v>
      </c>
    </row>
    <row r="4" spans="57:77">
      <c r="BE4" s="3181" t="s">
        <v>3620</v>
      </c>
      <c r="BF4" s="3181" t="s">
        <v>3409</v>
      </c>
      <c r="BG4" s="3181" t="s">
        <v>3621</v>
      </c>
      <c r="BH4" s="3181" t="s">
        <v>3616</v>
      </c>
      <c r="BI4" s="3181">
        <v>91852.45</v>
      </c>
      <c r="BJ4" s="3181">
        <v>138184.41</v>
      </c>
      <c r="BK4" s="3181" t="s">
        <v>3622</v>
      </c>
      <c r="BL4" s="3181" t="s">
        <v>3610</v>
      </c>
      <c r="BM4" s="3181" t="s">
        <v>3611</v>
      </c>
      <c r="BN4" s="3181"/>
      <c r="BO4" s="3182">
        <v>45295</v>
      </c>
      <c r="BP4" s="3182">
        <v>45295</v>
      </c>
      <c r="BQ4" s="3181" t="s">
        <v>3612</v>
      </c>
      <c r="BR4" s="3181" t="s">
        <v>3623</v>
      </c>
      <c r="BS4" s="3181">
        <v>228000</v>
      </c>
      <c r="BT4" s="3181">
        <v>46000</v>
      </c>
      <c r="BU4" s="3183">
        <v>45294.708333333336</v>
      </c>
      <c r="BV4" s="3181">
        <v>228000</v>
      </c>
      <c r="BW4" s="3181">
        <v>16500</v>
      </c>
      <c r="BX4" s="3181">
        <v>0</v>
      </c>
      <c r="BY4">
        <f>BJ4/BI4</f>
        <v>1.5044172474441346</v>
      </c>
    </row>
    <row r="5" spans="57:77">
      <c r="BE5" s="3181" t="s">
        <v>3624</v>
      </c>
      <c r="BF5" s="3181" t="s">
        <v>3409</v>
      </c>
      <c r="BG5" s="3181" t="s">
        <v>3625</v>
      </c>
      <c r="BH5" s="3181" t="s">
        <v>3608</v>
      </c>
      <c r="BI5" s="3181">
        <v>34067.89</v>
      </c>
      <c r="BJ5" s="3181">
        <v>64113.760000000002</v>
      </c>
      <c r="BK5" s="3181" t="s">
        <v>3626</v>
      </c>
      <c r="BL5" s="3181" t="s">
        <v>3610</v>
      </c>
      <c r="BM5" s="3181" t="s">
        <v>3627</v>
      </c>
      <c r="BN5" s="3181"/>
      <c r="BO5" s="3182">
        <v>45280</v>
      </c>
      <c r="BP5" s="3182">
        <v>45280</v>
      </c>
      <c r="BQ5" s="3181" t="s">
        <v>3612</v>
      </c>
      <c r="BR5" s="3181" t="s">
        <v>3623</v>
      </c>
      <c r="BS5" s="3181">
        <v>120000</v>
      </c>
      <c r="BT5" s="3181">
        <v>24000</v>
      </c>
      <c r="BU5" s="3183">
        <v>45280.625</v>
      </c>
      <c r="BV5" s="3181">
        <v>120000</v>
      </c>
      <c r="BW5" s="3181">
        <v>18717</v>
      </c>
      <c r="BX5" s="3181">
        <v>0</v>
      </c>
      <c r="BY5">
        <f>BJ5/BI5</f>
        <v>1.8819410301019524</v>
      </c>
    </row>
    <row r="6" spans="57:77">
      <c r="BE6" s="3175" t="s">
        <v>3628</v>
      </c>
      <c r="BF6" s="3175" t="s">
        <v>3409</v>
      </c>
      <c r="BG6" s="3175" t="s">
        <v>3629</v>
      </c>
      <c r="BH6" s="3175" t="s">
        <v>3616</v>
      </c>
      <c r="BI6" s="3175">
        <v>46884.93</v>
      </c>
      <c r="BJ6" s="3175">
        <v>89859.67</v>
      </c>
      <c r="BK6" s="3175" t="s">
        <v>3630</v>
      </c>
      <c r="BL6" s="3175" t="s">
        <v>3610</v>
      </c>
      <c r="BM6" s="3175" t="s">
        <v>3631</v>
      </c>
      <c r="BN6" s="3175"/>
      <c r="BO6" s="3179">
        <v>45209</v>
      </c>
      <c r="BP6" s="3179">
        <v>45209</v>
      </c>
      <c r="BQ6" s="3175" t="s">
        <v>3612</v>
      </c>
      <c r="BR6" s="3175" t="s">
        <v>3632</v>
      </c>
      <c r="BS6" s="3175">
        <v>137000</v>
      </c>
      <c r="BT6" s="3175">
        <v>28000</v>
      </c>
      <c r="BU6" s="3180">
        <v>45203.625</v>
      </c>
      <c r="BV6" s="3175">
        <v>151000</v>
      </c>
      <c r="BW6" s="3175">
        <v>16804</v>
      </c>
      <c r="BX6" s="3175">
        <v>10.220000000000001</v>
      </c>
    </row>
    <row r="7" spans="57:77">
      <c r="BE7" s="3175" t="s">
        <v>3633</v>
      </c>
      <c r="BF7" s="3175" t="s">
        <v>3409</v>
      </c>
      <c r="BG7" s="3175" t="s">
        <v>3634</v>
      </c>
      <c r="BH7" s="3175" t="s">
        <v>3608</v>
      </c>
      <c r="BI7" s="3175">
        <v>69837.09</v>
      </c>
      <c r="BJ7" s="3175">
        <v>104756</v>
      </c>
      <c r="BK7" s="3175">
        <v>1.5</v>
      </c>
      <c r="BL7" s="3175" t="s">
        <v>3610</v>
      </c>
      <c r="BM7" s="3175" t="s">
        <v>3635</v>
      </c>
      <c r="BN7" s="3175"/>
      <c r="BO7" s="3179">
        <v>45195</v>
      </c>
      <c r="BP7" s="3179">
        <v>45195</v>
      </c>
      <c r="BQ7" s="3175" t="s">
        <v>3612</v>
      </c>
      <c r="BR7" s="3175" t="s">
        <v>3636</v>
      </c>
      <c r="BS7" s="3175">
        <v>120000</v>
      </c>
      <c r="BT7" s="3175">
        <v>24000</v>
      </c>
      <c r="BU7" s="3175"/>
      <c r="BV7" s="3175">
        <v>120000</v>
      </c>
      <c r="BW7" s="3175">
        <v>11455</v>
      </c>
      <c r="BX7" s="3175">
        <v>0</v>
      </c>
    </row>
    <row r="8" spans="57:77">
      <c r="BE8" s="3175" t="s">
        <v>3637</v>
      </c>
      <c r="BF8" s="3175" t="s">
        <v>3409</v>
      </c>
      <c r="BG8" s="3175" t="s">
        <v>3638</v>
      </c>
      <c r="BH8" s="3175" t="s">
        <v>3608</v>
      </c>
      <c r="BI8" s="3175">
        <v>31558.240000000002</v>
      </c>
      <c r="BJ8" s="3175">
        <v>88363.07</v>
      </c>
      <c r="BK8" s="3175" t="s">
        <v>3639</v>
      </c>
      <c r="BL8" s="3175" t="s">
        <v>3610</v>
      </c>
      <c r="BM8" s="3175" t="s">
        <v>3635</v>
      </c>
      <c r="BN8" s="3175"/>
      <c r="BO8" s="3179">
        <v>45107</v>
      </c>
      <c r="BP8" s="3179">
        <v>45107</v>
      </c>
      <c r="BQ8" s="3175" t="s">
        <v>3612</v>
      </c>
      <c r="BR8" s="3175" t="s">
        <v>3640</v>
      </c>
      <c r="BS8" s="3175">
        <v>88100</v>
      </c>
      <c r="BT8" s="3175">
        <v>18000</v>
      </c>
      <c r="BU8" s="3180">
        <v>45106.708333333336</v>
      </c>
      <c r="BV8" s="3175">
        <v>88100</v>
      </c>
      <c r="BW8" s="3175">
        <v>9970</v>
      </c>
      <c r="BX8" s="3175">
        <v>0</v>
      </c>
    </row>
    <row r="9" spans="57:77">
      <c r="BE9" s="3175" t="s">
        <v>3641</v>
      </c>
      <c r="BF9" s="3175" t="s">
        <v>3409</v>
      </c>
      <c r="BG9" s="3175" t="s">
        <v>3642</v>
      </c>
      <c r="BH9" s="3175" t="s">
        <v>3608</v>
      </c>
      <c r="BI9" s="3175">
        <v>31231.38</v>
      </c>
      <c r="BJ9" s="3175">
        <v>78078.45</v>
      </c>
      <c r="BK9" s="3175">
        <v>2.5</v>
      </c>
      <c r="BL9" s="3175" t="s">
        <v>3610</v>
      </c>
      <c r="BM9" s="3175" t="s">
        <v>3627</v>
      </c>
      <c r="BN9" s="3175" t="s">
        <v>3643</v>
      </c>
      <c r="BO9" s="3179">
        <v>44964</v>
      </c>
      <c r="BP9" s="3179">
        <v>44964</v>
      </c>
      <c r="BQ9" s="3175" t="s">
        <v>3612</v>
      </c>
      <c r="BR9" s="3175" t="s">
        <v>3644</v>
      </c>
      <c r="BS9" s="3175">
        <v>172000</v>
      </c>
      <c r="BT9" s="3175">
        <v>35000</v>
      </c>
      <c r="BU9" s="3180">
        <v>44963.708333333336</v>
      </c>
      <c r="BV9" s="3175">
        <v>172000</v>
      </c>
      <c r="BW9" s="3175">
        <v>22029</v>
      </c>
      <c r="BX9" s="3175">
        <v>0</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C13"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4">
        <f>基准地价修正!G23</f>
        <v>45924</v>
      </c>
      <c r="B1" s="2926" t="s">
        <v>3366</v>
      </c>
      <c r="C1" s="2927"/>
      <c r="D1" s="2927"/>
      <c r="E1" s="2927"/>
      <c r="F1" s="2927"/>
      <c r="G1" s="2927"/>
      <c r="H1" s="2927"/>
      <c r="I1" s="2927"/>
      <c r="J1" s="2893"/>
      <c r="K1" s="2927" t="s">
        <v>454</v>
      </c>
      <c r="L1" s="2927"/>
      <c r="M1" s="2927"/>
      <c r="N1" s="2927"/>
      <c r="O1" s="2927"/>
      <c r="P1" s="2927"/>
      <c r="Q1" s="2893"/>
      <c r="R1" s="3417" t="s">
        <v>456</v>
      </c>
      <c r="S1" s="3418"/>
      <c r="T1" s="3418"/>
      <c r="U1" s="3418"/>
      <c r="V1" s="3418"/>
      <c r="W1" s="3418"/>
      <c r="X1" s="2893"/>
      <c r="Y1" s="3417" t="s">
        <v>457</v>
      </c>
      <c r="Z1" s="3418"/>
      <c r="AA1" s="3418"/>
      <c r="AB1" s="3418"/>
      <c r="AC1" s="3418"/>
      <c r="AD1" s="3418"/>
    </row>
    <row r="2" spans="1:44" s="2006" customFormat="1" ht="14.25" thickBot="1">
      <c r="B2" s="2878"/>
      <c r="C2" s="2879"/>
      <c r="D2" s="2007" t="s">
        <v>2800</v>
      </c>
      <c r="E2" s="2008" t="s">
        <v>2801</v>
      </c>
      <c r="F2" s="2008" t="s">
        <v>2802</v>
      </c>
      <c r="G2" s="2008" t="s">
        <v>2803</v>
      </c>
      <c r="H2" s="2008" t="s">
        <v>2804</v>
      </c>
      <c r="I2" s="2008" t="s">
        <v>2621</v>
      </c>
      <c r="J2" s="2880"/>
      <c r="K2" s="2007" t="s">
        <v>2800</v>
      </c>
      <c r="L2" s="2008" t="s">
        <v>2801</v>
      </c>
      <c r="M2" s="2008" t="s">
        <v>2802</v>
      </c>
      <c r="N2" s="2008" t="s">
        <v>2803</v>
      </c>
      <c r="O2" s="2008" t="s">
        <v>2805</v>
      </c>
      <c r="P2" s="2008" t="s">
        <v>2621</v>
      </c>
      <c r="Q2" s="2880"/>
      <c r="R2" s="2007" t="s">
        <v>2800</v>
      </c>
      <c r="S2" s="2008" t="s">
        <v>2801</v>
      </c>
      <c r="T2" s="2008" t="s">
        <v>2802</v>
      </c>
      <c r="U2" s="2008" t="s">
        <v>2806</v>
      </c>
      <c r="V2" s="2008" t="s">
        <v>2807</v>
      </c>
      <c r="W2" s="2008" t="s">
        <v>2621</v>
      </c>
      <c r="X2" s="2880"/>
      <c r="Y2" s="2007" t="s">
        <v>2800</v>
      </c>
      <c r="Z2" s="2008" t="s">
        <v>2801</v>
      </c>
      <c r="AA2" s="2008" t="s">
        <v>2802</v>
      </c>
      <c r="AB2" s="2008" t="s">
        <v>2808</v>
      </c>
      <c r="AC2" s="2008" t="s">
        <v>2807</v>
      </c>
      <c r="AD2" s="2008" t="s">
        <v>2621</v>
      </c>
      <c r="AF2" t="s">
        <v>3393</v>
      </c>
      <c r="AG2" t="s">
        <v>673</v>
      </c>
      <c r="AH2" t="s">
        <v>21</v>
      </c>
      <c r="AI2" t="s">
        <v>3394</v>
      </c>
      <c r="AJ2" t="s">
        <v>3</v>
      </c>
      <c r="AK2" t="s">
        <v>3395</v>
      </c>
      <c r="AM2" t="s">
        <v>3393</v>
      </c>
      <c r="AN2" t="s">
        <v>673</v>
      </c>
      <c r="AO2" t="s">
        <v>21</v>
      </c>
      <c r="AP2" t="s">
        <v>3394</v>
      </c>
      <c r="AQ2" t="s">
        <v>3</v>
      </c>
      <c r="AR2" t="s">
        <v>3395</v>
      </c>
    </row>
    <row r="3" spans="1:44" s="2883" customFormat="1" ht="12.75">
      <c r="A3" s="2881" t="s">
        <v>2809</v>
      </c>
      <c r="B3" s="2882"/>
      <c r="D3" s="2883">
        <f>ROUND(AVERAGEIF(D4:D24,"&lt;&gt;0"),2)</f>
        <v>0.37</v>
      </c>
      <c r="E3" s="2883">
        <f t="shared" ref="E3:H3" si="0">ROUND(AVERAGEIF(E4:E24,"&lt;&gt;0"),2)</f>
        <v>0.16</v>
      </c>
      <c r="F3" s="2883">
        <f t="shared" si="0"/>
        <v>-0.12</v>
      </c>
      <c r="G3" s="2883">
        <f t="shared" si="0"/>
        <v>0.44</v>
      </c>
      <c r="H3" s="2883">
        <f t="shared" si="0"/>
        <v>0.5</v>
      </c>
      <c r="I3" s="2883">
        <f>F3</f>
        <v>-0.12</v>
      </c>
      <c r="J3" s="2884"/>
      <c r="K3" s="2885">
        <f>ROUND(AVERAGEIF(K4:K24,"&lt;&gt;0"),4)</f>
        <v>3.7000000000000002E-3</v>
      </c>
      <c r="L3" s="2886">
        <f t="shared" ref="L3:O3" si="1">ROUND(AVERAGEIF(L4:L24,"&lt;&gt;0"),4)</f>
        <v>1.6000000000000001E-3</v>
      </c>
      <c r="M3" s="2886">
        <f t="shared" si="1"/>
        <v>-1.1999999999999999E-3</v>
      </c>
      <c r="N3" s="2886">
        <f t="shared" si="1"/>
        <v>4.4000000000000003E-3</v>
      </c>
      <c r="O3" s="2886">
        <f t="shared" si="1"/>
        <v>5.0000000000000001E-3</v>
      </c>
      <c r="P3" s="2886">
        <f>M3</f>
        <v>-1.1999999999999999E-3</v>
      </c>
      <c r="Q3" s="2884"/>
      <c r="R3" s="2887">
        <f>ROUND(SUMPRODUCT(PRODUCT(1+K4:K24)),4)</f>
        <v>1.0680000000000001</v>
      </c>
      <c r="S3" s="2888">
        <f t="shared" ref="S3:V3" si="2">ROUND(SUMPRODUCT(PRODUCT(1+L4:L24)),4)</f>
        <v>1.0290999999999999</v>
      </c>
      <c r="T3" s="2888">
        <f t="shared" si="2"/>
        <v>0.97850000000000004</v>
      </c>
      <c r="U3" s="2888">
        <f t="shared" si="2"/>
        <v>1.0807</v>
      </c>
      <c r="V3" s="2888">
        <f t="shared" si="2"/>
        <v>1.093</v>
      </c>
      <c r="W3" s="2887">
        <f>T3</f>
        <v>0.97850000000000004</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5" customFormat="1" ht="12.75">
      <c r="B4" s="2021"/>
      <c r="J4" s="2893"/>
      <c r="K4" s="2894"/>
      <c r="L4" s="2895"/>
      <c r="M4" s="2895"/>
      <c r="N4" s="2895"/>
      <c r="O4" s="2895"/>
      <c r="P4" s="2895"/>
      <c r="Q4" s="2893"/>
      <c r="R4" s="2023"/>
      <c r="S4" s="2896"/>
      <c r="T4" s="2897"/>
      <c r="U4" s="2023"/>
      <c r="V4" s="2898"/>
      <c r="W4" s="2023"/>
      <c r="X4" s="2893"/>
      <c r="Y4" s="2024"/>
      <c r="Z4" s="2899"/>
      <c r="AA4" s="2900"/>
      <c r="AB4" s="2024"/>
      <c r="AC4" s="2901"/>
      <c r="AD4" s="2024"/>
    </row>
    <row r="5" spans="1:44" s="2041" customFormat="1">
      <c r="A5" s="2036" t="s">
        <v>3392</v>
      </c>
      <c r="B5" s="2027">
        <v>2025</v>
      </c>
      <c r="C5" s="2038">
        <v>4</v>
      </c>
      <c r="D5" s="2003">
        <v>0</v>
      </c>
      <c r="E5" s="2003">
        <v>0</v>
      </c>
      <c r="F5" s="2003">
        <v>0</v>
      </c>
      <c r="G5" s="2003">
        <v>0</v>
      </c>
      <c r="H5" s="2003">
        <v>0</v>
      </c>
      <c r="I5" s="2004">
        <f t="shared" ref="I5" si="4">F5</f>
        <v>0</v>
      </c>
      <c r="J5" s="2903"/>
      <c r="K5" s="2039">
        <f t="shared" ref="K5" si="5">D5/100</f>
        <v>0</v>
      </c>
      <c r="L5" s="2024">
        <f t="shared" ref="L5" si="6">E5/100</f>
        <v>0</v>
      </c>
      <c r="M5" s="2024">
        <f t="shared" ref="M5" si="7">F5/100</f>
        <v>0</v>
      </c>
      <c r="N5" s="2024">
        <f t="shared" ref="N5" si="8">G5/100</f>
        <v>0</v>
      </c>
      <c r="O5" s="2024">
        <f t="shared" ref="O5" si="9">H5/100</f>
        <v>0</v>
      </c>
      <c r="P5" s="2024">
        <f t="shared" ref="P5:P11" si="10">M5</f>
        <v>0</v>
      </c>
      <c r="Q5" s="2903"/>
      <c r="R5" s="2023">
        <f>ROUND(IF(项目基本情况!$B$8="出让",SUMPRODUCT(PRODUCT(1+K5:$K$24)),SUMPRODUCT(PRODUCT(1+K5:$K$23))),4)</f>
        <v>1.0577000000000001</v>
      </c>
      <c r="S5" s="2023">
        <f>ROUND(IF(项目基本情况!$B$8="出让",SUMPRODUCT(PRODUCT(1+L5:$L$24)),SUMPRODUCT(PRODUCT(1+L5:$L$23))),4)</f>
        <v>1.0275000000000001</v>
      </c>
      <c r="T5" s="2023">
        <f>ROUND(IF(项目基本情况!$B$8="出让",SUMPRODUCT(PRODUCT(1+M5:$M$24)),SUMPRODUCT(PRODUCT(1+M5:$M$23))),4)</f>
        <v>0.98089999999999999</v>
      </c>
      <c r="U5" s="2023">
        <f>ROUND(IF(项目基本情况!$B$8="出让",SUMPRODUCT(PRODUCT(1+N5:$N$24)),SUMPRODUCT(PRODUCT(1+N5:$N$23))),4)</f>
        <v>1.0689</v>
      </c>
      <c r="V5" s="2023">
        <f>ROUND(IF(项目基本情况!$B$8="出让",SUMPRODUCT(PRODUCT(1+O5:$O$24)),SUMPRODUCT(PRODUCT(1+O5:$O$23))),4)</f>
        <v>1.0891</v>
      </c>
      <c r="W5" s="2023">
        <f t="shared" ref="W5:W11" si="11">T5</f>
        <v>0.98089999999999999</v>
      </c>
      <c r="X5" s="2903"/>
      <c r="Y5" s="2024">
        <f t="shared" ref="Y5:Y11" si="12">IF(D5=0,0,ROUND(AVERAGE(D5:D18)/100,4))</f>
        <v>0</v>
      </c>
      <c r="Z5" s="2024">
        <f t="shared" ref="Z5" si="13">IF(E5=0,0,ROUND(AVERAGE(E5:E18)/100,4))</f>
        <v>0</v>
      </c>
      <c r="AA5" s="2024">
        <f t="shared" ref="AA5" si="14">IF(F5=0,0,ROUND(AVERAGE(F5:F18)/100,4))</f>
        <v>0</v>
      </c>
      <c r="AB5" s="2024">
        <f t="shared" ref="AB5" si="15">IF(G5=0,0,ROUND(AVERAGE(G5:G18)/100,4))</f>
        <v>0</v>
      </c>
      <c r="AC5" s="2024">
        <f t="shared" ref="AC5" si="16">IF(H5=0,0,ROUND(AVERAGE(H5:H18)/100,4))</f>
        <v>0</v>
      </c>
      <c r="AD5" s="2024">
        <f t="shared" ref="AD5" si="17">AA5</f>
        <v>0</v>
      </c>
      <c r="AF5" s="3150">
        <f>$AF$24*R5</f>
        <v>105.77000000000001</v>
      </c>
      <c r="AG5" s="3150">
        <f t="shared" ref="AG5:AK5" si="18">$AF$24*S5</f>
        <v>102.75000000000001</v>
      </c>
      <c r="AH5" s="3150">
        <f t="shared" si="18"/>
        <v>98.09</v>
      </c>
      <c r="AI5" s="3150">
        <f t="shared" si="18"/>
        <v>106.89</v>
      </c>
      <c r="AJ5" s="3150">
        <f t="shared" si="18"/>
        <v>108.91</v>
      </c>
      <c r="AK5" s="3150">
        <f t="shared" si="18"/>
        <v>98.09</v>
      </c>
      <c r="AM5" s="3156">
        <v>100</v>
      </c>
      <c r="AN5" s="3156">
        <v>100</v>
      </c>
      <c r="AO5" s="3156">
        <v>100</v>
      </c>
      <c r="AP5" s="3156">
        <v>100</v>
      </c>
      <c r="AQ5" s="3156">
        <v>100</v>
      </c>
      <c r="AR5" s="3156">
        <v>100</v>
      </c>
    </row>
    <row r="6" spans="1:44" s="2041" customFormat="1" ht="12.75">
      <c r="A6" s="2036" t="s">
        <v>3391</v>
      </c>
      <c r="B6" s="2027">
        <v>2025</v>
      </c>
      <c r="C6" s="2038">
        <v>3</v>
      </c>
      <c r="D6" s="2003">
        <v>0</v>
      </c>
      <c r="E6" s="2003">
        <v>0</v>
      </c>
      <c r="F6" s="2003">
        <v>0</v>
      </c>
      <c r="G6" s="2003">
        <v>0</v>
      </c>
      <c r="H6" s="2003">
        <v>0</v>
      </c>
      <c r="I6" s="2004">
        <f t="shared" ref="I6" si="19">F6</f>
        <v>0</v>
      </c>
      <c r="J6" s="2903"/>
      <c r="K6" s="2039">
        <f t="shared" ref="K6" si="20">D6/100</f>
        <v>0</v>
      </c>
      <c r="L6" s="2024">
        <f t="shared" ref="L6" si="21">E6/100</f>
        <v>0</v>
      </c>
      <c r="M6" s="2024">
        <f t="shared" ref="M6" si="22">F6/100</f>
        <v>0</v>
      </c>
      <c r="N6" s="2024">
        <f t="shared" ref="N6" si="23">G6/100</f>
        <v>0</v>
      </c>
      <c r="O6" s="2024">
        <f t="shared" ref="O6" si="24">H6/100</f>
        <v>0</v>
      </c>
      <c r="P6" s="2024">
        <f t="shared" si="10"/>
        <v>0</v>
      </c>
      <c r="Q6" s="2903"/>
      <c r="R6" s="2023">
        <f>ROUND(IF(项目基本情况!$B$8="出让",SUMPRODUCT(PRODUCT(1+K6:$K$24)),SUMPRODUCT(PRODUCT(1+K6:$K$23))),4)</f>
        <v>1.0577000000000001</v>
      </c>
      <c r="S6" s="2023">
        <f>ROUND(IF(项目基本情况!$B$8="出让",SUMPRODUCT(PRODUCT(1+L6:$L$24)),SUMPRODUCT(PRODUCT(1+L6:$L$23))),4)</f>
        <v>1.0275000000000001</v>
      </c>
      <c r="T6" s="2023">
        <f>ROUND(IF(项目基本情况!$B$8="出让",SUMPRODUCT(PRODUCT(1+M6:$M$24)),SUMPRODUCT(PRODUCT(1+M6:$M$23))),4)</f>
        <v>0.98089999999999999</v>
      </c>
      <c r="U6" s="2023">
        <f>ROUND(IF(项目基本情况!$B$8="出让",SUMPRODUCT(PRODUCT(1+N6:$N$24)),SUMPRODUCT(PRODUCT(1+N6:$N$23))),4)</f>
        <v>1.0689</v>
      </c>
      <c r="V6" s="2023">
        <f>ROUND(IF(项目基本情况!$B$8="出让",SUMPRODUCT(PRODUCT(1+O6:$O$24)),SUMPRODUCT(PRODUCT(1+O6:$O$23))),4)</f>
        <v>1.0891</v>
      </c>
      <c r="W6" s="2023">
        <f t="shared" si="11"/>
        <v>0.98089999999999999</v>
      </c>
      <c r="X6" s="2903"/>
      <c r="Y6" s="2024">
        <f t="shared" si="12"/>
        <v>0</v>
      </c>
      <c r="Z6" s="2024">
        <f t="shared" ref="Z6" si="25">IF(E6=0,0,ROUND(AVERAGE(E6:E19)/100,4))</f>
        <v>0</v>
      </c>
      <c r="AA6" s="2024">
        <f t="shared" ref="AA6" si="26">IF(F6=0,0,ROUND(AVERAGE(F6:F19)/100,4))</f>
        <v>0</v>
      </c>
      <c r="AB6" s="2024">
        <f t="shared" ref="AB6" si="27">IF(G6=0,0,ROUND(AVERAGE(G6:G19)/100,4))</f>
        <v>0</v>
      </c>
      <c r="AC6" s="2024">
        <f t="shared" ref="AC6" si="28">IF(H6=0,0,ROUND(AVERAGE(H6:H19)/100,4))</f>
        <v>0</v>
      </c>
      <c r="AD6" s="2024">
        <f t="shared" ref="AD6" si="29">AA6</f>
        <v>0</v>
      </c>
      <c r="AF6" s="3150">
        <f t="shared" ref="AF6:AF23" si="30">$AF$24*R6</f>
        <v>105.77000000000001</v>
      </c>
      <c r="AG6" s="3150">
        <f t="shared" ref="AG6:AG23" si="31">$AF$24*S6</f>
        <v>102.75000000000001</v>
      </c>
      <c r="AH6" s="3150">
        <f t="shared" ref="AH6:AH23" si="32">$AF$24*T6</f>
        <v>98.09</v>
      </c>
      <c r="AI6" s="3150">
        <f t="shared" ref="AI6:AI23" si="33">$AF$24*U6</f>
        <v>106.89</v>
      </c>
      <c r="AJ6" s="3150">
        <f t="shared" ref="AJ6:AJ23" si="34">$AF$24*V6</f>
        <v>108.91</v>
      </c>
      <c r="AK6" s="3150">
        <f t="shared" ref="AK6:AK23" si="35">$AF$24*W6</f>
        <v>98.09</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2.75">
      <c r="A7" s="2904" t="s">
        <v>3390</v>
      </c>
      <c r="B7" s="2905">
        <v>2025</v>
      </c>
      <c r="C7" s="2906">
        <v>2</v>
      </c>
      <c r="D7" s="2907">
        <v>0.05</v>
      </c>
      <c r="E7" s="2907">
        <v>-0.62</v>
      </c>
      <c r="F7" s="2907">
        <v>-1.05</v>
      </c>
      <c r="G7" s="2907">
        <v>0.09</v>
      </c>
      <c r="H7" s="2908">
        <v>0.17</v>
      </c>
      <c r="I7" s="2909">
        <f t="shared" ref="I7" si="37">F7</f>
        <v>-1.05</v>
      </c>
      <c r="J7" s="2910"/>
      <c r="K7" s="2911">
        <f t="shared" ref="K7" si="38">D7/100</f>
        <v>5.0000000000000001E-4</v>
      </c>
      <c r="L7" s="2912">
        <f t="shared" ref="L7" si="39">E7/100</f>
        <v>-6.1999999999999998E-3</v>
      </c>
      <c r="M7" s="2912">
        <f t="shared" ref="M7" si="40">F7/100</f>
        <v>-1.0500000000000001E-2</v>
      </c>
      <c r="N7" s="2912">
        <f t="shared" ref="N7" si="41">G7/100</f>
        <v>8.9999999999999998E-4</v>
      </c>
      <c r="O7" s="2912">
        <f t="shared" ref="O7" si="42">H7/100</f>
        <v>1.7000000000000001E-3</v>
      </c>
      <c r="P7" s="2912">
        <f t="shared" si="10"/>
        <v>-1.0500000000000001E-2</v>
      </c>
      <c r="Q7" s="2910"/>
      <c r="R7" s="2910">
        <f>ROUND(IF(项目基本情况!$B$8="出让",SUMPRODUCT(PRODUCT(1+K7:$K$24)),SUMPRODUCT(PRODUCT(1+K7:$K$23))),4)</f>
        <v>1.0577000000000001</v>
      </c>
      <c r="S7" s="2910">
        <f>ROUND(IF(项目基本情况!$B$8="出让",SUMPRODUCT(PRODUCT(1+L7:$L$24)),SUMPRODUCT(PRODUCT(1+L7:$L$23))),4)</f>
        <v>1.0275000000000001</v>
      </c>
      <c r="T7" s="2910">
        <f>ROUND(IF(项目基本情况!$B$8="出让",SUMPRODUCT(PRODUCT(1+M7:$M$24)),SUMPRODUCT(PRODUCT(1+M7:$M$23))),4)</f>
        <v>0.98089999999999999</v>
      </c>
      <c r="U7" s="2910">
        <f>ROUND(IF(项目基本情况!$B$8="出让",SUMPRODUCT(PRODUCT(1+N7:$N$24)),SUMPRODUCT(PRODUCT(1+N7:$N$23))),4)</f>
        <v>1.0689</v>
      </c>
      <c r="V7" s="2910">
        <f>ROUND(IF(项目基本情况!$B$8="出让",SUMPRODUCT(PRODUCT(1+O7:$O$24)),SUMPRODUCT(PRODUCT(1+O7:$O$23))),4)</f>
        <v>1.0891</v>
      </c>
      <c r="W7" s="2910">
        <f t="shared" si="11"/>
        <v>0.98089999999999999</v>
      </c>
      <c r="X7" s="2910"/>
      <c r="Y7" s="2912">
        <f t="shared" si="12"/>
        <v>2.3E-3</v>
      </c>
      <c r="Z7" s="2912">
        <f t="shared" ref="Z7" si="43">IF(E7=0,0,ROUND(AVERAGE(E7:E20)/100,4))</f>
        <v>1E-3</v>
      </c>
      <c r="AA7" s="2912">
        <f t="shared" ref="AA7" si="44">IF(F7=0,0,ROUND(AVERAGE(F7:F20)/100,4))</f>
        <v>-1.9E-3</v>
      </c>
      <c r="AB7" s="2912">
        <f t="shared" ref="AB7" si="45">IF(G7=0,0,ROUND(AVERAGE(G7:G20)/100,4))</f>
        <v>2.8999999999999998E-3</v>
      </c>
      <c r="AC7" s="2912">
        <f t="shared" ref="AC7" si="46">IF(H7=0,0,ROUND(AVERAGE(H7:H20)/100,4))</f>
        <v>4.7000000000000002E-3</v>
      </c>
      <c r="AD7" s="2912">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1" customFormat="1" ht="12.75">
      <c r="A8" s="2036" t="s">
        <v>3398</v>
      </c>
      <c r="B8" s="2027">
        <v>2025</v>
      </c>
      <c r="C8" s="2038">
        <v>1</v>
      </c>
      <c r="D8" s="2003">
        <v>0.56999999999999995</v>
      </c>
      <c r="E8" s="2003">
        <v>-0.56999999999999995</v>
      </c>
      <c r="F8" s="2003">
        <v>-0.9</v>
      </c>
      <c r="G8" s="2003">
        <v>1.1200000000000001</v>
      </c>
      <c r="H8" s="2003">
        <v>0.42</v>
      </c>
      <c r="I8" s="2004">
        <f t="shared" ref="I8" si="54">F8</f>
        <v>-0.9</v>
      </c>
      <c r="J8" s="2903"/>
      <c r="K8" s="2039">
        <f t="shared" ref="K8" si="55">D8/100</f>
        <v>5.6999999999999993E-3</v>
      </c>
      <c r="L8" s="2024">
        <f t="shared" ref="L8" si="56">E8/100</f>
        <v>-5.6999999999999993E-3</v>
      </c>
      <c r="M8" s="2024">
        <f t="shared" ref="M8" si="57">F8/100</f>
        <v>-9.0000000000000011E-3</v>
      </c>
      <c r="N8" s="2024">
        <f t="shared" ref="N8" si="58">G8/100</f>
        <v>1.1200000000000002E-2</v>
      </c>
      <c r="O8" s="2024">
        <f t="shared" ref="O8" si="59">H8/100</f>
        <v>4.1999999999999997E-3</v>
      </c>
      <c r="P8" s="2024">
        <f t="shared" si="10"/>
        <v>-9.0000000000000011E-3</v>
      </c>
      <c r="Q8" s="2903"/>
      <c r="R8" s="2023">
        <f>ROUND(IF(项目基本情况!$B$8="出让",SUMPRODUCT(PRODUCT(1+K8:$K$24)),SUMPRODUCT(PRODUCT(1+K8:$K$23))),4)</f>
        <v>1.0571999999999999</v>
      </c>
      <c r="S8" s="2023">
        <f>ROUND(IF(项目基本情况!$B$8="出让",SUMPRODUCT(PRODUCT(1+L8:$L$24)),SUMPRODUCT(PRODUCT(1+L8:$L$23))),4)</f>
        <v>1.0339</v>
      </c>
      <c r="T8" s="2023">
        <f>ROUND(IF(项目基本情况!$B$8="出让",SUMPRODUCT(PRODUCT(1+M8:$M$24)),SUMPRODUCT(PRODUCT(1+M8:$M$23))),4)</f>
        <v>0.99129999999999996</v>
      </c>
      <c r="U8" s="2023">
        <f>ROUND(IF(项目基本情况!$B$8="出让",SUMPRODUCT(PRODUCT(1+N8:$N$24)),SUMPRODUCT(PRODUCT(1+N8:$N$23))),4)</f>
        <v>1.0679000000000001</v>
      </c>
      <c r="V8" s="2023">
        <f>ROUND(IF(项目基本情况!$B$8="出让",SUMPRODUCT(PRODUCT(1+O8:$O$24)),SUMPRODUCT(PRODUCT(1+O8:$O$23))),4)</f>
        <v>1.0871999999999999</v>
      </c>
      <c r="W8" s="2023">
        <f t="shared" si="11"/>
        <v>0.99129999999999996</v>
      </c>
      <c r="X8" s="2903"/>
      <c r="Y8" s="2024">
        <f t="shared" si="12"/>
        <v>3.0000000000000001E-3</v>
      </c>
      <c r="Z8" s="2024">
        <f t="shared" ref="Z8" si="60">IF(E8=0,0,ROUND(AVERAGE(E8:E21)/100,4))</f>
        <v>1.6000000000000001E-3</v>
      </c>
      <c r="AA8" s="2024">
        <f t="shared" ref="AA8" si="61">IF(F8=0,0,ROUND(AVERAGE(F8:F21)/100,4))</f>
        <v>-1.1000000000000001E-3</v>
      </c>
      <c r="AB8" s="2024">
        <f t="shared" ref="AB8" si="62">IF(G8=0,0,ROUND(AVERAGE(G8:G21)/100,4))</f>
        <v>3.7000000000000002E-3</v>
      </c>
      <c r="AC8" s="2024">
        <f t="shared" ref="AC8" si="63">IF(H8=0,0,ROUND(AVERAGE(H8:H21)/100,4))</f>
        <v>4.8999999999999998E-3</v>
      </c>
      <c r="AD8" s="2024">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99.950024987506254</v>
      </c>
      <c r="AN8" s="3150">
        <f t="shared" si="49"/>
        <v>100.6238679814852</v>
      </c>
      <c r="AO8" s="3150">
        <f t="shared" si="50"/>
        <v>101.06114199090449</v>
      </c>
      <c r="AP8" s="3150">
        <f t="shared" si="51"/>
        <v>99.910080927165566</v>
      </c>
      <c r="AQ8" s="3150">
        <f t="shared" si="52"/>
        <v>99.830288509533787</v>
      </c>
      <c r="AR8" s="3150">
        <f t="shared" si="53"/>
        <v>101.06114199090449</v>
      </c>
    </row>
    <row r="9" spans="1:44" s="2041" customFormat="1" ht="12.75">
      <c r="A9" s="2036" t="s">
        <v>3397</v>
      </c>
      <c r="B9" s="2027">
        <v>2024</v>
      </c>
      <c r="C9" s="2038">
        <v>4</v>
      </c>
      <c r="D9" s="2003">
        <v>-1.02</v>
      </c>
      <c r="E9" s="2003">
        <v>-0.48</v>
      </c>
      <c r="F9" s="2003">
        <v>-0.75</v>
      </c>
      <c r="G9" s="2003">
        <v>-1.05</v>
      </c>
      <c r="H9" s="2003">
        <v>0.08</v>
      </c>
      <c r="I9" s="2004">
        <f t="shared" ref="I9" si="65">F9</f>
        <v>-0.75</v>
      </c>
      <c r="J9" s="2903"/>
      <c r="K9" s="2039">
        <f t="shared" ref="K9" si="66">D9/100</f>
        <v>-1.0200000000000001E-2</v>
      </c>
      <c r="L9" s="2024">
        <f t="shared" ref="L9" si="67">E9/100</f>
        <v>-4.7999999999999996E-3</v>
      </c>
      <c r="M9" s="2024">
        <f t="shared" ref="M9" si="68">F9/100</f>
        <v>-7.4999999999999997E-3</v>
      </c>
      <c r="N9" s="2024">
        <f t="shared" ref="N9" si="69">G9/100</f>
        <v>-1.0500000000000001E-2</v>
      </c>
      <c r="O9" s="2024">
        <f t="shared" ref="O9" si="70">H9/100</f>
        <v>8.0000000000000004E-4</v>
      </c>
      <c r="P9" s="2024">
        <f t="shared" si="10"/>
        <v>-7.4999999999999997E-3</v>
      </c>
      <c r="Q9" s="2903"/>
      <c r="R9" s="2023">
        <f>ROUND(IF(项目基本情况!$B$8="出让",SUMPRODUCT(PRODUCT(1+K9:$K$24)),SUMPRODUCT(PRODUCT(1+K9:$K$23))),4)</f>
        <v>1.0511999999999999</v>
      </c>
      <c r="S9" s="2023">
        <f>ROUND(IF(项目基本情况!$B$8="出让",SUMPRODUCT(PRODUCT(1+L9:$L$24)),SUMPRODUCT(PRODUCT(1+L9:$L$23))),4)</f>
        <v>1.0398000000000001</v>
      </c>
      <c r="T9" s="2023">
        <f>ROUND(IF(项目基本情况!$B$8="出让",SUMPRODUCT(PRODUCT(1+M9:$M$24)),SUMPRODUCT(PRODUCT(1+M9:$M$23))),4)</f>
        <v>1.0003</v>
      </c>
      <c r="U9" s="2023">
        <f>ROUND(IF(项目基本情况!$B$8="出让",SUMPRODUCT(PRODUCT(1+N9:$N$24)),SUMPRODUCT(PRODUCT(1+N9:$N$23))),4)</f>
        <v>1.0561</v>
      </c>
      <c r="V9" s="2023">
        <f>ROUND(IF(项目基本情况!$B$8="出让",SUMPRODUCT(PRODUCT(1+O9:$O$24)),SUMPRODUCT(PRODUCT(1+O9:$O$23))),4)</f>
        <v>1.0827</v>
      </c>
      <c r="W9" s="2023">
        <f t="shared" si="11"/>
        <v>1.0003</v>
      </c>
      <c r="X9" s="2903"/>
      <c r="Y9" s="2024">
        <f t="shared" si="12"/>
        <v>2.8999999999999998E-3</v>
      </c>
      <c r="Z9" s="2024">
        <f t="shared" ref="Z9" si="71">IF(E9=0,0,ROUND(AVERAGE(E9:E22)/100,4))</f>
        <v>2.3E-3</v>
      </c>
      <c r="AA9" s="2024">
        <f t="shared" ref="AA9" si="72">IF(F9=0,0,ROUND(AVERAGE(F9:F22)/100,4))</f>
        <v>-2.9999999999999997E-4</v>
      </c>
      <c r="AB9" s="2024">
        <f t="shared" ref="AB9" si="73">IF(G9=0,0,ROUND(AVERAGE(G9:G22)/100,4))</f>
        <v>3.3E-3</v>
      </c>
      <c r="AC9" s="2024">
        <f t="shared" ref="AC9" si="74">IF(H9=0,0,ROUND(AVERAGE(H9:H22)/100,4))</f>
        <v>5.0000000000000001E-3</v>
      </c>
      <c r="AD9" s="2024">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99.383538816253605</v>
      </c>
      <c r="AN9" s="3150">
        <f t="shared" si="49"/>
        <v>101.20071204011386</v>
      </c>
      <c r="AO9" s="3150">
        <f t="shared" si="50"/>
        <v>101.97895256398031</v>
      </c>
      <c r="AP9" s="3150">
        <f t="shared" si="51"/>
        <v>98.80348192955455</v>
      </c>
      <c r="AQ9" s="3150">
        <f t="shared" si="52"/>
        <v>99.412754938790869</v>
      </c>
      <c r="AR9" s="3150">
        <f t="shared" si="53"/>
        <v>101.97895256398031</v>
      </c>
    </row>
    <row r="10" spans="1:44" s="2041" customFormat="1" ht="12.75">
      <c r="A10" s="2036" t="s">
        <v>3370</v>
      </c>
      <c r="B10" s="2027">
        <v>2024</v>
      </c>
      <c r="C10" s="2038">
        <v>3</v>
      </c>
      <c r="D10" s="2003">
        <v>-1.19</v>
      </c>
      <c r="E10" s="2003">
        <v>-0.47</v>
      </c>
      <c r="F10" s="2003">
        <v>-0.28999999999999998</v>
      </c>
      <c r="G10" s="2003">
        <v>-0.74</v>
      </c>
      <c r="H10" s="2003">
        <v>-0.21</v>
      </c>
      <c r="I10" s="2004">
        <f t="shared" ref="I10" si="76">F10</f>
        <v>-0.28999999999999998</v>
      </c>
      <c r="J10" s="2903"/>
      <c r="K10" s="2039">
        <f t="shared" ref="K10" si="77">D10/100</f>
        <v>-1.1899999999999999E-2</v>
      </c>
      <c r="L10" s="2024">
        <f t="shared" ref="L10" si="78">E10/100</f>
        <v>-4.6999999999999993E-3</v>
      </c>
      <c r="M10" s="2024">
        <f t="shared" ref="M10" si="79">F10/100</f>
        <v>-2.8999999999999998E-3</v>
      </c>
      <c r="N10" s="2024">
        <f t="shared" ref="N10" si="80">G10/100</f>
        <v>-7.4000000000000003E-3</v>
      </c>
      <c r="O10" s="2024">
        <f t="shared" ref="O10" si="81">H10/100</f>
        <v>-2.0999999999999999E-3</v>
      </c>
      <c r="P10" s="2024">
        <f t="shared" si="10"/>
        <v>-2.8999999999999998E-3</v>
      </c>
      <c r="Q10" s="2903"/>
      <c r="R10" s="2023">
        <f>ROUND(IF(项目基本情况!$B$8="出让",SUMPRODUCT(PRODUCT(1+K10:$K$24)),SUMPRODUCT(PRODUCT(1+K10:$K$23))),4)</f>
        <v>1.0620000000000001</v>
      </c>
      <c r="S10" s="2023">
        <f>ROUND(IF(项目基本情况!$B$8="出让",SUMPRODUCT(PRODUCT(1+L10:$L$24)),SUMPRODUCT(PRODUCT(1+L10:$L$23))),4)</f>
        <v>1.0448</v>
      </c>
      <c r="T10" s="2023">
        <f>ROUND(IF(项目基本情况!$B$8="出让",SUMPRODUCT(PRODUCT(1+M10:$M$24)),SUMPRODUCT(PRODUCT(1+M10:$M$23))),4)</f>
        <v>1.0079</v>
      </c>
      <c r="U10" s="2023">
        <f>ROUND(IF(项目基本情况!$B$8="出让",SUMPRODUCT(PRODUCT(1+N10:$N$24)),SUMPRODUCT(PRODUCT(1+N10:$N$23))),4)</f>
        <v>1.0672999999999999</v>
      </c>
      <c r="V10" s="2023">
        <f>ROUND(IF(项目基本情况!$B$8="出让",SUMPRODUCT(PRODUCT(1+O10:$O$24)),SUMPRODUCT(PRODUCT(1+O10:$O$23))),4)</f>
        <v>1.0818000000000001</v>
      </c>
      <c r="W10" s="2023">
        <f t="shared" si="11"/>
        <v>1.0079</v>
      </c>
      <c r="X10" s="2903"/>
      <c r="Y10" s="2024">
        <f t="shared" si="12"/>
        <v>4.3E-3</v>
      </c>
      <c r="Z10" s="2024">
        <f t="shared" ref="Z10" si="82">IF(E10=0,0,ROUND(AVERAGE(E10:E23)/100,4))</f>
        <v>3.0999999999999999E-3</v>
      </c>
      <c r="AA10" s="2024">
        <f t="shared" ref="AA10" si="83">IF(F10=0,0,ROUND(AVERAGE(F10:F23)/100,4))</f>
        <v>5.9999999999999995E-4</v>
      </c>
      <c r="AB10" s="2024">
        <f t="shared" ref="AB10" si="84">IF(G10=0,0,ROUND(AVERAGE(G10:G23)/100,4))</f>
        <v>4.7000000000000002E-3</v>
      </c>
      <c r="AC10" s="2024">
        <f t="shared" ref="AC10" si="85">IF(H10=0,0,ROUND(AVERAGE(H10:H23)/100,4))</f>
        <v>5.5999999999999999E-3</v>
      </c>
      <c r="AD10" s="2024">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100.40769732900949</v>
      </c>
      <c r="AN10" s="3150">
        <f t="shared" si="49"/>
        <v>101.68881836828162</v>
      </c>
      <c r="AO10" s="3150">
        <f t="shared" si="50"/>
        <v>102.74957437176857</v>
      </c>
      <c r="AP10" s="3150">
        <f t="shared" si="51"/>
        <v>99.851927164784783</v>
      </c>
      <c r="AQ10" s="3150">
        <f t="shared" si="52"/>
        <v>99.333288308144361</v>
      </c>
      <c r="AR10" s="3150">
        <f t="shared" si="53"/>
        <v>102.74957437176857</v>
      </c>
    </row>
    <row r="11" spans="1:44" s="2041" customFormat="1" ht="12.75">
      <c r="A11" s="2902" t="s">
        <v>3364</v>
      </c>
      <c r="B11" s="2027">
        <v>2024</v>
      </c>
      <c r="C11" s="2038">
        <v>2</v>
      </c>
      <c r="D11" s="2003">
        <v>-0.59</v>
      </c>
      <c r="E11" s="2003">
        <v>-0.21</v>
      </c>
      <c r="F11" s="2003">
        <v>-1.38</v>
      </c>
      <c r="G11" s="2003">
        <v>-1.24</v>
      </c>
      <c r="H11" s="2914">
        <v>0.34</v>
      </c>
      <c r="I11" s="2004">
        <f t="shared" ref="I11:I24" si="87">F11</f>
        <v>-1.38</v>
      </c>
      <c r="J11" s="2903"/>
      <c r="K11" s="2039">
        <f t="shared" ref="K11:O24" si="88">D11/100</f>
        <v>-5.8999999999999999E-3</v>
      </c>
      <c r="L11" s="2024">
        <f t="shared" si="88"/>
        <v>-2.0999999999999999E-3</v>
      </c>
      <c r="M11" s="2024">
        <f t="shared" si="88"/>
        <v>-1.38E-2</v>
      </c>
      <c r="N11" s="2024">
        <f t="shared" si="88"/>
        <v>-1.24E-2</v>
      </c>
      <c r="O11" s="2024">
        <f t="shared" si="88"/>
        <v>3.4000000000000002E-3</v>
      </c>
      <c r="P11" s="2024">
        <f t="shared" si="10"/>
        <v>-1.38E-2</v>
      </c>
      <c r="Q11" s="2903"/>
      <c r="R11" s="2023">
        <f>ROUND(IF(项目基本情况!$B$8="出让",SUMPRODUCT(PRODUCT(1+K11:$K$24)),SUMPRODUCT(PRODUCT(1+K11:$K$23))),4)</f>
        <v>1.0748</v>
      </c>
      <c r="S11" s="2023">
        <f>ROUND(IF(项目基本情况!$B$8="出让",SUMPRODUCT(PRODUCT(1+L11:$L$24)),SUMPRODUCT(PRODUCT(1+L11:$L$23))),4)</f>
        <v>1.0498000000000001</v>
      </c>
      <c r="T11" s="2023">
        <f>ROUND(IF(项目基本情况!$B$8="出让",SUMPRODUCT(PRODUCT(1+M11:$M$24)),SUMPRODUCT(PRODUCT(1+M11:$M$23))),4)</f>
        <v>1.0107999999999999</v>
      </c>
      <c r="U11" s="2023">
        <f>ROUND(IF(项目基本情况!$B$8="出让",SUMPRODUCT(PRODUCT(1+N11:$N$24)),SUMPRODUCT(PRODUCT(1+N11:$N$23))),4)</f>
        <v>1.0752999999999999</v>
      </c>
      <c r="V11" s="2023">
        <f>ROUND(IF(项目基本情况!$B$8="出让",SUMPRODUCT(PRODUCT(1+O11:$O$24)),SUMPRODUCT(PRODUCT(1+O11:$O$23))),4)</f>
        <v>1.0841000000000001</v>
      </c>
      <c r="W11" s="2023">
        <f t="shared" si="11"/>
        <v>1.0107999999999999</v>
      </c>
      <c r="X11" s="2903"/>
      <c r="Y11" s="2024">
        <f t="shared" si="12"/>
        <v>5.8999999999999999E-3</v>
      </c>
      <c r="Z11" s="2024">
        <f t="shared" ref="Z11:AC11" si="89">IF(E11=0,0,ROUND(AVERAGE(E11:E24)/100,4))</f>
        <v>3.5999999999999999E-3</v>
      </c>
      <c r="AA11" s="2024">
        <f t="shared" si="89"/>
        <v>5.9999999999999995E-4</v>
      </c>
      <c r="AB11" s="2024">
        <f t="shared" si="89"/>
        <v>6.0000000000000001E-3</v>
      </c>
      <c r="AC11" s="2024">
        <f t="shared" si="89"/>
        <v>6.0000000000000001E-3</v>
      </c>
      <c r="AD11" s="2024">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101.61693890194262</v>
      </c>
      <c r="AN11" s="3150">
        <f t="shared" si="49"/>
        <v>102.16901272810371</v>
      </c>
      <c r="AO11" s="3150">
        <f t="shared" si="50"/>
        <v>103.04841477461495</v>
      </c>
      <c r="AP11" s="3150">
        <f t="shared" si="51"/>
        <v>100.59634008138704</v>
      </c>
      <c r="AQ11" s="3150">
        <f t="shared" si="52"/>
        <v>99.542327195254401</v>
      </c>
      <c r="AR11" s="3150">
        <f t="shared" si="53"/>
        <v>103.04841477461495</v>
      </c>
    </row>
    <row r="12" spans="1:44" s="2041" customFormat="1" ht="12.75">
      <c r="A12" s="2902" t="s">
        <v>3363</v>
      </c>
      <c r="B12" s="2027">
        <v>2024</v>
      </c>
      <c r="C12" s="2038">
        <v>1</v>
      </c>
      <c r="D12" s="2003">
        <v>0.08</v>
      </c>
      <c r="E12" s="2003">
        <v>0.46</v>
      </c>
      <c r="F12" s="2003">
        <v>-0.16</v>
      </c>
      <c r="G12" s="2003">
        <v>0.26</v>
      </c>
      <c r="H12" s="2914">
        <v>0.59</v>
      </c>
      <c r="I12" s="2004">
        <f t="shared" si="87"/>
        <v>-0.16</v>
      </c>
      <c r="J12" s="2903"/>
      <c r="K12" s="2039">
        <f t="shared" ref="K12" si="91">D12/100</f>
        <v>8.0000000000000004E-4</v>
      </c>
      <c r="L12" s="2024">
        <f t="shared" ref="L12" si="92">E12/100</f>
        <v>4.5999999999999999E-3</v>
      </c>
      <c r="M12" s="2024">
        <f t="shared" ref="M12" si="93">F12/100</f>
        <v>-1.6000000000000001E-3</v>
      </c>
      <c r="N12" s="2024">
        <f t="shared" ref="N12" si="94">G12/100</f>
        <v>2.5999999999999999E-3</v>
      </c>
      <c r="O12" s="2024">
        <f t="shared" ref="O12" si="95">H12/100</f>
        <v>5.8999999999999999E-3</v>
      </c>
      <c r="P12" s="2024">
        <f t="shared" ref="P12" si="96">M12</f>
        <v>-1.6000000000000001E-3</v>
      </c>
      <c r="Q12" s="2903"/>
      <c r="R12" s="2023">
        <f>ROUND(IF(项目基本情况!$B$8="出让",SUMPRODUCT(PRODUCT(1+K12:$K$24)),SUMPRODUCT(PRODUCT(1+K12:$K$23))),4)</f>
        <v>1.0811999999999999</v>
      </c>
      <c r="S12" s="2023">
        <f>ROUND(IF(项目基本情况!$B$8="出让",SUMPRODUCT(PRODUCT(1+L12:$L$24)),SUMPRODUCT(PRODUCT(1+L12:$L$23))),4)</f>
        <v>1.052</v>
      </c>
      <c r="T12" s="2023">
        <f>ROUND(IF(项目基本情况!$B$8="出让",SUMPRODUCT(PRODUCT(1+M12:$M$24)),SUMPRODUCT(PRODUCT(1+M12:$M$23))),4)</f>
        <v>1.0249999999999999</v>
      </c>
      <c r="U12" s="2023">
        <f>ROUND(IF(项目基本情况!$B$8="出让",SUMPRODUCT(PRODUCT(1+N12:$N$24)),SUMPRODUCT(PRODUCT(1+N12:$N$23))),4)</f>
        <v>1.0888</v>
      </c>
      <c r="V12" s="2023">
        <f>ROUND(IF(项目基本情况!$B$8="出让",SUMPRODUCT(PRODUCT(1+O12:$O$24)),SUMPRODUCT(PRODUCT(1+O12:$O$23))),4)</f>
        <v>1.0804</v>
      </c>
      <c r="W12" s="2023">
        <f t="shared" ref="W12" si="97">T12</f>
        <v>1.0249999999999999</v>
      </c>
      <c r="X12" s="2903"/>
      <c r="Y12" s="2024"/>
      <c r="Z12" s="2024"/>
      <c r="AA12" s="2024"/>
      <c r="AB12" s="2024"/>
      <c r="AC12" s="2024"/>
      <c r="AD12" s="2024"/>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102.22003712095626</v>
      </c>
      <c r="AN12" s="3150">
        <f t="shared" si="49"/>
        <v>102.38401916835726</v>
      </c>
      <c r="AO12" s="3150">
        <f t="shared" si="50"/>
        <v>104.49038204686165</v>
      </c>
      <c r="AP12" s="3150">
        <f t="shared" si="51"/>
        <v>101.85939659921733</v>
      </c>
      <c r="AQ12" s="3150">
        <f t="shared" si="52"/>
        <v>99.205030092938401</v>
      </c>
      <c r="AR12" s="3150">
        <f t="shared" si="53"/>
        <v>104.49038204686165</v>
      </c>
    </row>
    <row r="13" spans="1:44" s="2041" customFormat="1" ht="12.75">
      <c r="A13" s="2902" t="s">
        <v>3359</v>
      </c>
      <c r="B13" s="2027">
        <v>2023</v>
      </c>
      <c r="C13" s="2038">
        <v>4</v>
      </c>
      <c r="D13" s="2003">
        <v>0.19</v>
      </c>
      <c r="E13" s="2003">
        <v>0.24</v>
      </c>
      <c r="F13" s="2003">
        <v>-0.16</v>
      </c>
      <c r="G13" s="2003">
        <v>0.17</v>
      </c>
      <c r="H13" s="2914">
        <v>0.61</v>
      </c>
      <c r="I13" s="2004">
        <f>F13</f>
        <v>-0.16</v>
      </c>
      <c r="J13" s="2903"/>
      <c r="K13" s="2039">
        <f t="shared" si="88"/>
        <v>1.9E-3</v>
      </c>
      <c r="L13" s="2024">
        <f t="shared" si="88"/>
        <v>2.3999999999999998E-3</v>
      </c>
      <c r="M13" s="2024">
        <f t="shared" si="88"/>
        <v>-1.6000000000000001E-3</v>
      </c>
      <c r="N13" s="2024">
        <f t="shared" si="88"/>
        <v>1.7000000000000001E-3</v>
      </c>
      <c r="O13" s="2024">
        <f t="shared" si="88"/>
        <v>6.0999999999999995E-3</v>
      </c>
      <c r="P13" s="2024">
        <f t="shared" ref="P13" si="98">M13</f>
        <v>-1.6000000000000001E-3</v>
      </c>
      <c r="Q13" s="2903"/>
      <c r="R13" s="2023">
        <f>ROUND(IF(项目基本情况!$B$8="出让",SUMPRODUCT(PRODUCT(1+K13:$K$24)),SUMPRODUCT(PRODUCT(1+K13:$K$23))),4)</f>
        <v>1.0804</v>
      </c>
      <c r="S13" s="2023">
        <f>ROUND(IF(项目基本情况!$B$8="出让",SUMPRODUCT(PRODUCT(1+L13:$L$24)),SUMPRODUCT(PRODUCT(1+L13:$L$23))),4)</f>
        <v>1.0471999999999999</v>
      </c>
      <c r="T13" s="2023">
        <f>ROUND(IF(项目基本情况!$B$8="出让",SUMPRODUCT(PRODUCT(1+M13:$M$24)),SUMPRODUCT(PRODUCT(1+M13:$M$23))),4)</f>
        <v>1.0266</v>
      </c>
      <c r="U13" s="2023">
        <f>ROUND(IF(项目基本情况!$B$8="出让",SUMPRODUCT(PRODUCT(1+N13:$N$24)),SUMPRODUCT(PRODUCT(1+N13:$N$23))),4)</f>
        <v>1.0859000000000001</v>
      </c>
      <c r="V13" s="2023">
        <f>ROUND(IF(项目基本情况!$B$8="出让",SUMPRODUCT(PRODUCT(1+O13:$O$24)),SUMPRODUCT(PRODUCT(1+O13:$O$23))),4)</f>
        <v>1.0741000000000001</v>
      </c>
      <c r="W13" s="2023">
        <f t="shared" ref="W13" si="99">T13</f>
        <v>1.0266</v>
      </c>
      <c r="X13" s="2903"/>
      <c r="Y13" s="2024"/>
      <c r="Z13" s="2024"/>
      <c r="AA13" s="2024"/>
      <c r="AB13" s="2024"/>
      <c r="AC13" s="2024"/>
      <c r="AD13" s="2024"/>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102.13832645978844</v>
      </c>
      <c r="AN13" s="3150">
        <f t="shared" si="49"/>
        <v>101.91520920600962</v>
      </c>
      <c r="AO13" s="3150">
        <f t="shared" si="50"/>
        <v>104.65783458219317</v>
      </c>
      <c r="AP13" s="3150">
        <f t="shared" si="51"/>
        <v>101.5952489519423</v>
      </c>
      <c r="AQ13" s="3150">
        <f t="shared" si="52"/>
        <v>98.623153487362956</v>
      </c>
      <c r="AR13" s="3150">
        <f t="shared" si="53"/>
        <v>104.65783458219317</v>
      </c>
    </row>
    <row r="14" spans="1:44" s="2041" customFormat="1" ht="12.75">
      <c r="A14" s="2902" t="s">
        <v>3358</v>
      </c>
      <c r="B14" s="2027">
        <v>2023</v>
      </c>
      <c r="C14" s="2038">
        <v>3</v>
      </c>
      <c r="D14" s="2003">
        <v>0.25</v>
      </c>
      <c r="E14" s="2003">
        <v>0.5</v>
      </c>
      <c r="F14" s="2003">
        <v>0.31</v>
      </c>
      <c r="G14" s="2003">
        <v>0.21</v>
      </c>
      <c r="H14" s="2914">
        <v>0.43</v>
      </c>
      <c r="I14" s="2004">
        <f t="shared" si="87"/>
        <v>0.31</v>
      </c>
      <c r="J14" s="2903"/>
      <c r="K14" s="2039">
        <f t="shared" ref="K14:K16" si="100">D14/100</f>
        <v>2.5000000000000001E-3</v>
      </c>
      <c r="L14" s="2024">
        <f t="shared" ref="L14:L16" si="101">E14/100</f>
        <v>5.0000000000000001E-3</v>
      </c>
      <c r="M14" s="2024">
        <f t="shared" ref="M14:M16" si="102">F14/100</f>
        <v>3.0999999999999999E-3</v>
      </c>
      <c r="N14" s="2024">
        <f t="shared" ref="N14:N16" si="103">G14/100</f>
        <v>2.0999999999999999E-3</v>
      </c>
      <c r="O14" s="2024">
        <f t="shared" ref="O14:O16" si="104">H14/100</f>
        <v>4.3E-3</v>
      </c>
      <c r="P14" s="2024">
        <f t="shared" ref="P14:P16" si="105">M14</f>
        <v>3.0999999999999999E-3</v>
      </c>
      <c r="Q14" s="2903"/>
      <c r="R14" s="2023">
        <f>ROUND(IF(项目基本情况!$B$8="出让",SUMPRODUCT(PRODUCT(1+K14:$K$24)),SUMPRODUCT(PRODUCT(1+K14:$K$23))),4)</f>
        <v>1.0783</v>
      </c>
      <c r="S14" s="2023">
        <f>ROUND(IF(项目基本情况!$B$8="出让",SUMPRODUCT(PRODUCT(1+L14:$L$24)),SUMPRODUCT(PRODUCT(1+L14:$L$23))),4)</f>
        <v>1.0447</v>
      </c>
      <c r="T14" s="2023">
        <f>ROUND(IF(项目基本情况!$B$8="出让",SUMPRODUCT(PRODUCT(1+M14:$M$24)),SUMPRODUCT(PRODUCT(1+M14:$M$23))),4)</f>
        <v>1.0282</v>
      </c>
      <c r="U14" s="2023">
        <f>ROUND(IF(项目基本情况!$B$8="出让",SUMPRODUCT(PRODUCT(1+N14:$N$24)),SUMPRODUCT(PRODUCT(1+N14:$N$23))),4)</f>
        <v>1.0841000000000001</v>
      </c>
      <c r="V14" s="2023">
        <f>ROUND(IF(项目基本情况!$B$8="出让",SUMPRODUCT(PRODUCT(1+O14:$O$24)),SUMPRODUCT(PRODUCT(1+O14:$O$23))),4)</f>
        <v>1.0674999999999999</v>
      </c>
      <c r="W14" s="2023">
        <f t="shared" ref="W14:W15" si="106">T14</f>
        <v>1.0282</v>
      </c>
      <c r="X14" s="2903"/>
      <c r="Y14" s="2024"/>
      <c r="Z14" s="2024"/>
      <c r="AA14" s="2024"/>
      <c r="AB14" s="2024"/>
      <c r="AC14" s="2024"/>
      <c r="AD14" s="2024"/>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101.94463165963514</v>
      </c>
      <c r="AN14" s="3150">
        <f t="shared" si="49"/>
        <v>101.67119833001759</v>
      </c>
      <c r="AO14" s="3150">
        <f t="shared" si="50"/>
        <v>104.8255554709467</v>
      </c>
      <c r="AP14" s="3150">
        <f t="shared" si="51"/>
        <v>101.4228301407031</v>
      </c>
      <c r="AQ14" s="3150">
        <f t="shared" si="52"/>
        <v>98.025199768773433</v>
      </c>
      <c r="AR14" s="3150">
        <f t="shared" si="53"/>
        <v>104.8255554709467</v>
      </c>
    </row>
    <row r="15" spans="1:44" s="2041" customFormat="1" ht="12.75">
      <c r="A15" s="2902" t="s">
        <v>3356</v>
      </c>
      <c r="B15" s="2027">
        <v>2023</v>
      </c>
      <c r="C15" s="2038">
        <v>2</v>
      </c>
      <c r="D15" s="2003">
        <v>0.91</v>
      </c>
      <c r="E15" s="2003">
        <v>0.66</v>
      </c>
      <c r="F15" s="2003">
        <v>0.47</v>
      </c>
      <c r="G15" s="2003">
        <v>0.96</v>
      </c>
      <c r="H15" s="2914">
        <v>0.71</v>
      </c>
      <c r="I15" s="2004">
        <f t="shared" si="87"/>
        <v>0.47</v>
      </c>
      <c r="J15" s="2903"/>
      <c r="K15" s="2039">
        <f t="shared" si="100"/>
        <v>9.1000000000000004E-3</v>
      </c>
      <c r="L15" s="2024">
        <f t="shared" si="101"/>
        <v>6.6E-3</v>
      </c>
      <c r="M15" s="2024">
        <f t="shared" si="102"/>
        <v>4.6999999999999993E-3</v>
      </c>
      <c r="N15" s="2024">
        <f t="shared" si="103"/>
        <v>9.5999999999999992E-3</v>
      </c>
      <c r="O15" s="2024">
        <f t="shared" si="104"/>
        <v>7.0999999999999995E-3</v>
      </c>
      <c r="P15" s="2024">
        <f t="shared" si="105"/>
        <v>4.6999999999999993E-3</v>
      </c>
      <c r="Q15" s="2903"/>
      <c r="R15" s="2023">
        <f>ROUND(IF(项目基本情况!$B$8="出让",SUMPRODUCT(PRODUCT(1+K15:$K$24)),SUMPRODUCT(PRODUCT(1+K15:$K$23))),4)</f>
        <v>1.0755999999999999</v>
      </c>
      <c r="S15" s="2023">
        <f>ROUND(IF(项目基本情况!$B$8="出让",SUMPRODUCT(PRODUCT(1+L15:$L$24)),SUMPRODUCT(PRODUCT(1+L15:$L$23))),4)</f>
        <v>1.0395000000000001</v>
      </c>
      <c r="T15" s="2023">
        <f>ROUND(IF(项目基本情况!$B$8="出让",SUMPRODUCT(PRODUCT(1+M15:$M$24)),SUMPRODUCT(PRODUCT(1+M15:$M$23))),4)</f>
        <v>1.0250999999999999</v>
      </c>
      <c r="U15" s="2023">
        <f>ROUND(IF(项目基本情况!$B$8="出让",SUMPRODUCT(PRODUCT(1+N15:$N$24)),SUMPRODUCT(PRODUCT(1+N15:$N$23))),4)</f>
        <v>1.0818000000000001</v>
      </c>
      <c r="V15" s="2023">
        <f>ROUND(IF(项目基本情况!$B$8="出让",SUMPRODUCT(PRODUCT(1+O15:$O$24)),SUMPRODUCT(PRODUCT(1+O15:$O$23))),4)</f>
        <v>1.0629999999999999</v>
      </c>
      <c r="W15" s="2023">
        <f t="shared" si="106"/>
        <v>1.0250999999999999</v>
      </c>
      <c r="X15" s="2903"/>
      <c r="Y15" s="2024"/>
      <c r="Z15" s="2024"/>
      <c r="AA15" s="2024"/>
      <c r="AB15" s="2024"/>
      <c r="AC15" s="2024"/>
      <c r="AD15" s="2024"/>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101.69040564552134</v>
      </c>
      <c r="AN15" s="3150">
        <f t="shared" si="49"/>
        <v>101.16537147265433</v>
      </c>
      <c r="AO15" s="3150">
        <f t="shared" si="50"/>
        <v>104.50160050936765</v>
      </c>
      <c r="AP15" s="3150">
        <f t="shared" si="51"/>
        <v>101.21028853478006</v>
      </c>
      <c r="AQ15" s="3150">
        <f t="shared" si="52"/>
        <v>97.605496135391249</v>
      </c>
      <c r="AR15" s="3150">
        <f t="shared" si="53"/>
        <v>104.50160050936765</v>
      </c>
    </row>
    <row r="16" spans="1:44" s="2041" customFormat="1" ht="12.75">
      <c r="A16" s="2902" t="s">
        <v>3355</v>
      </c>
      <c r="B16" s="2027">
        <v>2023</v>
      </c>
      <c r="C16" s="2038">
        <v>1</v>
      </c>
      <c r="D16" s="2003">
        <v>0.89</v>
      </c>
      <c r="E16" s="2003">
        <v>0.74</v>
      </c>
      <c r="F16" s="2003">
        <v>0.56999999999999995</v>
      </c>
      <c r="G16" s="2003">
        <v>0.92</v>
      </c>
      <c r="H16" s="2914">
        <v>0.5</v>
      </c>
      <c r="I16" s="2004">
        <f t="shared" si="87"/>
        <v>0.56999999999999995</v>
      </c>
      <c r="J16" s="2903"/>
      <c r="K16" s="2039">
        <f t="shared" si="100"/>
        <v>8.8999999999999999E-3</v>
      </c>
      <c r="L16" s="2024">
        <f t="shared" si="101"/>
        <v>7.4000000000000003E-3</v>
      </c>
      <c r="M16" s="2024">
        <f t="shared" si="102"/>
        <v>5.6999999999999993E-3</v>
      </c>
      <c r="N16" s="2024">
        <f t="shared" si="103"/>
        <v>9.1999999999999998E-3</v>
      </c>
      <c r="O16" s="2024">
        <f t="shared" si="104"/>
        <v>5.0000000000000001E-3</v>
      </c>
      <c r="P16" s="2024">
        <f t="shared" si="105"/>
        <v>5.6999999999999993E-3</v>
      </c>
      <c r="Q16" s="2903"/>
      <c r="R16" s="2023">
        <f>ROUND(IF(项目基本情况!$B$8="出让",SUMPRODUCT(PRODUCT(1+K16:$K$24)),SUMPRODUCT(PRODUCT(1+K16:$K$23))),4)</f>
        <v>1.0659000000000001</v>
      </c>
      <c r="S16" s="2023">
        <f>ROUND(IF(项目基本情况!$B$8="出让",SUMPRODUCT(PRODUCT(1+L16:$L$24)),SUMPRODUCT(PRODUCT(1+L16:$L$23))),4)</f>
        <v>1.0326</v>
      </c>
      <c r="T16" s="2023">
        <f>ROUND(IF(项目基本情况!$B$8="出让",SUMPRODUCT(PRODUCT(1+M16:$M$24)),SUMPRODUCT(PRODUCT(1+M16:$M$23))),4)</f>
        <v>1.0203</v>
      </c>
      <c r="U16" s="2023">
        <f>ROUND(IF(项目基本情况!$B$8="出让",SUMPRODUCT(PRODUCT(1+N16:$N$24)),SUMPRODUCT(PRODUCT(1+N16:$N$23))),4)</f>
        <v>1.0714999999999999</v>
      </c>
      <c r="V16" s="2023">
        <f>ROUND(IF(项目基本情况!$B$8="出让",SUMPRODUCT(PRODUCT(1+O16:$O$24)),SUMPRODUCT(PRODUCT(1+O16:$O$23))),4)</f>
        <v>1.0555000000000001</v>
      </c>
      <c r="W16" s="2023">
        <f t="shared" ref="W16:W23" si="107">T16</f>
        <v>1.0203</v>
      </c>
      <c r="X16" s="2903"/>
      <c r="Y16" s="2024"/>
      <c r="Z16" s="2024"/>
      <c r="AA16" s="2024"/>
      <c r="AB16" s="2024"/>
      <c r="AC16" s="2024"/>
      <c r="AD16" s="2024"/>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100.77336799675089</v>
      </c>
      <c r="AN16" s="3150">
        <f t="shared" si="49"/>
        <v>100.50205789057652</v>
      </c>
      <c r="AO16" s="3150">
        <f t="shared" si="50"/>
        <v>104.01274062841411</v>
      </c>
      <c r="AP16" s="3150">
        <f t="shared" si="51"/>
        <v>100.24790861210386</v>
      </c>
      <c r="AQ16" s="3150">
        <f t="shared" si="52"/>
        <v>96.917382718092782</v>
      </c>
      <c r="AR16" s="3150">
        <f t="shared" si="53"/>
        <v>104.01274062841411</v>
      </c>
    </row>
    <row r="17" spans="1:44" s="2041" customFormat="1" ht="12.75">
      <c r="A17" s="2902" t="s">
        <v>3354</v>
      </c>
      <c r="B17" s="2027">
        <v>2022</v>
      </c>
      <c r="C17" s="2038">
        <v>4</v>
      </c>
      <c r="D17" s="2003">
        <v>0.62</v>
      </c>
      <c r="E17" s="2003">
        <v>0.2</v>
      </c>
      <c r="F17" s="2003">
        <v>0.11</v>
      </c>
      <c r="G17" s="2003">
        <v>0.69</v>
      </c>
      <c r="H17" s="2914">
        <v>0.53</v>
      </c>
      <c r="I17" s="2004">
        <f t="shared" si="87"/>
        <v>0.11</v>
      </c>
      <c r="J17" s="2903"/>
      <c r="K17" s="2039">
        <f t="shared" si="88"/>
        <v>6.1999999999999998E-3</v>
      </c>
      <c r="L17" s="2024">
        <f t="shared" si="88"/>
        <v>2E-3</v>
      </c>
      <c r="M17" s="2024">
        <f t="shared" si="88"/>
        <v>1.1000000000000001E-3</v>
      </c>
      <c r="N17" s="2024">
        <f t="shared" si="88"/>
        <v>6.8999999999999999E-3</v>
      </c>
      <c r="O17" s="2024">
        <f t="shared" si="88"/>
        <v>5.3E-3</v>
      </c>
      <c r="P17" s="2024">
        <f t="shared" ref="P17:P24" si="108">M17</f>
        <v>1.1000000000000001E-3</v>
      </c>
      <c r="Q17" s="2903"/>
      <c r="R17" s="2023">
        <f>ROUND(IF(项目基本情况!$B$8="出让",SUMPRODUCT(PRODUCT(1+K17:$K$24)),SUMPRODUCT(PRODUCT(1+K17:$K$23))),4)</f>
        <v>1.0565</v>
      </c>
      <c r="S17" s="2023">
        <f>ROUND(IF(项目基本情况!$B$8="出让",SUMPRODUCT(PRODUCT(1+L17:$L$24)),SUMPRODUCT(PRODUCT(1+L17:$L$23))),4)</f>
        <v>1.0250999999999999</v>
      </c>
      <c r="T17" s="2023">
        <f>ROUND(IF(项目基本情况!$B$8="出让",SUMPRODUCT(PRODUCT(1+M17:$M$24)),SUMPRODUCT(PRODUCT(1+M17:$M$23))),4)</f>
        <v>1.0145</v>
      </c>
      <c r="U17" s="2023">
        <f>ROUND(IF(项目基本情况!$B$8="出让",SUMPRODUCT(PRODUCT(1+N17:$N$24)),SUMPRODUCT(PRODUCT(1+N17:$N$23))),4)</f>
        <v>1.0618000000000001</v>
      </c>
      <c r="V17" s="2023">
        <f>ROUND(IF(项目基本情况!$B$8="出让",SUMPRODUCT(PRODUCT(1+O17:$O$24)),SUMPRODUCT(PRODUCT(1+O17:$O$23))),4)</f>
        <v>1.0502</v>
      </c>
      <c r="W17" s="2023">
        <f t="shared" si="107"/>
        <v>1.0145</v>
      </c>
      <c r="X17" s="2903"/>
      <c r="Y17" s="2024">
        <f>IF(D17=0,0,ROUND(AVERAGE(D17:D25)/100,4))</f>
        <v>8.0999999999999996E-3</v>
      </c>
      <c r="Z17" s="2024">
        <f t="shared" ref="Z17:AC17" si="109">IF(E17=0,0,ROUND(AVERAGE(E17:E24)/100,4))</f>
        <v>3.3E-3</v>
      </c>
      <c r="AA17" s="2024">
        <f t="shared" si="109"/>
        <v>1.5E-3</v>
      </c>
      <c r="AB17" s="2024">
        <f t="shared" si="109"/>
        <v>8.8999999999999999E-3</v>
      </c>
      <c r="AC17" s="2024">
        <f t="shared" si="109"/>
        <v>6.6E-3</v>
      </c>
      <c r="AD17" s="2024">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99.884396864655471</v>
      </c>
      <c r="AN17" s="3150">
        <f t="shared" si="49"/>
        <v>99.763805728187918</v>
      </c>
      <c r="AO17" s="3150">
        <f t="shared" si="50"/>
        <v>103.42322822751726</v>
      </c>
      <c r="AP17" s="3150">
        <f t="shared" si="51"/>
        <v>99.334035485635994</v>
      </c>
      <c r="AQ17" s="3150">
        <f t="shared" si="52"/>
        <v>96.435206684669438</v>
      </c>
      <c r="AR17" s="3150">
        <f t="shared" si="53"/>
        <v>103.42322822751726</v>
      </c>
    </row>
    <row r="18" spans="1:44" s="2041" customFormat="1" ht="12.75">
      <c r="A18" s="2902" t="s">
        <v>3352</v>
      </c>
      <c r="B18" s="2027">
        <v>2022</v>
      </c>
      <c r="C18" s="2038">
        <v>3</v>
      </c>
      <c r="D18" s="2003">
        <v>0.66</v>
      </c>
      <c r="E18" s="2003">
        <v>0.32</v>
      </c>
      <c r="F18" s="2003">
        <v>0.23</v>
      </c>
      <c r="G18" s="2003">
        <v>0.72</v>
      </c>
      <c r="H18" s="2914">
        <v>0.63</v>
      </c>
      <c r="I18" s="2004">
        <f t="shared" si="87"/>
        <v>0.23</v>
      </c>
      <c r="J18" s="2903"/>
      <c r="K18" s="2039">
        <f t="shared" si="88"/>
        <v>6.6E-3</v>
      </c>
      <c r="L18" s="2024">
        <f t="shared" si="88"/>
        <v>3.2000000000000002E-3</v>
      </c>
      <c r="M18" s="2024">
        <f t="shared" si="88"/>
        <v>2.3E-3</v>
      </c>
      <c r="N18" s="2024">
        <f t="shared" si="88"/>
        <v>7.1999999999999998E-3</v>
      </c>
      <c r="O18" s="2024">
        <f t="shared" si="88"/>
        <v>6.3E-3</v>
      </c>
      <c r="P18" s="2024">
        <f t="shared" si="108"/>
        <v>2.3E-3</v>
      </c>
      <c r="Q18" s="2903"/>
      <c r="R18" s="2023">
        <f>ROUND(IF(项目基本情况!$B$8="出让",SUMPRODUCT(PRODUCT(1+K18:$K$24)),SUMPRODUCT(PRODUCT(1+K18:$K$23))),4)</f>
        <v>1.05</v>
      </c>
      <c r="S18" s="2023">
        <f>ROUND(IF(项目基本情况!$B$8="出让",SUMPRODUCT(PRODUCT(1+L18:$L$24)),SUMPRODUCT(PRODUCT(1+L18:$L$23))),4)</f>
        <v>1.0229999999999999</v>
      </c>
      <c r="T18" s="2023">
        <f>ROUND(IF(项目基本情况!$B$8="出让",SUMPRODUCT(PRODUCT(1+M18:$M$24)),SUMPRODUCT(PRODUCT(1+M18:$M$23))),4)</f>
        <v>1.0134000000000001</v>
      </c>
      <c r="U18" s="2023">
        <f>ROUND(IF(项目基本情况!$B$8="出让",SUMPRODUCT(PRODUCT(1+N18:$N$24)),SUMPRODUCT(PRODUCT(1+N18:$N$23))),4)</f>
        <v>1.0545</v>
      </c>
      <c r="V18" s="2023">
        <f>ROUND(IF(项目基本情况!$B$8="出让",SUMPRODUCT(PRODUCT(1+O18:$O$24)),SUMPRODUCT(PRODUCT(1+O18:$O$23))),4)</f>
        <v>1.0447</v>
      </c>
      <c r="W18" s="2023">
        <f t="shared" si="107"/>
        <v>1.0134000000000001</v>
      </c>
      <c r="X18" s="2903"/>
      <c r="Y18" s="2024">
        <f>IF(D18=0,0,ROUND(AVERAGE(D18:D24)/100,4))</f>
        <v>8.3999999999999995E-3</v>
      </c>
      <c r="Z18" s="2024">
        <f t="shared" ref="Z18:AC18" si="110">IF(E18=0,0,ROUND(AVERAGE(E18:E24)/100,4))</f>
        <v>3.5000000000000001E-3</v>
      </c>
      <c r="AA18" s="2024">
        <f t="shared" si="110"/>
        <v>1.5E-3</v>
      </c>
      <c r="AB18" s="2024">
        <f t="shared" si="110"/>
        <v>9.1999999999999998E-3</v>
      </c>
      <c r="AC18" s="2024">
        <f t="shared" si="110"/>
        <v>6.7999999999999996E-3</v>
      </c>
      <c r="AD18" s="2024">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99.268929501744651</v>
      </c>
      <c r="AN18" s="3150">
        <f t="shared" si="49"/>
        <v>99.564676375437045</v>
      </c>
      <c r="AO18" s="3150">
        <f t="shared" si="50"/>
        <v>103.30958768106807</v>
      </c>
      <c r="AP18" s="3150">
        <f t="shared" si="51"/>
        <v>98.653327525708619</v>
      </c>
      <c r="AQ18" s="3150">
        <f t="shared" si="52"/>
        <v>95.926794672903043</v>
      </c>
      <c r="AR18" s="3150">
        <f t="shared" si="53"/>
        <v>103.30958768106807</v>
      </c>
    </row>
    <row r="19" spans="1:44" s="2041" customFormat="1" ht="12.75">
      <c r="A19" s="2902" t="s">
        <v>3343</v>
      </c>
      <c r="B19" s="2027">
        <v>2022</v>
      </c>
      <c r="C19" s="2038">
        <v>2</v>
      </c>
      <c r="D19" s="2003">
        <v>0.93</v>
      </c>
      <c r="E19" s="2003">
        <v>0.15</v>
      </c>
      <c r="F19" s="2003">
        <v>0.01</v>
      </c>
      <c r="G19" s="2003">
        <v>1.05</v>
      </c>
      <c r="H19" s="2914">
        <v>1.08</v>
      </c>
      <c r="I19" s="2004">
        <f t="shared" si="87"/>
        <v>0.01</v>
      </c>
      <c r="J19" s="2903"/>
      <c r="K19" s="2039">
        <f t="shared" si="88"/>
        <v>9.300000000000001E-3</v>
      </c>
      <c r="L19" s="2024">
        <f t="shared" si="88"/>
        <v>1.5E-3</v>
      </c>
      <c r="M19" s="2024">
        <f t="shared" si="88"/>
        <v>1E-4</v>
      </c>
      <c r="N19" s="2024">
        <f t="shared" si="88"/>
        <v>1.0500000000000001E-2</v>
      </c>
      <c r="O19" s="2024">
        <f t="shared" si="88"/>
        <v>1.0800000000000001E-2</v>
      </c>
      <c r="P19" s="2024">
        <f t="shared" si="108"/>
        <v>1E-4</v>
      </c>
      <c r="Q19" s="2903"/>
      <c r="R19" s="2023">
        <f>ROUND(IF(项目基本情况!$B$8="出让",SUMPRODUCT(PRODUCT(1+K19:$K$24)),SUMPRODUCT(PRODUCT(1+K19:$K$23))),4)</f>
        <v>1.0430999999999999</v>
      </c>
      <c r="S19" s="2023">
        <f>ROUND(IF(项目基本情况!$B$8="出让",SUMPRODUCT(PRODUCT(1+L19:$L$24)),SUMPRODUCT(PRODUCT(1+L19:$L$23))),4)</f>
        <v>1.0197000000000001</v>
      </c>
      <c r="T19" s="2023">
        <f>ROUND(IF(项目基本情况!$B$8="出让",SUMPRODUCT(PRODUCT(1+M19:$M$24)),SUMPRODUCT(PRODUCT(1+M19:$M$23))),4)</f>
        <v>1.0109999999999999</v>
      </c>
      <c r="U19" s="2023">
        <f>ROUND(IF(项目基本情况!$B$8="出让",SUMPRODUCT(PRODUCT(1+N19:$N$24)),SUMPRODUCT(PRODUCT(1+N19:$N$23))),4)</f>
        <v>1.0468999999999999</v>
      </c>
      <c r="V19" s="2023">
        <f>ROUND(IF(项目基本情况!$B$8="出让",SUMPRODUCT(PRODUCT(1+O19:$O$24)),SUMPRODUCT(PRODUCT(1+O19:$O$23))),4)</f>
        <v>1.0382</v>
      </c>
      <c r="W19" s="2023">
        <f t="shared" si="107"/>
        <v>1.0109999999999999</v>
      </c>
      <c r="X19" s="2903"/>
      <c r="Y19" s="2024">
        <f>IF(D19=0,0,ROUND(AVERAGE(D19:D24)/100,4))</f>
        <v>8.6999999999999994E-3</v>
      </c>
      <c r="Z19" s="2024">
        <f t="shared" ref="Z19:AC19" si="111">IF(E19=0,0,ROUND(AVERAGE(E19:E24)/100,4))</f>
        <v>3.5000000000000001E-3</v>
      </c>
      <c r="AA19" s="2024">
        <f t="shared" si="111"/>
        <v>1.4E-3</v>
      </c>
      <c r="AB19" s="2024">
        <f t="shared" si="111"/>
        <v>9.4999999999999998E-3</v>
      </c>
      <c r="AC19" s="2024">
        <f t="shared" si="111"/>
        <v>6.8999999999999999E-3</v>
      </c>
      <c r="AD19" s="2024">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98.618050369307227</v>
      </c>
      <c r="AN19" s="3150">
        <f t="shared" si="49"/>
        <v>99.247085701193214</v>
      </c>
      <c r="AO19" s="3150">
        <f t="shared" si="50"/>
        <v>103.07252088303709</v>
      </c>
      <c r="AP19" s="3150">
        <f t="shared" si="51"/>
        <v>97.948101197089571</v>
      </c>
      <c r="AQ19" s="3150">
        <f t="shared" si="52"/>
        <v>95.326239364904154</v>
      </c>
      <c r="AR19" s="3150">
        <f t="shared" si="53"/>
        <v>103.07252088303709</v>
      </c>
    </row>
    <row r="20" spans="1:44" s="2041" customFormat="1" ht="12.75">
      <c r="A20" s="2902" t="s">
        <v>2810</v>
      </c>
      <c r="B20" s="2027">
        <v>2022</v>
      </c>
      <c r="C20" s="2038">
        <v>1</v>
      </c>
      <c r="D20" s="2003">
        <v>0.89</v>
      </c>
      <c r="E20" s="2003">
        <v>0.44</v>
      </c>
      <c r="F20" s="2003">
        <v>0.37</v>
      </c>
      <c r="G20" s="2003">
        <v>0.96</v>
      </c>
      <c r="H20" s="2914">
        <v>0.64</v>
      </c>
      <c r="I20" s="2004">
        <f t="shared" si="87"/>
        <v>0.37</v>
      </c>
      <c r="J20" s="2903"/>
      <c r="K20" s="2039">
        <f t="shared" si="88"/>
        <v>8.8999999999999999E-3</v>
      </c>
      <c r="L20" s="2024">
        <f t="shared" si="88"/>
        <v>4.4000000000000003E-3</v>
      </c>
      <c r="M20" s="2024">
        <f t="shared" si="88"/>
        <v>3.7000000000000002E-3</v>
      </c>
      <c r="N20" s="2024">
        <f t="shared" si="88"/>
        <v>9.5999999999999992E-3</v>
      </c>
      <c r="O20" s="2024">
        <f t="shared" si="88"/>
        <v>6.4000000000000003E-3</v>
      </c>
      <c r="P20" s="2024">
        <f t="shared" si="108"/>
        <v>3.7000000000000002E-3</v>
      </c>
      <c r="Q20" s="2903"/>
      <c r="R20" s="2023">
        <f>ROUND(IF(项目基本情况!$B$8="出让",SUMPRODUCT(PRODUCT(1+K20:$K$24)),SUMPRODUCT(PRODUCT(1+K20:$K$23))),4)</f>
        <v>1.0335000000000001</v>
      </c>
      <c r="S20" s="2023">
        <f>ROUND(IF(项目基本情况!$B$8="出让",SUMPRODUCT(PRODUCT(1+L20:$L$24)),SUMPRODUCT(PRODUCT(1+L20:$L$23))),4)</f>
        <v>1.0182</v>
      </c>
      <c r="T20" s="2023">
        <f>ROUND(IF(项目基本情况!$B$8="出让",SUMPRODUCT(PRODUCT(1+M20:$M$24)),SUMPRODUCT(PRODUCT(1+M20:$M$23))),4)</f>
        <v>1.0108999999999999</v>
      </c>
      <c r="U20" s="2023">
        <f>ROUND(IF(项目基本情况!$B$8="出让",SUMPRODUCT(PRODUCT(1+N20:$N$24)),SUMPRODUCT(PRODUCT(1+N20:$N$23))),4)</f>
        <v>1.0361</v>
      </c>
      <c r="V20" s="2023">
        <f>ROUND(IF(项目基本情况!$B$8="出让",SUMPRODUCT(PRODUCT(1+O20:$O$24)),SUMPRODUCT(PRODUCT(1+O20:$O$23))),4)</f>
        <v>1.0270999999999999</v>
      </c>
      <c r="W20" s="2023">
        <f t="shared" si="107"/>
        <v>1.0108999999999999</v>
      </c>
      <c r="X20" s="2903"/>
      <c r="Y20" s="2024">
        <f>IF(D20=0,0,ROUND(AVERAGE(D20:D24)/100,4))</f>
        <v>8.6E-3</v>
      </c>
      <c r="Z20" s="2024">
        <f t="shared" ref="Z20:AC20" si="112">IF(E20=0,0,ROUND(AVERAGE(E20:E24)/100,4))</f>
        <v>3.8999999999999998E-3</v>
      </c>
      <c r="AA20" s="2024">
        <f t="shared" si="112"/>
        <v>1.6999999999999999E-3</v>
      </c>
      <c r="AB20" s="2024">
        <f t="shared" si="112"/>
        <v>9.2999999999999992E-3</v>
      </c>
      <c r="AC20" s="2024">
        <f t="shared" si="112"/>
        <v>6.1000000000000004E-3</v>
      </c>
      <c r="AD20" s="2024">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97.709353382846743</v>
      </c>
      <c r="AN20" s="3150">
        <f t="shared" si="49"/>
        <v>99.098438044127022</v>
      </c>
      <c r="AO20" s="3150">
        <f t="shared" si="50"/>
        <v>103.06221466157093</v>
      </c>
      <c r="AP20" s="3150">
        <f t="shared" si="51"/>
        <v>96.930332703700714</v>
      </c>
      <c r="AQ20" s="3150">
        <f t="shared" si="52"/>
        <v>94.307716031761146</v>
      </c>
      <c r="AR20" s="3150">
        <f t="shared" si="53"/>
        <v>103.06221466157093</v>
      </c>
    </row>
    <row r="21" spans="1:44" s="2041" customFormat="1" ht="12.75">
      <c r="A21" s="2902" t="s">
        <v>2811</v>
      </c>
      <c r="B21" s="2027">
        <v>2021</v>
      </c>
      <c r="C21" s="2038">
        <v>4</v>
      </c>
      <c r="D21" s="2003">
        <v>1.03</v>
      </c>
      <c r="E21" s="2003">
        <v>0.24</v>
      </c>
      <c r="F21" s="2003">
        <v>7.0000000000000007E-2</v>
      </c>
      <c r="G21" s="2003">
        <v>1.17</v>
      </c>
      <c r="H21" s="2914">
        <v>0.55000000000000004</v>
      </c>
      <c r="I21" s="2004">
        <f t="shared" si="87"/>
        <v>7.0000000000000007E-2</v>
      </c>
      <c r="J21" s="2903"/>
      <c r="K21" s="2039">
        <f t="shared" si="88"/>
        <v>1.03E-2</v>
      </c>
      <c r="L21" s="2024">
        <f t="shared" si="88"/>
        <v>2.3999999999999998E-3</v>
      </c>
      <c r="M21" s="2024">
        <f t="shared" si="88"/>
        <v>7.000000000000001E-4</v>
      </c>
      <c r="N21" s="2024">
        <f t="shared" si="88"/>
        <v>1.1699999999999999E-2</v>
      </c>
      <c r="O21" s="2024">
        <f t="shared" si="88"/>
        <v>5.5000000000000005E-3</v>
      </c>
      <c r="P21" s="2024">
        <f t="shared" si="108"/>
        <v>7.000000000000001E-4</v>
      </c>
      <c r="Q21" s="2903"/>
      <c r="R21" s="2023">
        <f>ROUND(IF(项目基本情况!$B$8="出让",SUMPRODUCT(PRODUCT(1+K21:$K$24)),SUMPRODUCT(PRODUCT(1+K21:$K$23))),4)</f>
        <v>1.0244</v>
      </c>
      <c r="S21" s="2023">
        <f>ROUND(IF(项目基本情况!$B$8="出让",SUMPRODUCT(PRODUCT(1+L21:$L$24)),SUMPRODUCT(PRODUCT(1+L21:$L$23))),4)</f>
        <v>1.0138</v>
      </c>
      <c r="T21" s="2023">
        <f>ROUND(IF(项目基本情况!$B$8="出让",SUMPRODUCT(PRODUCT(1+M21:$M$24)),SUMPRODUCT(PRODUCT(1+M21:$M$23))),4)</f>
        <v>1.0072000000000001</v>
      </c>
      <c r="U21" s="2023">
        <f>ROUND(IF(项目基本情况!$B$8="出让",SUMPRODUCT(PRODUCT(1+N21:$N$24)),SUMPRODUCT(PRODUCT(1+N21:$N$23))),4)</f>
        <v>1.0262</v>
      </c>
      <c r="V21" s="2023">
        <f>ROUND(IF(项目基本情况!$B$8="出让",SUMPRODUCT(PRODUCT(1+O21:$O$24)),SUMPRODUCT(PRODUCT(1+O21:$O$23))),4)</f>
        <v>1.0205</v>
      </c>
      <c r="W21" s="2023">
        <f t="shared" si="107"/>
        <v>1.0072000000000001</v>
      </c>
      <c r="X21" s="2903"/>
      <c r="Y21" s="2024">
        <f>IF(D21=0,0,ROUND(AVERAGE(D21:D24)/100,4))</f>
        <v>8.5000000000000006E-3</v>
      </c>
      <c r="Z21" s="2024">
        <f t="shared" ref="Z21:AC21" si="113">IF(E21=0,0,ROUND(AVERAGE(E21:E24)/100,4))</f>
        <v>3.8E-3</v>
      </c>
      <c r="AA21" s="2024">
        <f t="shared" si="113"/>
        <v>1.1999999999999999E-3</v>
      </c>
      <c r="AB21" s="2024">
        <f t="shared" si="113"/>
        <v>9.2999999999999992E-3</v>
      </c>
      <c r="AC21" s="2024">
        <f t="shared" si="113"/>
        <v>6.0000000000000001E-3</v>
      </c>
      <c r="AD21" s="2024">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96.847411421198089</v>
      </c>
      <c r="AN21" s="3150">
        <f t="shared" si="49"/>
        <v>98.664315057872386</v>
      </c>
      <c r="AO21" s="3150">
        <f t="shared" si="50"/>
        <v>102.68229018787579</v>
      </c>
      <c r="AP21" s="3150">
        <f t="shared" si="51"/>
        <v>96.008649666898478</v>
      </c>
      <c r="AQ21" s="3150">
        <f t="shared" si="52"/>
        <v>93.70798492822054</v>
      </c>
      <c r="AR21" s="3150">
        <f t="shared" si="53"/>
        <v>102.68229018787579</v>
      </c>
    </row>
    <row r="22" spans="1:44" s="2041" customFormat="1" ht="12.75">
      <c r="A22" s="2902" t="s">
        <v>2812</v>
      </c>
      <c r="B22" s="2027">
        <v>2021</v>
      </c>
      <c r="C22" s="2038">
        <v>3</v>
      </c>
      <c r="D22" s="2003">
        <v>0.47</v>
      </c>
      <c r="E22" s="2003">
        <v>0.41</v>
      </c>
      <c r="F22" s="2003">
        <v>0.24</v>
      </c>
      <c r="G22" s="2003">
        <v>0.48</v>
      </c>
      <c r="H22" s="2914">
        <v>0.48</v>
      </c>
      <c r="I22" s="2004">
        <f t="shared" si="87"/>
        <v>0.24</v>
      </c>
      <c r="J22" s="2903"/>
      <c r="K22" s="2039">
        <f t="shared" si="88"/>
        <v>4.6999999999999993E-3</v>
      </c>
      <c r="L22" s="2024">
        <f t="shared" si="88"/>
        <v>4.0999999999999995E-3</v>
      </c>
      <c r="M22" s="2024">
        <f t="shared" si="88"/>
        <v>2.3999999999999998E-3</v>
      </c>
      <c r="N22" s="2024">
        <f t="shared" si="88"/>
        <v>4.7999999999999996E-3</v>
      </c>
      <c r="O22" s="2024">
        <f t="shared" si="88"/>
        <v>4.7999999999999996E-3</v>
      </c>
      <c r="P22" s="2024">
        <f t="shared" si="108"/>
        <v>2.3999999999999998E-3</v>
      </c>
      <c r="Q22" s="2903"/>
      <c r="R22" s="2023">
        <f>ROUND(IF(项目基本情况!$B$8="出让",SUMPRODUCT(PRODUCT(1+K22:$K$24)),SUMPRODUCT(PRODUCT(1+K22:$K$23))),4)</f>
        <v>1.0139</v>
      </c>
      <c r="S22" s="2023">
        <f>ROUND(IF(项目基本情况!$B$8="出让",SUMPRODUCT(PRODUCT(1+L22:$L$24)),SUMPRODUCT(PRODUCT(1+L22:$L$23))),4)</f>
        <v>1.0113000000000001</v>
      </c>
      <c r="T22" s="2023">
        <f>ROUND(IF(项目基本情况!$B$8="出让",SUMPRODUCT(PRODUCT(1+M22:$M$24)),SUMPRODUCT(PRODUCT(1+M22:$M$23))),4)</f>
        <v>1.0065</v>
      </c>
      <c r="U22" s="2023">
        <f>ROUND(IF(项目基本情况!$B$8="出让",SUMPRODUCT(PRODUCT(1+N22:$N$24)),SUMPRODUCT(PRODUCT(1+N22:$N$23))),4)</f>
        <v>1.0143</v>
      </c>
      <c r="V22" s="2023">
        <f>ROUND(IF(项目基本情况!$B$8="出让",SUMPRODUCT(PRODUCT(1+O22:$O$24)),SUMPRODUCT(PRODUCT(1+O22:$O$23))),4)</f>
        <v>1.0148999999999999</v>
      </c>
      <c r="W22" s="2023">
        <f t="shared" si="107"/>
        <v>1.0065</v>
      </c>
      <c r="X22" s="2903"/>
      <c r="Y22" s="2024">
        <f>IF(D22=0,0,ROUND(AVERAGE(D22:D24)/100,4))</f>
        <v>7.9000000000000008E-3</v>
      </c>
      <c r="Z22" s="2024">
        <f>IF(E22=0,0,ROUND(AVERAGE(E22:E24)/100,4))</f>
        <v>4.3E-3</v>
      </c>
      <c r="AA22" s="2024">
        <f>IF(F22=0,0,ROUND(AVERAGE(F22:F24)/100,4))</f>
        <v>1.2999999999999999E-3</v>
      </c>
      <c r="AB22" s="2024">
        <f>IF(G22=0,0,ROUND(AVERAGE(G22:G24)/100,4))</f>
        <v>8.5000000000000006E-3</v>
      </c>
      <c r="AC22" s="2024">
        <f>IF(H22=0,0,ROUND(AVERAGE(H22:H24)/100,4))</f>
        <v>6.1999999999999998E-3</v>
      </c>
      <c r="AD22" s="2024">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95.860052876569426</v>
      </c>
      <c r="AN22" s="3150">
        <f t="shared" si="49"/>
        <v>98.428087647518353</v>
      </c>
      <c r="AO22" s="3150">
        <f t="shared" si="50"/>
        <v>102.61046286387109</v>
      </c>
      <c r="AP22" s="3150">
        <f t="shared" si="51"/>
        <v>94.898339099435077</v>
      </c>
      <c r="AQ22" s="3150">
        <f t="shared" si="52"/>
        <v>93.195410172273029</v>
      </c>
      <c r="AR22" s="3150">
        <f t="shared" si="53"/>
        <v>102.61046286387109</v>
      </c>
    </row>
    <row r="23" spans="1:44" s="2041" customFormat="1" ht="12.75">
      <c r="A23" s="2902" t="s">
        <v>2813</v>
      </c>
      <c r="B23" s="2027">
        <v>2021</v>
      </c>
      <c r="C23" s="2038">
        <v>2</v>
      </c>
      <c r="D23" s="2003">
        <v>0.92</v>
      </c>
      <c r="E23" s="2003">
        <v>0.72</v>
      </c>
      <c r="F23" s="2003">
        <v>0.41</v>
      </c>
      <c r="G23" s="2003">
        <v>0.95</v>
      </c>
      <c r="H23" s="2914">
        <v>1.01</v>
      </c>
      <c r="I23" s="2004">
        <f t="shared" si="87"/>
        <v>0.41</v>
      </c>
      <c r="J23" s="2903"/>
      <c r="K23" s="2039">
        <f t="shared" si="88"/>
        <v>9.1999999999999998E-3</v>
      </c>
      <c r="L23" s="2024">
        <f t="shared" si="88"/>
        <v>7.1999999999999998E-3</v>
      </c>
      <c r="M23" s="2024">
        <f t="shared" si="88"/>
        <v>4.0999999999999995E-3</v>
      </c>
      <c r="N23" s="2024">
        <f t="shared" si="88"/>
        <v>9.4999999999999998E-3</v>
      </c>
      <c r="O23" s="2024">
        <f t="shared" si="88"/>
        <v>1.01E-2</v>
      </c>
      <c r="P23" s="2024">
        <f t="shared" si="108"/>
        <v>4.0999999999999995E-3</v>
      </c>
      <c r="Q23" s="2903"/>
      <c r="R23" s="2023">
        <f>ROUND(IF(项目基本情况!$B$8="出让",SUMPRODUCT(PRODUCT(1+K23:$K$24)),SUMPRODUCT(PRODUCT(1+K23:$K$23))),4)</f>
        <v>1.0092000000000001</v>
      </c>
      <c r="S23" s="2023">
        <f>ROUND(IF(项目基本情况!$B$8="出让",SUMPRODUCT(PRODUCT(1+L23:$L$24)),SUMPRODUCT(PRODUCT(1+L23:$L$23))),4)</f>
        <v>1.0072000000000001</v>
      </c>
      <c r="T23" s="2023">
        <f>ROUND(IF(项目基本情况!$B$8="出让",SUMPRODUCT(PRODUCT(1+M23:$M$24)),SUMPRODUCT(PRODUCT(1+M23:$M$23))),4)</f>
        <v>1.0041</v>
      </c>
      <c r="U23" s="2023">
        <f>ROUND(IF(项目基本情况!$B$8="出让",SUMPRODUCT(PRODUCT(1+N23:$N$24)),SUMPRODUCT(PRODUCT(1+N23:$N$23))),4)</f>
        <v>1.0095000000000001</v>
      </c>
      <c r="V23" s="2023">
        <f>ROUND(IF(项目基本情况!$B$8="出让",SUMPRODUCT(PRODUCT(1+O23:$O$24)),SUMPRODUCT(PRODUCT(1+O23:$O$23))),4)</f>
        <v>1.0101</v>
      </c>
      <c r="W23" s="2023">
        <f t="shared" si="107"/>
        <v>1.0041</v>
      </c>
      <c r="X23" s="2903"/>
      <c r="Y23" s="2024">
        <f>IF(D23=0,0,ROUND(AVERAGE(D23:D24)/100,4))</f>
        <v>9.4999999999999998E-3</v>
      </c>
      <c r="Z23" s="2024">
        <f>IF(E23=0,0,ROUND(AVERAGE(E23:E24)/100,4))</f>
        <v>4.4000000000000003E-3</v>
      </c>
      <c r="AA23" s="2024">
        <f>IF(F23=0,0,ROUND(AVERAGE(F23:F24)/100,4))</f>
        <v>8.0000000000000004E-4</v>
      </c>
      <c r="AB23" s="2024">
        <f>IF(G23=0,0,ROUND(AVERAGE(G23:G24)/100,4))</f>
        <v>1.03E-2</v>
      </c>
      <c r="AC23" s="2024">
        <f>IF(H23=0,0,ROUND(AVERAGE(H23:H24)/100,4))</f>
        <v>6.8999999999999999E-3</v>
      </c>
      <c r="AD23" s="2024">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95.411618270697161</v>
      </c>
      <c r="AN23" s="3150">
        <f t="shared" si="49"/>
        <v>98.02618030825451</v>
      </c>
      <c r="AO23" s="3150">
        <f t="shared" si="50"/>
        <v>102.36478737417308</v>
      </c>
      <c r="AP23" s="3150">
        <f t="shared" si="51"/>
        <v>94.445003084628866</v>
      </c>
      <c r="AQ23" s="3150">
        <f t="shared" si="52"/>
        <v>92.750209168265357</v>
      </c>
      <c r="AR23" s="3150">
        <f t="shared" si="53"/>
        <v>102.36478737417308</v>
      </c>
    </row>
    <row r="24" spans="1:44" s="2925" customFormat="1" ht="14.25" thickBot="1">
      <c r="A24" s="2915" t="s">
        <v>2814</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94.541833403386008</v>
      </c>
      <c r="AN24" s="3157">
        <f t="shared" si="49"/>
        <v>97.325437160697476</v>
      </c>
      <c r="AO24" s="3157">
        <f t="shared" si="50"/>
        <v>101.94680547173894</v>
      </c>
      <c r="AP24" s="3157">
        <f t="shared" si="51"/>
        <v>93.556219004090011</v>
      </c>
      <c r="AQ24" s="3157">
        <f t="shared" si="52"/>
        <v>91.82279889938161</v>
      </c>
      <c r="AR24" s="3157">
        <f t="shared" si="53"/>
        <v>101.94680547173894</v>
      </c>
    </row>
    <row r="25" spans="1:44" ht="14.25" thickTop="1"/>
    <row r="26" spans="1:44">
      <c r="A26" s="3140" t="s">
        <v>3369</v>
      </c>
    </row>
    <row r="27" spans="1:44">
      <c r="I27" s="1401" t="s">
        <v>2815</v>
      </c>
    </row>
    <row r="29" spans="1:44" s="2005" customFormat="1" ht="12.75">
      <c r="B29" s="2926" t="s">
        <v>3367</v>
      </c>
      <c r="C29" s="2927"/>
      <c r="D29" s="2927"/>
      <c r="E29" s="2927"/>
      <c r="F29" s="2927"/>
      <c r="G29" s="2927"/>
      <c r="H29" s="2927"/>
      <c r="I29" s="2927"/>
      <c r="J29" s="2893"/>
      <c r="K29" s="2927" t="s">
        <v>2816</v>
      </c>
      <c r="L29" s="2927"/>
      <c r="M29" s="2927"/>
      <c r="N29" s="2927"/>
      <c r="O29" s="2927"/>
      <c r="P29" s="2927"/>
      <c r="Q29" s="2893"/>
      <c r="R29" s="3417" t="s">
        <v>2817</v>
      </c>
      <c r="S29" s="3418"/>
      <c r="T29" s="3418"/>
      <c r="U29" s="3418"/>
      <c r="V29" s="3418"/>
      <c r="W29" s="3418"/>
      <c r="X29" s="2893"/>
      <c r="Y29" s="3417" t="s">
        <v>2818</v>
      </c>
      <c r="Z29" s="3418"/>
      <c r="AA29" s="3418"/>
      <c r="AB29" s="3418"/>
      <c r="AC29" s="3418"/>
      <c r="AD29" s="3418"/>
    </row>
    <row r="30" spans="1:44" s="2006" customFormat="1" ht="14.25" thickBot="1">
      <c r="B30" s="2878"/>
      <c r="C30" s="2879"/>
      <c r="D30" s="2007" t="s">
        <v>2819</v>
      </c>
      <c r="E30" s="2008" t="s">
        <v>2820</v>
      </c>
      <c r="F30" s="2008" t="s">
        <v>2821</v>
      </c>
      <c r="G30" s="2008" t="s">
        <v>2822</v>
      </c>
      <c r="H30" s="2008"/>
      <c r="I30" s="2008" t="s">
        <v>2823</v>
      </c>
      <c r="J30" s="2880"/>
      <c r="K30" s="2007" t="s">
        <v>2819</v>
      </c>
      <c r="L30" s="2008" t="s">
        <v>2820</v>
      </c>
      <c r="M30" s="2008" t="s">
        <v>2821</v>
      </c>
      <c r="N30" s="2008" t="s">
        <v>2822</v>
      </c>
      <c r="O30" s="2008"/>
      <c r="P30" s="2008" t="s">
        <v>2823</v>
      </c>
      <c r="Q30" s="2880"/>
      <c r="R30" s="2007" t="s">
        <v>2819</v>
      </c>
      <c r="S30" s="2008" t="s">
        <v>2820</v>
      </c>
      <c r="T30" s="2008" t="s">
        <v>2821</v>
      </c>
      <c r="U30" s="2008" t="s">
        <v>2822</v>
      </c>
      <c r="V30" s="2008"/>
      <c r="W30" s="2008" t="s">
        <v>2823</v>
      </c>
      <c r="X30" s="2880"/>
      <c r="Y30" s="2007" t="s">
        <v>2819</v>
      </c>
      <c r="Z30" s="2008" t="s">
        <v>2820</v>
      </c>
      <c r="AA30" s="2008" t="s">
        <v>2821</v>
      </c>
      <c r="AB30" s="2008" t="s">
        <v>2822</v>
      </c>
      <c r="AC30" s="2008"/>
      <c r="AD30" s="2008" t="s">
        <v>2823</v>
      </c>
      <c r="AG30" t="s">
        <v>673</v>
      </c>
      <c r="AH30" t="s">
        <v>21</v>
      </c>
      <c r="AI30" t="s">
        <v>3394</v>
      </c>
      <c r="AJ30"/>
      <c r="AK30" t="s">
        <v>3395</v>
      </c>
      <c r="AN30" t="s">
        <v>673</v>
      </c>
      <c r="AO30" t="s">
        <v>21</v>
      </c>
      <c r="AP30" t="s">
        <v>3394</v>
      </c>
      <c r="AQ30"/>
      <c r="AR30" t="s">
        <v>3395</v>
      </c>
    </row>
    <row r="31" spans="1:44" s="2883" customFormat="1" ht="12.75">
      <c r="A31" s="2881" t="s">
        <v>2824</v>
      </c>
      <c r="B31" s="2882"/>
      <c r="E31" s="2883">
        <f t="shared" ref="E31:G31" si="115">ROUND(AVERAGEIF(E32:E52,"&lt;&gt;0"),2)</f>
        <v>0.09</v>
      </c>
      <c r="F31" s="2883">
        <f t="shared" si="115"/>
        <v>0.01</v>
      </c>
      <c r="G31" s="2883">
        <f t="shared" si="115"/>
        <v>0.24</v>
      </c>
      <c r="I31" s="2883">
        <f>F31</f>
        <v>0.01</v>
      </c>
      <c r="J31" s="2884"/>
      <c r="K31" s="2885"/>
      <c r="L31" s="2886">
        <f t="shared" ref="L31:N31" si="116">ROUND(AVERAGEIF(L32:L52,"&lt;&gt;0"),4)</f>
        <v>8.9999999999999998E-4</v>
      </c>
      <c r="M31" s="2886">
        <f t="shared" si="116"/>
        <v>1E-4</v>
      </c>
      <c r="N31" s="2886">
        <f t="shared" si="116"/>
        <v>2.3999999999999998E-3</v>
      </c>
      <c r="O31" s="2886"/>
      <c r="P31" s="2886">
        <f>M31</f>
        <v>1E-4</v>
      </c>
      <c r="Q31" s="2884"/>
      <c r="R31" s="2887"/>
      <c r="S31" s="2888">
        <f>ROUND(SUMPRODUCT(PRODUCT(1+L32:L52)),4)</f>
        <v>1.0153000000000001</v>
      </c>
      <c r="T31" s="2888">
        <f t="shared" ref="T31:U31" si="117">ROUND(SUMPRODUCT(PRODUCT(1+M32:M52)),4)</f>
        <v>1.0016</v>
      </c>
      <c r="U31" s="2888">
        <f t="shared" si="117"/>
        <v>1.044</v>
      </c>
      <c r="V31" s="2888"/>
      <c r="W31" s="2887">
        <f>T31</f>
        <v>1.0016</v>
      </c>
      <c r="X31" s="2884"/>
      <c r="Y31" s="2889"/>
      <c r="Z31" s="2890">
        <f t="shared" ref="Z31:AB31" si="118">ROUND(AVERAGEIF(Z32:Z52,"&lt;&gt;0"),4)</f>
        <v>3.3E-3</v>
      </c>
      <c r="AA31" s="2891">
        <f t="shared" si="118"/>
        <v>2.7000000000000001E-3</v>
      </c>
      <c r="AB31" s="2889">
        <f t="shared" si="118"/>
        <v>6.4999999999999997E-3</v>
      </c>
      <c r="AC31" s="2892"/>
      <c r="AD31" s="2889">
        <f>AA31</f>
        <v>2.7000000000000001E-3</v>
      </c>
    </row>
    <row r="32" spans="1:44" s="2005" customFormat="1" ht="12.75">
      <c r="B32" s="2021"/>
      <c r="J32" s="2893"/>
      <c r="K32" s="2894"/>
      <c r="L32" s="2895"/>
      <c r="M32" s="2895"/>
      <c r="N32" s="2895"/>
      <c r="O32" s="2895"/>
      <c r="P32" s="2895"/>
      <c r="Q32" s="2893"/>
      <c r="R32" s="2023"/>
      <c r="S32" s="2896"/>
      <c r="T32" s="2897"/>
      <c r="U32" s="2023"/>
      <c r="V32" s="2898"/>
      <c r="W32" s="2023"/>
      <c r="X32" s="2893"/>
      <c r="Y32" s="2024"/>
      <c r="Z32" s="2899"/>
      <c r="AA32" s="2900"/>
      <c r="AB32" s="2024"/>
      <c r="AC32" s="2901"/>
      <c r="AD32" s="2024"/>
    </row>
    <row r="33" spans="1:44" s="2041" customFormat="1">
      <c r="A33" s="2036" t="s">
        <v>3392</v>
      </c>
      <c r="B33" s="2027">
        <v>2025</v>
      </c>
      <c r="C33" s="2038">
        <v>4</v>
      </c>
      <c r="D33" s="2003"/>
      <c r="E33" s="2003">
        <v>0</v>
      </c>
      <c r="F33" s="2003">
        <v>0</v>
      </c>
      <c r="G33" s="2003">
        <v>0</v>
      </c>
      <c r="H33" s="2003"/>
      <c r="I33" s="2004">
        <f t="shared" ref="I33" si="119">F33</f>
        <v>0</v>
      </c>
      <c r="J33" s="2903"/>
      <c r="K33" s="2039"/>
      <c r="L33" s="2024">
        <f t="shared" ref="L33" si="120">E33/100</f>
        <v>0</v>
      </c>
      <c r="M33" s="2024">
        <f t="shared" ref="M33" si="121">F33/100</f>
        <v>0</v>
      </c>
      <c r="N33" s="2024">
        <f t="shared" ref="N33" si="122">G33/100</f>
        <v>0</v>
      </c>
      <c r="O33" s="2024"/>
      <c r="P33" s="2024">
        <f t="shared" ref="P33:P39" si="123">M33</f>
        <v>0</v>
      </c>
      <c r="Q33" s="2903"/>
      <c r="R33" s="2023"/>
      <c r="S33" s="2023">
        <f>ROUND(IF(项目基本情况!$B$8="出让",SUMPRODUCT(PRODUCT(1+L33:L$52)),SUMPRODUCT(PRODUCT(1+L33:L$51))),4)</f>
        <v>1.0118</v>
      </c>
      <c r="T33" s="2023">
        <f>ROUND(IF(项目基本情况!$B$8="出让",SUMPRODUCT(PRODUCT(1+M33:M$52)),SUMPRODUCT(PRODUCT(1+M33:M$51))),4)</f>
        <v>0.99680000000000002</v>
      </c>
      <c r="U33" s="2023">
        <f>ROUND(IF(项目基本情况!$B$8="出让",SUMPRODUCT(PRODUCT(1+N33:N$52)),SUMPRODUCT(PRODUCT(1+N33:N$51))),4)</f>
        <v>1.0338000000000001</v>
      </c>
      <c r="V33" s="2023"/>
      <c r="W33" s="2023">
        <f t="shared" ref="W33:W39" si="124">T33</f>
        <v>0.99680000000000002</v>
      </c>
      <c r="X33" s="2903"/>
      <c r="Y33" s="2024"/>
      <c r="Z33" s="2899">
        <f t="shared" ref="Z33" si="125">IF(E33=0,0,ROUND(AVERAGE(E33:E46)/100,4))</f>
        <v>0</v>
      </c>
      <c r="AA33" s="2899">
        <f t="shared" ref="AA33" si="126">IF(F33=0,0,ROUND(AVERAGE(F33:F46)/100,4))</f>
        <v>0</v>
      </c>
      <c r="AB33" s="2899">
        <f t="shared" ref="AB33" si="127">IF(G33=0,0,ROUND(AVERAGE(G33:G46)/100,4))</f>
        <v>0</v>
      </c>
      <c r="AC33" s="2901"/>
      <c r="AD33" s="2024">
        <f t="shared" ref="AD33:AD39" si="128">IF(I33=0,0,ROUND(AVERAGE(I33:I46)/100,4))</f>
        <v>0</v>
      </c>
      <c r="AG33" s="3150">
        <f t="shared" ref="AG33:AG50" si="129">$AG$52*S33</f>
        <v>101.18</v>
      </c>
      <c r="AH33" s="3150">
        <f t="shared" ref="AH33:AH50" si="130">$AG$52*T33</f>
        <v>99.68</v>
      </c>
      <c r="AI33" s="3150">
        <f t="shared" ref="AI33:AI50" si="131">$AG$52*U33</f>
        <v>103.38000000000001</v>
      </c>
      <c r="AJ33" s="3152"/>
      <c r="AK33" s="3150">
        <f t="shared" ref="AK33:AK50" si="132">$AG$52*W33</f>
        <v>99.68</v>
      </c>
      <c r="AN33" s="3155">
        <v>100</v>
      </c>
      <c r="AO33" s="3155">
        <v>100</v>
      </c>
      <c r="AP33" s="3155">
        <v>100</v>
      </c>
      <c r="AQ33" s="3155"/>
      <c r="AR33" s="3155">
        <v>100</v>
      </c>
    </row>
    <row r="34" spans="1:44" s="2041" customFormat="1" ht="12.75">
      <c r="A34" s="2036" t="s">
        <v>3391</v>
      </c>
      <c r="B34" s="2027">
        <v>2025</v>
      </c>
      <c r="C34" s="2038">
        <v>3</v>
      </c>
      <c r="D34" s="2003"/>
      <c r="E34" s="2003">
        <v>0</v>
      </c>
      <c r="F34" s="2003">
        <v>0</v>
      </c>
      <c r="G34" s="2003">
        <v>0</v>
      </c>
      <c r="H34" s="2003"/>
      <c r="I34" s="2004">
        <f t="shared" ref="I34" si="133">F34</f>
        <v>0</v>
      </c>
      <c r="J34" s="2903"/>
      <c r="K34" s="2039"/>
      <c r="L34" s="2024">
        <f t="shared" ref="L34" si="134">E34/100</f>
        <v>0</v>
      </c>
      <c r="M34" s="2024">
        <f t="shared" ref="M34" si="135">F34/100</f>
        <v>0</v>
      </c>
      <c r="N34" s="2024">
        <f t="shared" ref="N34" si="136">G34/100</f>
        <v>0</v>
      </c>
      <c r="O34" s="2024"/>
      <c r="P34" s="2024">
        <f t="shared" si="123"/>
        <v>0</v>
      </c>
      <c r="Q34" s="2903"/>
      <c r="R34" s="2023"/>
      <c r="S34" s="2023">
        <f>ROUND(IF(项目基本情况!$B$8="出让",SUMPRODUCT(PRODUCT(1+L34:L$52)),SUMPRODUCT(PRODUCT(1+L34:L$51))),4)</f>
        <v>1.0118</v>
      </c>
      <c r="T34" s="2023">
        <f>ROUND(IF(项目基本情况!$B$8="出让",SUMPRODUCT(PRODUCT(1+M34:M$52)),SUMPRODUCT(PRODUCT(1+M34:M$51))),4)</f>
        <v>0.99680000000000002</v>
      </c>
      <c r="U34" s="2023">
        <f>ROUND(IF(项目基本情况!$B$8="出让",SUMPRODUCT(PRODUCT(1+N34:N$52)),SUMPRODUCT(PRODUCT(1+N34:N$51))),4)</f>
        <v>1.0338000000000001</v>
      </c>
      <c r="V34" s="2023"/>
      <c r="W34" s="2023">
        <f t="shared" si="124"/>
        <v>0.99680000000000002</v>
      </c>
      <c r="X34" s="2903"/>
      <c r="Y34" s="2024"/>
      <c r="Z34" s="2899">
        <f t="shared" ref="Z34" si="137">IF(E34=0,0,ROUND(AVERAGE(E34:E47)/100,4))</f>
        <v>0</v>
      </c>
      <c r="AA34" s="2899">
        <f t="shared" ref="AA34" si="138">IF(F34=0,0,ROUND(AVERAGE(F34:F47)/100,4))</f>
        <v>0</v>
      </c>
      <c r="AB34" s="2899">
        <f t="shared" ref="AB34" si="139">IF(G34=0,0,ROUND(AVERAGE(G34:G47)/100,4))</f>
        <v>0</v>
      </c>
      <c r="AC34" s="2901"/>
      <c r="AD34" s="2024">
        <f t="shared" si="128"/>
        <v>0</v>
      </c>
      <c r="AG34" s="3150">
        <f t="shared" si="129"/>
        <v>101.18</v>
      </c>
      <c r="AH34" s="3150">
        <f t="shared" si="130"/>
        <v>99.68</v>
      </c>
      <c r="AI34" s="3150">
        <f t="shared" si="131"/>
        <v>103.38000000000001</v>
      </c>
      <c r="AJ34" s="3152"/>
      <c r="AK34" s="3150">
        <f t="shared" si="132"/>
        <v>99.68</v>
      </c>
      <c r="AN34" s="3150">
        <f>AN33/(1+E33/100)</f>
        <v>100</v>
      </c>
      <c r="AO34" s="3150">
        <f t="shared" ref="AO34:AR34" si="140">AO33/(1+F33/100)</f>
        <v>100</v>
      </c>
      <c r="AP34" s="3150">
        <f t="shared" si="140"/>
        <v>100</v>
      </c>
      <c r="AQ34" s="3150"/>
      <c r="AR34" s="3150">
        <f t="shared" si="140"/>
        <v>100</v>
      </c>
    </row>
    <row r="35" spans="1:44" s="2913" customFormat="1" ht="12.75">
      <c r="A35" s="2904" t="s">
        <v>3399</v>
      </c>
      <c r="B35" s="2905">
        <v>2025</v>
      </c>
      <c r="C35" s="2906">
        <v>2</v>
      </c>
      <c r="D35" s="2907"/>
      <c r="E35" s="2907">
        <v>-0.31</v>
      </c>
      <c r="F35" s="2907">
        <v>-1.03</v>
      </c>
      <c r="G35" s="2907">
        <v>0.03</v>
      </c>
      <c r="H35" s="2908"/>
      <c r="I35" s="2909">
        <f t="shared" ref="I35" si="141">F35</f>
        <v>-1.03</v>
      </c>
      <c r="J35" s="2910"/>
      <c r="K35" s="2911"/>
      <c r="L35" s="2912">
        <f t="shared" ref="L35" si="142">E35/100</f>
        <v>-3.0999999999999999E-3</v>
      </c>
      <c r="M35" s="2912">
        <f t="shared" ref="M35" si="143">F35/100</f>
        <v>-1.03E-2</v>
      </c>
      <c r="N35" s="2912">
        <f t="shared" ref="N35" si="144">G35/100</f>
        <v>2.9999999999999997E-4</v>
      </c>
      <c r="O35" s="2912"/>
      <c r="P35" s="2912">
        <f t="shared" si="123"/>
        <v>-1.03E-2</v>
      </c>
      <c r="Q35" s="2910"/>
      <c r="R35" s="2910"/>
      <c r="S35" s="2910">
        <f>ROUND(IF(项目基本情况!$B$8="出让",SUMPRODUCT(PRODUCT(1+L35:L$52)),SUMPRODUCT(PRODUCT(1+L35:L$51))),4)</f>
        <v>1.0118</v>
      </c>
      <c r="T35" s="2910">
        <f>ROUND(IF(项目基本情况!$B$8="出让",SUMPRODUCT(PRODUCT(1+M35:M$52)),SUMPRODUCT(PRODUCT(1+M35:M$51))),4)</f>
        <v>0.99680000000000002</v>
      </c>
      <c r="U35" s="2910">
        <f>ROUND(IF(项目基本情况!$B$8="出让",SUMPRODUCT(PRODUCT(1+N35:N$52)),SUMPRODUCT(PRODUCT(1+N35:N$51))),4)</f>
        <v>1.0338000000000001</v>
      </c>
      <c r="V35" s="2910"/>
      <c r="W35" s="2910">
        <f t="shared" si="124"/>
        <v>0.99680000000000002</v>
      </c>
      <c r="X35" s="2910"/>
      <c r="Y35" s="2912"/>
      <c r="Z35" s="2928">
        <f t="shared" ref="Z35" si="145">IF(E35=0,0,ROUND(AVERAGE(E35:E48)/100,4))</f>
        <v>-2.9999999999999997E-4</v>
      </c>
      <c r="AA35" s="2929">
        <f t="shared" ref="AA35" si="146">IF(F35=0,0,ROUND(AVERAGE(F35:F48)/100,4))</f>
        <v>-8.0000000000000004E-4</v>
      </c>
      <c r="AB35" s="2912">
        <f t="shared" ref="AB35" si="147">IF(G35=0,0,ROUND(AVERAGE(G35:G48)/100,4))</f>
        <v>5.0000000000000001E-4</v>
      </c>
      <c r="AC35" s="2930"/>
      <c r="AD35" s="2912">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v>
      </c>
      <c r="AO35" s="3151">
        <f t="shared" ref="AO35" si="149">AO34/(1+F34/100)</f>
        <v>100</v>
      </c>
      <c r="AP35" s="3151">
        <f t="shared" ref="AP35" si="150">AP34/(1+G34/100)</f>
        <v>100</v>
      </c>
      <c r="AQ35" s="3151"/>
      <c r="AR35" s="3151">
        <f t="shared" ref="AR35" si="151">AR34/(1+I34/100)</f>
        <v>100</v>
      </c>
    </row>
    <row r="36" spans="1:44" s="2041" customFormat="1" ht="12.75">
      <c r="A36" s="2036" t="s">
        <v>3396</v>
      </c>
      <c r="B36" s="2027">
        <v>2025</v>
      </c>
      <c r="C36" s="2038">
        <v>1</v>
      </c>
      <c r="D36" s="2003"/>
      <c r="E36" s="2003">
        <v>-1.47</v>
      </c>
      <c r="F36" s="2003">
        <v>-0.98</v>
      </c>
      <c r="G36" s="2003">
        <v>-0.51</v>
      </c>
      <c r="H36" s="2003"/>
      <c r="I36" s="2004">
        <f t="shared" ref="I36" si="152">F36</f>
        <v>-0.98</v>
      </c>
      <c r="J36" s="2903"/>
      <c r="K36" s="2039"/>
      <c r="L36" s="2024">
        <f t="shared" ref="L36" si="153">E36/100</f>
        <v>-1.47E-2</v>
      </c>
      <c r="M36" s="2024">
        <f t="shared" ref="M36" si="154">F36/100</f>
        <v>-9.7999999999999997E-3</v>
      </c>
      <c r="N36" s="2024">
        <f t="shared" ref="N36" si="155">G36/100</f>
        <v>-5.1000000000000004E-3</v>
      </c>
      <c r="O36" s="2024"/>
      <c r="P36" s="2024">
        <f t="shared" si="123"/>
        <v>-9.7999999999999997E-3</v>
      </c>
      <c r="Q36" s="2903"/>
      <c r="R36" s="2023"/>
      <c r="S36" s="2023">
        <f>ROUND(IF(项目基本情况!$B$8="出让",SUMPRODUCT(PRODUCT(1+L36:L$52)),SUMPRODUCT(PRODUCT(1+L36:L$51))),4)</f>
        <v>1.0148999999999999</v>
      </c>
      <c r="T36" s="2023">
        <f>ROUND(IF(项目基本情况!$B$8="出让",SUMPRODUCT(PRODUCT(1+M36:M$52)),SUMPRODUCT(PRODUCT(1+M36:M$51))),4)</f>
        <v>1.0072000000000001</v>
      </c>
      <c r="U36" s="2023">
        <f>ROUND(IF(项目基本情况!$B$8="出让",SUMPRODUCT(PRODUCT(1+N36:N$52)),SUMPRODUCT(PRODUCT(1+N36:N$51))),4)</f>
        <v>1.0335000000000001</v>
      </c>
      <c r="V36" s="2023"/>
      <c r="W36" s="2023">
        <f t="shared" si="124"/>
        <v>1.0072000000000001</v>
      </c>
      <c r="X36" s="2903"/>
      <c r="Y36" s="2024"/>
      <c r="Z36" s="2899">
        <f t="shared" ref="Z36" si="156">IF(E36=0,0,ROUND(AVERAGE(E36:E49)/100,4))</f>
        <v>4.0000000000000002E-4</v>
      </c>
      <c r="AA36" s="2899">
        <f t="shared" ref="AA36" si="157">IF(F36=0,0,ROUND(AVERAGE(F36:F49)/100,4))</f>
        <v>0</v>
      </c>
      <c r="AB36" s="2899">
        <f t="shared" ref="AB36" si="158">IF(G36=0,0,ROUND(AVERAGE(G36:G49)/100,4))</f>
        <v>1E-3</v>
      </c>
      <c r="AC36" s="2901"/>
      <c r="AD36" s="2024">
        <f t="shared" si="128"/>
        <v>0</v>
      </c>
      <c r="AG36" s="3150">
        <f t="shared" si="129"/>
        <v>101.49</v>
      </c>
      <c r="AH36" s="3150">
        <f t="shared" si="130"/>
        <v>100.72000000000001</v>
      </c>
      <c r="AI36" s="3150">
        <f t="shared" si="131"/>
        <v>103.35000000000001</v>
      </c>
      <c r="AJ36" s="3152"/>
      <c r="AK36" s="3150">
        <f t="shared" si="132"/>
        <v>100.72000000000001</v>
      </c>
      <c r="AN36" s="3150">
        <f t="shared" si="148"/>
        <v>100.31096398836392</v>
      </c>
      <c r="AO36" s="3150">
        <f t="shared" ref="AO36:AO52" si="159">AO35/(1+F35/100)</f>
        <v>101.04071940992219</v>
      </c>
      <c r="AP36" s="3150">
        <f t="shared" ref="AP36:AP52" si="160">AP35/(1+G35/100)</f>
        <v>99.970008997300809</v>
      </c>
      <c r="AQ36" s="3150"/>
      <c r="AR36" s="3150">
        <f t="shared" ref="AR36:AR52" si="161">AR35/(1+I35/100)</f>
        <v>101.04071940992219</v>
      </c>
    </row>
    <row r="37" spans="1:44" s="2041" customFormat="1" ht="12.75">
      <c r="A37" s="2036" t="s">
        <v>3397</v>
      </c>
      <c r="B37" s="2027">
        <v>2024</v>
      </c>
      <c r="C37" s="2038">
        <v>4</v>
      </c>
      <c r="D37" s="2003"/>
      <c r="E37" s="2003">
        <v>-0.61</v>
      </c>
      <c r="F37" s="2003">
        <v>-0.71</v>
      </c>
      <c r="G37" s="2003">
        <v>-0.88</v>
      </c>
      <c r="H37" s="2003"/>
      <c r="I37" s="2004">
        <f t="shared" ref="I37" si="162">F37</f>
        <v>-0.71</v>
      </c>
      <c r="J37" s="2903"/>
      <c r="K37" s="2039"/>
      <c r="L37" s="2024">
        <f t="shared" ref="L37" si="163">E37/100</f>
        <v>-6.0999999999999995E-3</v>
      </c>
      <c r="M37" s="2024">
        <f t="shared" ref="M37" si="164">F37/100</f>
        <v>-7.0999999999999995E-3</v>
      </c>
      <c r="N37" s="2024">
        <f t="shared" ref="N37" si="165">G37/100</f>
        <v>-8.8000000000000005E-3</v>
      </c>
      <c r="O37" s="2024"/>
      <c r="P37" s="2024">
        <f t="shared" si="123"/>
        <v>-7.0999999999999995E-3</v>
      </c>
      <c r="Q37" s="2903"/>
      <c r="R37" s="2023"/>
      <c r="S37" s="2023">
        <f>ROUND(IF(项目基本情况!$B$8="出让",SUMPRODUCT(PRODUCT(1+L37:L$52)),SUMPRODUCT(PRODUCT(1+L37:L$51))),4)</f>
        <v>1.0301</v>
      </c>
      <c r="T37" s="2023">
        <f>ROUND(IF(项目基本情况!$B$8="出让",SUMPRODUCT(PRODUCT(1+M37:M$52)),SUMPRODUCT(PRODUCT(1+M37:M$51))),4)</f>
        <v>1.0170999999999999</v>
      </c>
      <c r="U37" s="2023">
        <f>ROUND(IF(项目基本情况!$B$8="出让",SUMPRODUCT(PRODUCT(1+N37:N$52)),SUMPRODUCT(PRODUCT(1+N37:N$51))),4)</f>
        <v>1.0387999999999999</v>
      </c>
      <c r="V37" s="2023"/>
      <c r="W37" s="2023">
        <f t="shared" si="124"/>
        <v>1.0170999999999999</v>
      </c>
      <c r="X37" s="2903"/>
      <c r="Y37" s="2024"/>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4">
        <f t="shared" si="128"/>
        <v>8.9999999999999998E-4</v>
      </c>
      <c r="AG37" s="3150">
        <f t="shared" si="129"/>
        <v>103.01</v>
      </c>
      <c r="AH37" s="3150">
        <f t="shared" si="130"/>
        <v>101.71</v>
      </c>
      <c r="AI37" s="3150">
        <f t="shared" si="131"/>
        <v>103.88</v>
      </c>
      <c r="AJ37" s="3152"/>
      <c r="AK37" s="3150">
        <f t="shared" si="132"/>
        <v>101.71</v>
      </c>
      <c r="AN37" s="3150">
        <f t="shared" si="148"/>
        <v>101.80753474917682</v>
      </c>
      <c r="AO37" s="3150">
        <f t="shared" si="159"/>
        <v>102.04071845073943</v>
      </c>
      <c r="AP37" s="3150">
        <f t="shared" si="160"/>
        <v>100.48246959222114</v>
      </c>
      <c r="AQ37" s="3150"/>
      <c r="AR37" s="3150">
        <f t="shared" si="161"/>
        <v>102.04071845073943</v>
      </c>
    </row>
    <row r="38" spans="1:44" s="2041" customFormat="1" ht="12.75">
      <c r="A38" s="2036" t="s">
        <v>3361</v>
      </c>
      <c r="B38" s="2027">
        <v>2024</v>
      </c>
      <c r="C38" s="2038">
        <v>3</v>
      </c>
      <c r="D38" s="2003"/>
      <c r="E38" s="2003">
        <v>-0.66</v>
      </c>
      <c r="F38" s="2003">
        <v>-0.52</v>
      </c>
      <c r="G38" s="2003">
        <v>-2.87</v>
      </c>
      <c r="H38" s="2003"/>
      <c r="I38" s="2004">
        <f t="shared" ref="I38" si="169">F38</f>
        <v>-0.52</v>
      </c>
      <c r="J38" s="2903"/>
      <c r="K38" s="2039"/>
      <c r="L38" s="2024">
        <f t="shared" ref="L38" si="170">E38/100</f>
        <v>-6.6E-3</v>
      </c>
      <c r="M38" s="2024">
        <f t="shared" ref="M38" si="171">F38/100</f>
        <v>-5.1999999999999998E-3</v>
      </c>
      <c r="N38" s="2024">
        <f t="shared" ref="N38" si="172">G38/100</f>
        <v>-2.87E-2</v>
      </c>
      <c r="O38" s="2024"/>
      <c r="P38" s="2024">
        <f t="shared" si="123"/>
        <v>-5.1999999999999998E-3</v>
      </c>
      <c r="Q38" s="2903"/>
      <c r="R38" s="2023"/>
      <c r="S38" s="2023">
        <f>ROUND(IF(项目基本情况!$B$8="出让",SUMPRODUCT(PRODUCT(1+L38:L$52)),SUMPRODUCT(PRODUCT(1+L38:L$51))),4)</f>
        <v>1.0364</v>
      </c>
      <c r="T38" s="2023">
        <f>ROUND(IF(项目基本情况!$B$8="出让",SUMPRODUCT(PRODUCT(1+M38:M$52)),SUMPRODUCT(PRODUCT(1+M38:M$51))),4)</f>
        <v>1.0244</v>
      </c>
      <c r="U38" s="2023">
        <f>ROUND(IF(项目基本情况!$B$8="出让",SUMPRODUCT(PRODUCT(1+N38:N$52)),SUMPRODUCT(PRODUCT(1+N38:N$51))),4)</f>
        <v>1.048</v>
      </c>
      <c r="V38" s="2023"/>
      <c r="W38" s="2023">
        <f t="shared" si="124"/>
        <v>1.0244</v>
      </c>
      <c r="X38" s="2903"/>
      <c r="Y38" s="2024"/>
      <c r="Z38" s="2899">
        <f t="shared" ref="Z38:AB39" si="173">IF(E38=0,0,ROUND(AVERAGE(E38:E51)/100,4))</f>
        <v>2.5999999999999999E-3</v>
      </c>
      <c r="AA38" s="2899">
        <f t="shared" si="173"/>
        <v>1.6999999999999999E-3</v>
      </c>
      <c r="AB38" s="2899">
        <f t="shared" si="173"/>
        <v>3.3999999999999998E-3</v>
      </c>
      <c r="AC38" s="2901"/>
      <c r="AD38" s="2024">
        <f t="shared" si="128"/>
        <v>1.6999999999999999E-3</v>
      </c>
      <c r="AG38" s="3150">
        <f t="shared" si="129"/>
        <v>103.64</v>
      </c>
      <c r="AH38" s="3150">
        <f t="shared" si="130"/>
        <v>102.44</v>
      </c>
      <c r="AI38" s="3150">
        <f t="shared" si="131"/>
        <v>104.80000000000001</v>
      </c>
      <c r="AJ38" s="3152"/>
      <c r="AK38" s="3150">
        <f t="shared" si="132"/>
        <v>102.44</v>
      </c>
      <c r="AN38" s="3150">
        <f t="shared" si="148"/>
        <v>102.4323722197171</v>
      </c>
      <c r="AO38" s="3150">
        <f t="shared" si="159"/>
        <v>102.7703882070092</v>
      </c>
      <c r="AP38" s="3150">
        <f t="shared" si="160"/>
        <v>101.37456577100599</v>
      </c>
      <c r="AQ38" s="3150"/>
      <c r="AR38" s="3150">
        <f t="shared" si="161"/>
        <v>102.7703882070092</v>
      </c>
    </row>
    <row r="39" spans="1:44" s="2041" customFormat="1" ht="12.75">
      <c r="A39" s="2902" t="s">
        <v>3365</v>
      </c>
      <c r="B39" s="2027">
        <v>2024</v>
      </c>
      <c r="C39" s="2038">
        <v>2</v>
      </c>
      <c r="D39" s="2003"/>
      <c r="E39" s="2003">
        <v>-0.31</v>
      </c>
      <c r="F39" s="2003">
        <v>-0.39</v>
      </c>
      <c r="G39" s="2003">
        <v>1.23</v>
      </c>
      <c r="H39" s="2914"/>
      <c r="I39" s="2004">
        <f t="shared" ref="I39:I52" si="174">F39</f>
        <v>-0.39</v>
      </c>
      <c r="J39" s="2903"/>
      <c r="K39" s="2039"/>
      <c r="L39" s="2024">
        <f t="shared" ref="L39:N52" si="175">E39/100</f>
        <v>-3.0999999999999999E-3</v>
      </c>
      <c r="M39" s="2024">
        <f t="shared" si="175"/>
        <v>-3.9000000000000003E-3</v>
      </c>
      <c r="N39" s="2024">
        <f t="shared" si="175"/>
        <v>1.23E-2</v>
      </c>
      <c r="O39" s="2024"/>
      <c r="P39" s="2024">
        <f t="shared" si="123"/>
        <v>-3.9000000000000003E-3</v>
      </c>
      <c r="Q39" s="2903"/>
      <c r="R39" s="2023"/>
      <c r="S39" s="2023">
        <f>ROUND(IF(项目基本情况!$B$8="出让",SUMPRODUCT(PRODUCT(1+L39:L$52)),SUMPRODUCT(PRODUCT(1+L39:L$51))),4)</f>
        <v>1.0432999999999999</v>
      </c>
      <c r="T39" s="2023">
        <f>ROUND(IF(项目基本情况!$B$8="出让",SUMPRODUCT(PRODUCT(1+M39:M$52)),SUMPRODUCT(PRODUCT(1+M39:M$51))),4)</f>
        <v>1.0298</v>
      </c>
      <c r="U39" s="2023">
        <f>ROUND(IF(项目基本情况!$B$8="出让",SUMPRODUCT(PRODUCT(1+N39:N$52)),SUMPRODUCT(PRODUCT(1+N39:N$51))),4)</f>
        <v>1.079</v>
      </c>
      <c r="V39" s="2023"/>
      <c r="W39" s="2023">
        <f t="shared" si="124"/>
        <v>1.0298</v>
      </c>
      <c r="X39" s="2903"/>
      <c r="Y39" s="2024"/>
      <c r="Z39" s="2899">
        <f t="shared" si="173"/>
        <v>3.3E-3</v>
      </c>
      <c r="AA39" s="2900">
        <f t="shared" si="173"/>
        <v>2.3999999999999998E-3</v>
      </c>
      <c r="AB39" s="2024">
        <f t="shared" si="173"/>
        <v>6.1999999999999998E-3</v>
      </c>
      <c r="AC39" s="2901"/>
      <c r="AD39" s="2024">
        <f t="shared" si="128"/>
        <v>2.3999999999999998E-3</v>
      </c>
      <c r="AG39" s="3150">
        <f t="shared" si="129"/>
        <v>104.32999999999998</v>
      </c>
      <c r="AH39" s="3150">
        <f t="shared" si="130"/>
        <v>102.98</v>
      </c>
      <c r="AI39" s="3150">
        <f t="shared" si="131"/>
        <v>107.89999999999999</v>
      </c>
      <c r="AJ39" s="3152"/>
      <c r="AK39" s="3150">
        <f t="shared" si="132"/>
        <v>102.98</v>
      </c>
      <c r="AN39" s="3150">
        <f t="shared" si="148"/>
        <v>103.11291747505244</v>
      </c>
      <c r="AO39" s="3150">
        <f t="shared" si="159"/>
        <v>103.30758766285605</v>
      </c>
      <c r="AP39" s="3150">
        <f t="shared" si="160"/>
        <v>104.36998432101923</v>
      </c>
      <c r="AQ39" s="3150"/>
      <c r="AR39" s="3150">
        <f t="shared" si="161"/>
        <v>103.30758766285605</v>
      </c>
    </row>
    <row r="40" spans="1:44" s="2041" customFormat="1" ht="12.75">
      <c r="A40" s="2902" t="s">
        <v>3362</v>
      </c>
      <c r="B40" s="2027">
        <v>2024</v>
      </c>
      <c r="C40" s="2038">
        <v>1</v>
      </c>
      <c r="D40" s="2003"/>
      <c r="E40" s="2003">
        <v>0.25</v>
      </c>
      <c r="F40" s="2003">
        <v>0.4</v>
      </c>
      <c r="G40" s="2003">
        <v>-0.63</v>
      </c>
      <c r="H40" s="2914"/>
      <c r="I40" s="2004">
        <f t="shared" ref="I40:I41" si="176">F40</f>
        <v>0.4</v>
      </c>
      <c r="J40" s="2903"/>
      <c r="K40" s="2039"/>
      <c r="L40" s="2024">
        <f t="shared" ref="L40" si="177">E40/100</f>
        <v>2.5000000000000001E-3</v>
      </c>
      <c r="M40" s="2024">
        <f t="shared" ref="M40" si="178">F40/100</f>
        <v>4.0000000000000001E-3</v>
      </c>
      <c r="N40" s="2024">
        <f t="shared" ref="N40" si="179">G40/100</f>
        <v>-6.3E-3</v>
      </c>
      <c r="O40" s="2024"/>
      <c r="P40" s="2024">
        <f t="shared" ref="P40" si="180">M40</f>
        <v>4.0000000000000001E-3</v>
      </c>
      <c r="Q40" s="2903"/>
      <c r="R40" s="2023"/>
      <c r="S40" s="2023">
        <f>ROUND(IF(项目基本情况!$B$8="出让",SUMPRODUCT(PRODUCT(1+L40:L$52)),SUMPRODUCT(PRODUCT(1+L40:L$51))),4)</f>
        <v>1.0465</v>
      </c>
      <c r="T40" s="2023">
        <f>ROUND(IF(项目基本情况!$B$8="出让",SUMPRODUCT(PRODUCT(1+M40:M$52)),SUMPRODUCT(PRODUCT(1+M40:M$51))),4)</f>
        <v>1.0338000000000001</v>
      </c>
      <c r="U40" s="2023">
        <f>ROUND(IF(项目基本情况!$B$8="出让",SUMPRODUCT(PRODUCT(1+N40:N$52)),SUMPRODUCT(PRODUCT(1+N40:N$51))),4)</f>
        <v>1.0659000000000001</v>
      </c>
      <c r="V40" s="2023"/>
      <c r="W40" s="2023">
        <f t="shared" ref="W40" si="181">T40</f>
        <v>1.0338000000000001</v>
      </c>
      <c r="X40" s="2903"/>
      <c r="Y40" s="2024"/>
      <c r="Z40" s="2899"/>
      <c r="AA40" s="2900"/>
      <c r="AB40" s="2024"/>
      <c r="AC40" s="2901"/>
      <c r="AD40" s="2024"/>
      <c r="AG40" s="3150">
        <f t="shared" si="129"/>
        <v>104.65</v>
      </c>
      <c r="AH40" s="3150">
        <f t="shared" si="130"/>
        <v>103.38000000000001</v>
      </c>
      <c r="AI40" s="3150">
        <f t="shared" si="131"/>
        <v>106.59</v>
      </c>
      <c r="AJ40" s="3152"/>
      <c r="AK40" s="3150">
        <f t="shared" si="132"/>
        <v>103.38000000000001</v>
      </c>
      <c r="AN40" s="3150">
        <f t="shared" si="148"/>
        <v>103.43356151575126</v>
      </c>
      <c r="AO40" s="3150">
        <f t="shared" si="159"/>
        <v>103.7120647152455</v>
      </c>
      <c r="AP40" s="3150">
        <f t="shared" si="160"/>
        <v>103.10183179000221</v>
      </c>
      <c r="AQ40" s="3150"/>
      <c r="AR40" s="3150">
        <f t="shared" si="161"/>
        <v>103.7120647152455</v>
      </c>
    </row>
    <row r="41" spans="1:44" s="2041" customFormat="1" ht="12.75">
      <c r="A41" s="2902" t="s">
        <v>3360</v>
      </c>
      <c r="B41" s="2027">
        <v>2023</v>
      </c>
      <c r="C41" s="2038">
        <v>4</v>
      </c>
      <c r="D41" s="2003"/>
      <c r="E41" s="2003">
        <v>7.0000000000000007E-2</v>
      </c>
      <c r="F41" s="2003">
        <v>0.09</v>
      </c>
      <c r="G41" s="2003">
        <v>0.03</v>
      </c>
      <c r="H41" s="2914"/>
      <c r="I41" s="2004">
        <f t="shared" si="176"/>
        <v>0.09</v>
      </c>
      <c r="J41" s="2903"/>
      <c r="K41" s="2039"/>
      <c r="L41" s="2024">
        <f t="shared" si="175"/>
        <v>7.000000000000001E-4</v>
      </c>
      <c r="M41" s="2024">
        <f t="shared" si="175"/>
        <v>8.9999999999999998E-4</v>
      </c>
      <c r="N41" s="2024">
        <f t="shared" si="175"/>
        <v>2.9999999999999997E-4</v>
      </c>
      <c r="O41" s="2024"/>
      <c r="P41" s="2024">
        <f t="shared" ref="P41" si="182">M41</f>
        <v>8.9999999999999998E-4</v>
      </c>
      <c r="Q41" s="2903"/>
      <c r="R41" s="2023"/>
      <c r="S41" s="2023">
        <f>ROUND(IF(项目基本情况!$B$8="出让",SUMPRODUCT(PRODUCT(1+L41:L$52)),SUMPRODUCT(PRODUCT(1+L41:L$51))),4)</f>
        <v>1.0439000000000001</v>
      </c>
      <c r="T41" s="2023">
        <f>ROUND(IF(项目基本情况!$B$8="出让",SUMPRODUCT(PRODUCT(1+M41:M$52)),SUMPRODUCT(PRODUCT(1+M41:M$51))),4)</f>
        <v>1.0297000000000001</v>
      </c>
      <c r="U41" s="2023">
        <f>ROUND(IF(项目基本情况!$B$8="出让",SUMPRODUCT(PRODUCT(1+N41:N$52)),SUMPRODUCT(PRODUCT(1+N41:N$51))),4)</f>
        <v>1.0727</v>
      </c>
      <c r="V41" s="2023"/>
      <c r="W41" s="2023">
        <f t="shared" ref="W41" si="183">T41</f>
        <v>1.0297000000000001</v>
      </c>
      <c r="X41" s="2903"/>
      <c r="Y41" s="2024"/>
      <c r="Z41" s="2899"/>
      <c r="AA41" s="2900"/>
      <c r="AB41" s="2024"/>
      <c r="AC41" s="2901"/>
      <c r="AD41" s="2024"/>
      <c r="AG41" s="3150">
        <f t="shared" si="129"/>
        <v>104.39</v>
      </c>
      <c r="AH41" s="3150">
        <f t="shared" si="130"/>
        <v>102.97</v>
      </c>
      <c r="AI41" s="3150">
        <f t="shared" si="131"/>
        <v>107.27</v>
      </c>
      <c r="AJ41" s="3152"/>
      <c r="AK41" s="3150">
        <f t="shared" si="132"/>
        <v>102.97</v>
      </c>
      <c r="AN41" s="3150">
        <f t="shared" si="148"/>
        <v>103.17562245960227</v>
      </c>
      <c r="AO41" s="3150">
        <f t="shared" si="159"/>
        <v>103.29886923829234</v>
      </c>
      <c r="AP41" s="3150">
        <f t="shared" si="160"/>
        <v>103.75549138573231</v>
      </c>
      <c r="AQ41" s="3150"/>
      <c r="AR41" s="3150">
        <f t="shared" si="161"/>
        <v>103.29886923829234</v>
      </c>
    </row>
    <row r="42" spans="1:44" s="2041" customFormat="1" ht="12.75">
      <c r="A42" s="2902" t="s">
        <v>3358</v>
      </c>
      <c r="B42" s="2027">
        <v>2023</v>
      </c>
      <c r="C42" s="2038">
        <v>3</v>
      </c>
      <c r="D42" s="2003"/>
      <c r="E42" s="2003">
        <v>0.35</v>
      </c>
      <c r="F42" s="2003">
        <v>0.17</v>
      </c>
      <c r="G42" s="2003">
        <v>0.52</v>
      </c>
      <c r="H42" s="2914"/>
      <c r="I42" s="2004">
        <f t="shared" si="174"/>
        <v>0.17</v>
      </c>
      <c r="J42" s="2903"/>
      <c r="K42" s="2039"/>
      <c r="L42" s="2024">
        <f t="shared" ref="L42:L44" si="184">E42/100</f>
        <v>3.4999999999999996E-3</v>
      </c>
      <c r="M42" s="2024">
        <f t="shared" ref="M42:M44" si="185">F42/100</f>
        <v>1.7000000000000001E-3</v>
      </c>
      <c r="N42" s="2024">
        <f t="shared" ref="N42:N44" si="186">G42/100</f>
        <v>5.1999999999999998E-3</v>
      </c>
      <c r="O42" s="2024"/>
      <c r="P42" s="2024">
        <f t="shared" ref="P42:P44" si="187">M42</f>
        <v>1.7000000000000001E-3</v>
      </c>
      <c r="Q42" s="2903"/>
      <c r="R42" s="2023"/>
      <c r="S42" s="2023">
        <f>ROUND(IF(项目基本情况!$B$8="出让",SUMPRODUCT(PRODUCT(1+L42:L$52)),SUMPRODUCT(PRODUCT(1+L42:L$51))),4)</f>
        <v>1.0431999999999999</v>
      </c>
      <c r="T42" s="2023">
        <f>ROUND(IF(项目基本情况!$B$8="出让",SUMPRODUCT(PRODUCT(1+M42:M$52)),SUMPRODUCT(PRODUCT(1+M42:M$51))),4)</f>
        <v>1.0286999999999999</v>
      </c>
      <c r="U42" s="2023">
        <f>ROUND(IF(项目基本情况!$B$8="出让",SUMPRODUCT(PRODUCT(1+N42:N$52)),SUMPRODUCT(PRODUCT(1+N42:N$51))),4)</f>
        <v>1.0723</v>
      </c>
      <c r="V42" s="2023"/>
      <c r="W42" s="2023">
        <f t="shared" ref="W42:W44" si="188">T42</f>
        <v>1.0286999999999999</v>
      </c>
      <c r="X42" s="2903"/>
      <c r="Y42" s="2024"/>
      <c r="Z42" s="2899"/>
      <c r="AA42" s="2900"/>
      <c r="AB42" s="2024"/>
      <c r="AC42" s="2901"/>
      <c r="AD42" s="2024"/>
      <c r="AG42" s="3150">
        <f t="shared" si="129"/>
        <v>104.32</v>
      </c>
      <c r="AH42" s="3150">
        <f t="shared" si="130"/>
        <v>102.86999999999999</v>
      </c>
      <c r="AI42" s="3150">
        <f t="shared" si="131"/>
        <v>107.23</v>
      </c>
      <c r="AJ42" s="3152"/>
      <c r="AK42" s="3150">
        <f t="shared" si="132"/>
        <v>102.86999999999999</v>
      </c>
      <c r="AN42" s="3150">
        <f t="shared" si="148"/>
        <v>103.10345004457108</v>
      </c>
      <c r="AO42" s="3150">
        <f t="shared" si="159"/>
        <v>103.20598385282482</v>
      </c>
      <c r="AP42" s="3150">
        <f t="shared" si="160"/>
        <v>103.72437407351026</v>
      </c>
      <c r="AQ42" s="3150"/>
      <c r="AR42" s="3150">
        <f t="shared" si="161"/>
        <v>103.20598385282482</v>
      </c>
    </row>
    <row r="43" spans="1:44" s="2041" customFormat="1" ht="12.75">
      <c r="A43" s="2902" t="s">
        <v>3357</v>
      </c>
      <c r="B43" s="2027">
        <v>2023</v>
      </c>
      <c r="C43" s="2038">
        <v>2</v>
      </c>
      <c r="D43" s="2003"/>
      <c r="E43" s="2003">
        <v>0.5</v>
      </c>
      <c r="F43" s="2003">
        <v>0.45</v>
      </c>
      <c r="G43" s="2003">
        <v>0.89</v>
      </c>
      <c r="H43" s="2914"/>
      <c r="I43" s="2004">
        <f t="shared" si="174"/>
        <v>0.45</v>
      </c>
      <c r="J43" s="2903"/>
      <c r="K43" s="2039"/>
      <c r="L43" s="2024">
        <f t="shared" si="184"/>
        <v>5.0000000000000001E-3</v>
      </c>
      <c r="M43" s="2024">
        <f t="shared" si="185"/>
        <v>4.5000000000000005E-3</v>
      </c>
      <c r="N43" s="2024">
        <f t="shared" si="186"/>
        <v>8.8999999999999999E-3</v>
      </c>
      <c r="O43" s="2024"/>
      <c r="P43" s="2024">
        <f t="shared" si="187"/>
        <v>4.5000000000000005E-3</v>
      </c>
      <c r="Q43" s="2903"/>
      <c r="R43" s="2023"/>
      <c r="S43" s="2023">
        <f>ROUND(IF(项目基本情况!$B$8="出让",SUMPRODUCT(PRODUCT(1+L43:L$52)),SUMPRODUCT(PRODUCT(1+L43:L$51))),4)</f>
        <v>1.0396000000000001</v>
      </c>
      <c r="T43" s="2023">
        <f>ROUND(IF(项目基本情况!$B$8="出让",SUMPRODUCT(PRODUCT(1+M43:M$52)),SUMPRODUCT(PRODUCT(1+M43:M$51))),4)</f>
        <v>1.0269999999999999</v>
      </c>
      <c r="U43" s="2023">
        <f>ROUND(IF(项目基本情况!$B$8="出让",SUMPRODUCT(PRODUCT(1+N43:N$52)),SUMPRODUCT(PRODUCT(1+N43:N$51))),4)</f>
        <v>1.0668</v>
      </c>
      <c r="V43" s="2023"/>
      <c r="W43" s="2023">
        <f t="shared" si="188"/>
        <v>1.0269999999999999</v>
      </c>
      <c r="X43" s="2903"/>
      <c r="Y43" s="2024"/>
      <c r="Z43" s="2899"/>
      <c r="AA43" s="2900"/>
      <c r="AB43" s="2024"/>
      <c r="AC43" s="2901"/>
      <c r="AD43" s="2024"/>
      <c r="AG43" s="3150">
        <f t="shared" si="129"/>
        <v>103.96000000000001</v>
      </c>
      <c r="AH43" s="3150">
        <f t="shared" si="130"/>
        <v>102.69999999999999</v>
      </c>
      <c r="AI43" s="3150">
        <f t="shared" si="131"/>
        <v>106.67999999999999</v>
      </c>
      <c r="AJ43" s="3152"/>
      <c r="AK43" s="3150">
        <f t="shared" si="132"/>
        <v>102.69999999999999</v>
      </c>
      <c r="AN43" s="3150">
        <f t="shared" si="148"/>
        <v>102.74384658153569</v>
      </c>
      <c r="AO43" s="3150">
        <f t="shared" si="159"/>
        <v>103.03083143937786</v>
      </c>
      <c r="AP43" s="3150">
        <f t="shared" si="160"/>
        <v>103.18779752637312</v>
      </c>
      <c r="AQ43" s="3150"/>
      <c r="AR43" s="3150">
        <f t="shared" si="161"/>
        <v>103.03083143937786</v>
      </c>
    </row>
    <row r="44" spans="1:44" s="2041" customFormat="1" ht="12.75">
      <c r="A44" s="2902" t="s">
        <v>3355</v>
      </c>
      <c r="B44" s="2027">
        <v>2023</v>
      </c>
      <c r="C44" s="2038">
        <v>1</v>
      </c>
      <c r="D44" s="2003"/>
      <c r="E44" s="2003">
        <v>0.55000000000000004</v>
      </c>
      <c r="F44" s="2003">
        <v>0.59</v>
      </c>
      <c r="G44" s="2003">
        <v>0.64</v>
      </c>
      <c r="H44" s="2914"/>
      <c r="I44" s="2004">
        <f t="shared" si="174"/>
        <v>0.59</v>
      </c>
      <c r="J44" s="2903"/>
      <c r="K44" s="2039"/>
      <c r="L44" s="2024">
        <f t="shared" si="184"/>
        <v>5.5000000000000005E-3</v>
      </c>
      <c r="M44" s="2024">
        <f t="shared" si="185"/>
        <v>5.8999999999999999E-3</v>
      </c>
      <c r="N44" s="2024">
        <f t="shared" si="186"/>
        <v>6.4000000000000003E-3</v>
      </c>
      <c r="O44" s="2024"/>
      <c r="P44" s="2024">
        <f t="shared" si="187"/>
        <v>5.8999999999999999E-3</v>
      </c>
      <c r="Q44" s="2903"/>
      <c r="R44" s="2023"/>
      <c r="S44" s="2023">
        <f>ROUND(IF(项目基本情况!$B$8="出让",SUMPRODUCT(PRODUCT(1+L44:L$52)),SUMPRODUCT(PRODUCT(1+L44:L$51))),4)</f>
        <v>1.0344</v>
      </c>
      <c r="T44" s="2023">
        <f>ROUND(IF(项目基本情况!$B$8="出让",SUMPRODUCT(PRODUCT(1+M44:M$52)),SUMPRODUCT(PRODUCT(1+M44:M$51))),4)</f>
        <v>1.0224</v>
      </c>
      <c r="U44" s="2023">
        <f>ROUND(IF(项目基本情况!$B$8="出让",SUMPRODUCT(PRODUCT(1+N44:N$52)),SUMPRODUCT(PRODUCT(1+N44:N$51))),4)</f>
        <v>1.0573999999999999</v>
      </c>
      <c r="V44" s="2023"/>
      <c r="W44" s="2023">
        <f t="shared" si="188"/>
        <v>1.0224</v>
      </c>
      <c r="X44" s="2903"/>
      <c r="Y44" s="2024"/>
      <c r="Z44" s="2899"/>
      <c r="AA44" s="2900"/>
      <c r="AB44" s="2024"/>
      <c r="AC44" s="2901"/>
      <c r="AD44" s="2024"/>
      <c r="AG44" s="3150">
        <f t="shared" si="129"/>
        <v>103.44</v>
      </c>
      <c r="AH44" s="3150">
        <f t="shared" si="130"/>
        <v>102.24</v>
      </c>
      <c r="AI44" s="3150">
        <f t="shared" si="131"/>
        <v>105.74</v>
      </c>
      <c r="AJ44" s="3152"/>
      <c r="AK44" s="3150">
        <f t="shared" si="132"/>
        <v>102.24</v>
      </c>
      <c r="AN44" s="3150">
        <f t="shared" si="148"/>
        <v>102.23268316570717</v>
      </c>
      <c r="AO44" s="3150">
        <f t="shared" si="159"/>
        <v>102.56926972561261</v>
      </c>
      <c r="AP44" s="3150">
        <f t="shared" si="160"/>
        <v>102.27752753134416</v>
      </c>
      <c r="AQ44" s="3150"/>
      <c r="AR44" s="3150">
        <f t="shared" si="161"/>
        <v>102.56926972561261</v>
      </c>
    </row>
    <row r="45" spans="1:44" s="2041" customFormat="1" ht="12.75">
      <c r="A45" s="2902" t="s">
        <v>3354</v>
      </c>
      <c r="B45" s="2027">
        <v>2022</v>
      </c>
      <c r="C45" s="2038">
        <v>4</v>
      </c>
      <c r="D45" s="2003"/>
      <c r="E45" s="2003">
        <v>0.45</v>
      </c>
      <c r="F45" s="2003">
        <v>0.2</v>
      </c>
      <c r="G45" s="2003">
        <v>0.38</v>
      </c>
      <c r="H45" s="2914"/>
      <c r="I45" s="2004">
        <f t="shared" si="174"/>
        <v>0.2</v>
      </c>
      <c r="J45" s="2903"/>
      <c r="K45" s="2039"/>
      <c r="L45" s="2024">
        <f t="shared" si="175"/>
        <v>4.5000000000000005E-3</v>
      </c>
      <c r="M45" s="2024">
        <f t="shared" si="175"/>
        <v>2E-3</v>
      </c>
      <c r="N45" s="2024">
        <f t="shared" si="175"/>
        <v>3.8E-3</v>
      </c>
      <c r="O45" s="2024"/>
      <c r="P45" s="2024">
        <f t="shared" ref="P45:P52" si="189">M45</f>
        <v>2E-3</v>
      </c>
      <c r="Q45" s="2903"/>
      <c r="R45" s="2023"/>
      <c r="S45" s="2023">
        <f>ROUND(IF(项目基本情况!$B$8="出让",SUMPRODUCT(PRODUCT(1+L45:L$52)),SUMPRODUCT(PRODUCT(1+L45:L$51))),4)</f>
        <v>1.0286999999999999</v>
      </c>
      <c r="T45" s="2023">
        <f>ROUND(IF(项目基本情况!$B$8="出让",SUMPRODUCT(PRODUCT(1+M45:M$52)),SUMPRODUCT(PRODUCT(1+M45:M$51))),4)</f>
        <v>1.0164</v>
      </c>
      <c r="U45" s="2023">
        <f>ROUND(IF(项目基本情况!$B$8="出让",SUMPRODUCT(PRODUCT(1+N45:N$52)),SUMPRODUCT(PRODUCT(1+N45:N$51))),4)</f>
        <v>1.0506</v>
      </c>
      <c r="V45" s="2023"/>
      <c r="W45" s="2023">
        <f t="shared" ref="W45:W52" si="190">T45</f>
        <v>1.0164</v>
      </c>
      <c r="X45" s="2903"/>
      <c r="Y45" s="2024"/>
      <c r="Z45" s="2899">
        <f t="shared" ref="Z45:AD52" si="191">IF(E45=0,0,ROUND(AVERAGE(E45:E53)/100,4))</f>
        <v>4.0000000000000001E-3</v>
      </c>
      <c r="AA45" s="2900">
        <f t="shared" si="191"/>
        <v>2.5999999999999999E-3</v>
      </c>
      <c r="AB45" s="2024">
        <f t="shared" si="191"/>
        <v>7.4000000000000003E-3</v>
      </c>
      <c r="AC45" s="2901"/>
      <c r="AD45" s="2024">
        <f t="shared" si="191"/>
        <v>2.5999999999999999E-3</v>
      </c>
      <c r="AG45" s="3150">
        <f t="shared" si="129"/>
        <v>102.86999999999999</v>
      </c>
      <c r="AH45" s="3150">
        <f t="shared" si="130"/>
        <v>101.64</v>
      </c>
      <c r="AI45" s="3150">
        <f t="shared" si="131"/>
        <v>105.06</v>
      </c>
      <c r="AJ45" s="3152"/>
      <c r="AK45" s="3150">
        <f t="shared" si="132"/>
        <v>101.64</v>
      </c>
      <c r="AN45" s="3150">
        <f t="shared" si="148"/>
        <v>101.67347903103646</v>
      </c>
      <c r="AO45" s="3150">
        <f t="shared" si="159"/>
        <v>101.96766052849449</v>
      </c>
      <c r="AP45" s="3150">
        <f t="shared" si="160"/>
        <v>101.62711400173308</v>
      </c>
      <c r="AQ45" s="3150"/>
      <c r="AR45" s="3150">
        <f t="shared" si="161"/>
        <v>101.96766052849449</v>
      </c>
    </row>
    <row r="46" spans="1:44" s="2041" customFormat="1" ht="12.75">
      <c r="A46" s="2902" t="s">
        <v>3353</v>
      </c>
      <c r="B46" s="2027">
        <v>2022</v>
      </c>
      <c r="C46" s="2038">
        <v>3</v>
      </c>
      <c r="D46" s="2003"/>
      <c r="E46" s="2003">
        <v>0.3</v>
      </c>
      <c r="F46" s="2003">
        <v>0.28999999999999998</v>
      </c>
      <c r="G46" s="2003">
        <v>0.83</v>
      </c>
      <c r="H46" s="2914"/>
      <c r="I46" s="2004">
        <f t="shared" si="174"/>
        <v>0.28999999999999998</v>
      </c>
      <c r="J46" s="2903"/>
      <c r="K46" s="2039"/>
      <c r="L46" s="2024">
        <f t="shared" si="175"/>
        <v>3.0000000000000001E-3</v>
      </c>
      <c r="M46" s="2024">
        <f t="shared" si="175"/>
        <v>2.8999999999999998E-3</v>
      </c>
      <c r="N46" s="2024">
        <f t="shared" si="175"/>
        <v>8.3000000000000001E-3</v>
      </c>
      <c r="O46" s="2024"/>
      <c r="P46" s="2024">
        <f t="shared" si="189"/>
        <v>2.8999999999999998E-3</v>
      </c>
      <c r="Q46" s="2903"/>
      <c r="R46" s="2023"/>
      <c r="S46" s="2023">
        <f>ROUND(IF(项目基本情况!$B$8="出让",SUMPRODUCT(PRODUCT(1+L46:L$52)),SUMPRODUCT(PRODUCT(1+L46:L$51))),4)</f>
        <v>1.0241</v>
      </c>
      <c r="T46" s="2023">
        <f>ROUND(IF(项目基本情况!$B$8="出让",SUMPRODUCT(PRODUCT(1+M46:M$52)),SUMPRODUCT(PRODUCT(1+M46:M$51))),4)</f>
        <v>1.0144</v>
      </c>
      <c r="U46" s="2023">
        <f>ROUND(IF(项目基本情况!$B$8="出让",SUMPRODUCT(PRODUCT(1+N46:N$52)),SUMPRODUCT(PRODUCT(1+N46:N$51))),4)</f>
        <v>1.0467</v>
      </c>
      <c r="V46" s="2023"/>
      <c r="W46" s="2023">
        <f t="shared" si="190"/>
        <v>1.0144</v>
      </c>
      <c r="X46" s="2903"/>
      <c r="Y46" s="2024"/>
      <c r="Z46" s="2899">
        <f t="shared" si="191"/>
        <v>3.8999999999999998E-3</v>
      </c>
      <c r="AA46" s="2900">
        <f t="shared" si="191"/>
        <v>2.7000000000000001E-3</v>
      </c>
      <c r="AB46" s="2024">
        <f t="shared" si="191"/>
        <v>7.9000000000000008E-3</v>
      </c>
      <c r="AC46" s="2901"/>
      <c r="AD46" s="2024">
        <f t="shared" si="191"/>
        <v>2.7000000000000001E-3</v>
      </c>
      <c r="AG46" s="3150">
        <f t="shared" si="129"/>
        <v>102.41</v>
      </c>
      <c r="AH46" s="3150">
        <f t="shared" si="130"/>
        <v>101.44</v>
      </c>
      <c r="AI46" s="3150">
        <f t="shared" si="131"/>
        <v>104.67</v>
      </c>
      <c r="AJ46" s="3152"/>
      <c r="AK46" s="3150">
        <f t="shared" si="132"/>
        <v>101.44</v>
      </c>
      <c r="AN46" s="3150">
        <f t="shared" si="148"/>
        <v>101.21799803985711</v>
      </c>
      <c r="AO46" s="3150">
        <f t="shared" si="159"/>
        <v>101.76413226396656</v>
      </c>
      <c r="AP46" s="3150">
        <f t="shared" si="160"/>
        <v>101.24239290868009</v>
      </c>
      <c r="AQ46" s="3150"/>
      <c r="AR46" s="3150">
        <f t="shared" si="161"/>
        <v>101.76413226396656</v>
      </c>
    </row>
    <row r="47" spans="1:44" s="2041" customFormat="1" ht="12.75">
      <c r="A47" s="2902" t="s">
        <v>3343</v>
      </c>
      <c r="B47" s="2027">
        <v>2022</v>
      </c>
      <c r="C47" s="2038">
        <v>2</v>
      </c>
      <c r="D47" s="2003"/>
      <c r="E47" s="2003">
        <v>-0.11</v>
      </c>
      <c r="F47" s="2003">
        <v>-0.13</v>
      </c>
      <c r="G47" s="2003">
        <v>0.53</v>
      </c>
      <c r="H47" s="2914"/>
      <c r="I47" s="2004">
        <f t="shared" si="174"/>
        <v>-0.13</v>
      </c>
      <c r="J47" s="2903"/>
      <c r="K47" s="2039"/>
      <c r="L47" s="2024">
        <f t="shared" si="175"/>
        <v>-1.1000000000000001E-3</v>
      </c>
      <c r="M47" s="2024">
        <f t="shared" si="175"/>
        <v>-1.2999999999999999E-3</v>
      </c>
      <c r="N47" s="2024">
        <f t="shared" si="175"/>
        <v>5.3E-3</v>
      </c>
      <c r="O47" s="2024"/>
      <c r="P47" s="2024">
        <f t="shared" si="189"/>
        <v>-1.2999999999999999E-3</v>
      </c>
      <c r="Q47" s="2903"/>
      <c r="R47" s="2023"/>
      <c r="S47" s="2023">
        <f>ROUND(IF(项目基本情况!$B$8="出让",SUMPRODUCT(PRODUCT(1+L47:L$52)),SUMPRODUCT(PRODUCT(1+L47:L$51))),4)</f>
        <v>1.0210999999999999</v>
      </c>
      <c r="T47" s="2023">
        <f>ROUND(IF(项目基本情况!$B$8="出让",SUMPRODUCT(PRODUCT(1+M47:M$52)),SUMPRODUCT(PRODUCT(1+M47:M$51))),4)</f>
        <v>1.0114000000000001</v>
      </c>
      <c r="U47" s="2023">
        <f>ROUND(IF(项目基本情况!$B$8="出让",SUMPRODUCT(PRODUCT(1+N47:N$52)),SUMPRODUCT(PRODUCT(1+N47:N$51))),4)</f>
        <v>1.0381</v>
      </c>
      <c r="V47" s="2023"/>
      <c r="W47" s="2023">
        <f t="shared" si="190"/>
        <v>1.0114000000000001</v>
      </c>
      <c r="X47" s="2903"/>
      <c r="Y47" s="2024"/>
      <c r="Z47" s="2899">
        <f t="shared" si="191"/>
        <v>4.1000000000000003E-3</v>
      </c>
      <c r="AA47" s="2900">
        <f t="shared" si="191"/>
        <v>2.7000000000000001E-3</v>
      </c>
      <c r="AB47" s="2024">
        <f t="shared" si="191"/>
        <v>7.9000000000000008E-3</v>
      </c>
      <c r="AC47" s="2901"/>
      <c r="AD47" s="2024">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100.9152522830081</v>
      </c>
      <c r="AO47" s="3150">
        <f t="shared" si="159"/>
        <v>101.46986964200475</v>
      </c>
      <c r="AP47" s="3150">
        <f t="shared" si="160"/>
        <v>100.40899822342566</v>
      </c>
      <c r="AQ47" s="3150"/>
      <c r="AR47" s="3150">
        <f t="shared" si="161"/>
        <v>101.46986964200475</v>
      </c>
    </row>
    <row r="48" spans="1:44" s="2041" customFormat="1" ht="12.75">
      <c r="A48" s="2902" t="s">
        <v>2825</v>
      </c>
      <c r="B48" s="2027">
        <v>2022</v>
      </c>
      <c r="C48" s="2038">
        <v>1</v>
      </c>
      <c r="D48" s="2003"/>
      <c r="E48" s="2003">
        <v>0.6</v>
      </c>
      <c r="F48" s="2003">
        <v>0.45</v>
      </c>
      <c r="G48" s="2003">
        <v>0.53</v>
      </c>
      <c r="H48" s="2914"/>
      <c r="I48" s="2004">
        <f t="shared" si="174"/>
        <v>0.45</v>
      </c>
      <c r="J48" s="2903"/>
      <c r="K48" s="2039"/>
      <c r="L48" s="2024">
        <f t="shared" si="175"/>
        <v>6.0000000000000001E-3</v>
      </c>
      <c r="M48" s="2024">
        <f t="shared" si="175"/>
        <v>4.5000000000000005E-3</v>
      </c>
      <c r="N48" s="2024">
        <f t="shared" si="175"/>
        <v>5.3E-3</v>
      </c>
      <c r="O48" s="2024"/>
      <c r="P48" s="2024">
        <f t="shared" si="189"/>
        <v>4.5000000000000005E-3</v>
      </c>
      <c r="Q48" s="2903"/>
      <c r="R48" s="2023"/>
      <c r="S48" s="2023">
        <f>ROUND(IF(项目基本情况!$B$8="出让",SUMPRODUCT(PRODUCT(1+L48:L$52)),SUMPRODUCT(PRODUCT(1+L48:L$51))),4)</f>
        <v>1.0222</v>
      </c>
      <c r="T48" s="2023">
        <f>ROUND(IF(项目基本情况!$B$8="出让",SUMPRODUCT(PRODUCT(1+M48:M$52)),SUMPRODUCT(PRODUCT(1+M48:M$51))),4)</f>
        <v>1.0127999999999999</v>
      </c>
      <c r="U48" s="2023">
        <f>ROUND(IF(项目基本情况!$B$8="出让",SUMPRODUCT(PRODUCT(1+N48:N$52)),SUMPRODUCT(PRODUCT(1+N48:N$51))),4)</f>
        <v>1.0326</v>
      </c>
      <c r="V48" s="2023"/>
      <c r="W48" s="2023">
        <f t="shared" si="190"/>
        <v>1.0127999999999999</v>
      </c>
      <c r="X48" s="2903"/>
      <c r="Y48" s="2024"/>
      <c r="Z48" s="2899">
        <f t="shared" si="191"/>
        <v>5.1000000000000004E-3</v>
      </c>
      <c r="AA48" s="2900">
        <f t="shared" si="191"/>
        <v>3.5000000000000001E-3</v>
      </c>
      <c r="AB48" s="2024">
        <f t="shared" si="191"/>
        <v>8.3999999999999995E-3</v>
      </c>
      <c r="AC48" s="2901"/>
      <c r="AD48" s="2024">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101.02638130244078</v>
      </c>
      <c r="AO48" s="3150">
        <f t="shared" si="159"/>
        <v>101.60195217983853</v>
      </c>
      <c r="AP48" s="3150">
        <f t="shared" si="160"/>
        <v>99.879636151820989</v>
      </c>
      <c r="AQ48" s="3150"/>
      <c r="AR48" s="3150">
        <f t="shared" si="161"/>
        <v>101.60195217983853</v>
      </c>
    </row>
    <row r="49" spans="1:44" s="2041" customFormat="1" ht="12.75">
      <c r="A49" s="2902" t="s">
        <v>2826</v>
      </c>
      <c r="B49" s="2027">
        <v>2021</v>
      </c>
      <c r="C49" s="2038">
        <v>4</v>
      </c>
      <c r="D49" s="2003"/>
      <c r="E49" s="2003">
        <v>0.57999999999999996</v>
      </c>
      <c r="F49" s="2003">
        <v>0.08</v>
      </c>
      <c r="G49" s="2003">
        <v>0.68</v>
      </c>
      <c r="H49" s="2914"/>
      <c r="I49" s="2004">
        <f t="shared" si="174"/>
        <v>0.08</v>
      </c>
      <c r="J49" s="2903"/>
      <c r="K49" s="2039"/>
      <c r="L49" s="2024">
        <f t="shared" si="175"/>
        <v>5.7999999999999996E-3</v>
      </c>
      <c r="M49" s="2024">
        <f t="shared" si="175"/>
        <v>8.0000000000000004E-4</v>
      </c>
      <c r="N49" s="2024">
        <f t="shared" si="175"/>
        <v>6.8000000000000005E-3</v>
      </c>
      <c r="O49" s="2024"/>
      <c r="P49" s="2024">
        <f t="shared" si="189"/>
        <v>8.0000000000000004E-4</v>
      </c>
      <c r="Q49" s="2903"/>
      <c r="R49" s="2023"/>
      <c r="S49" s="2023">
        <f>ROUND(IF(项目基本情况!$B$8="出让",SUMPRODUCT(PRODUCT(1+L49:L$52)),SUMPRODUCT(PRODUCT(1+L49:L$51))),4)</f>
        <v>1.0161</v>
      </c>
      <c r="T49" s="2023">
        <f>ROUND(IF(项目基本情况!$B$8="出让",SUMPRODUCT(PRODUCT(1+M49:M$52)),SUMPRODUCT(PRODUCT(1+M49:M$51))),4)</f>
        <v>1.0082</v>
      </c>
      <c r="U49" s="2023">
        <f>ROUND(IF(项目基本情况!$B$8="出让",SUMPRODUCT(PRODUCT(1+N49:N$52)),SUMPRODUCT(PRODUCT(1+N49:N$51))),4)</f>
        <v>1.0270999999999999</v>
      </c>
      <c r="V49" s="2023"/>
      <c r="W49" s="2023">
        <f t="shared" si="190"/>
        <v>1.0082</v>
      </c>
      <c r="X49" s="2903"/>
      <c r="Y49" s="2024"/>
      <c r="Z49" s="2899">
        <f t="shared" si="191"/>
        <v>4.8999999999999998E-3</v>
      </c>
      <c r="AA49" s="2900">
        <f t="shared" si="191"/>
        <v>3.3E-3</v>
      </c>
      <c r="AB49" s="2024">
        <f t="shared" si="191"/>
        <v>9.1999999999999998E-3</v>
      </c>
      <c r="AC49" s="2901"/>
      <c r="AD49" s="2024">
        <f t="shared" si="191"/>
        <v>3.3E-3</v>
      </c>
      <c r="AG49" s="3150">
        <f t="shared" si="129"/>
        <v>101.61</v>
      </c>
      <c r="AH49" s="3150">
        <f t="shared" si="130"/>
        <v>100.82</v>
      </c>
      <c r="AI49" s="3150">
        <f t="shared" si="131"/>
        <v>102.71</v>
      </c>
      <c r="AJ49" s="3152"/>
      <c r="AK49" s="3150">
        <f t="shared" si="132"/>
        <v>100.82</v>
      </c>
      <c r="AN49" s="3150">
        <f t="shared" si="148"/>
        <v>100.42383827280396</v>
      </c>
      <c r="AO49" s="3150">
        <f t="shared" si="159"/>
        <v>101.14679161755951</v>
      </c>
      <c r="AP49" s="3150">
        <f t="shared" si="160"/>
        <v>99.353064907809596</v>
      </c>
      <c r="AQ49" s="3150"/>
      <c r="AR49" s="3150">
        <f t="shared" si="161"/>
        <v>101.14679161755951</v>
      </c>
    </row>
    <row r="50" spans="1:44" s="2041" customFormat="1" ht="12.75">
      <c r="A50" s="2902" t="s">
        <v>2827</v>
      </c>
      <c r="B50" s="2027">
        <v>2021</v>
      </c>
      <c r="C50" s="2038">
        <v>3</v>
      </c>
      <c r="D50" s="2003"/>
      <c r="E50" s="2003">
        <v>0.47</v>
      </c>
      <c r="F50" s="2003">
        <v>0.28000000000000003</v>
      </c>
      <c r="G50" s="2003">
        <v>0.91</v>
      </c>
      <c r="H50" s="2914"/>
      <c r="I50" s="2004">
        <f t="shared" si="174"/>
        <v>0.28000000000000003</v>
      </c>
      <c r="J50" s="2903"/>
      <c r="K50" s="2039"/>
      <c r="L50" s="2024">
        <f t="shared" si="175"/>
        <v>4.6999999999999993E-3</v>
      </c>
      <c r="M50" s="2024">
        <f t="shared" si="175"/>
        <v>2.8000000000000004E-3</v>
      </c>
      <c r="N50" s="2024">
        <f t="shared" si="175"/>
        <v>9.1000000000000004E-3</v>
      </c>
      <c r="O50" s="2024"/>
      <c r="P50" s="2024">
        <f t="shared" si="189"/>
        <v>2.8000000000000004E-3</v>
      </c>
      <c r="Q50" s="2903"/>
      <c r="R50" s="2023"/>
      <c r="S50" s="2023">
        <f>ROUND(IF(项目基本情况!$B$8="出让",SUMPRODUCT(PRODUCT(1+L50:L$52)),SUMPRODUCT(PRODUCT(1+L50:L$51))),4)</f>
        <v>1.0102</v>
      </c>
      <c r="T50" s="2023">
        <f>ROUND(IF(项目基本情况!$B$8="出让",SUMPRODUCT(PRODUCT(1+M50:M$52)),SUMPRODUCT(PRODUCT(1+M50:M$51))),4)</f>
        <v>1.0074000000000001</v>
      </c>
      <c r="U50" s="2023">
        <f>ROUND(IF(项目基本情况!$B$8="出让",SUMPRODUCT(PRODUCT(1+N50:N$52)),SUMPRODUCT(PRODUCT(1+N50:N$51))),4)</f>
        <v>1.0202</v>
      </c>
      <c r="V50" s="2023"/>
      <c r="W50" s="2023">
        <f t="shared" si="190"/>
        <v>1.0074000000000001</v>
      </c>
      <c r="X50" s="2903"/>
      <c r="Y50" s="2024"/>
      <c r="Z50" s="2899">
        <f t="shared" si="191"/>
        <v>4.5999999999999999E-3</v>
      </c>
      <c r="AA50" s="2900">
        <f t="shared" si="191"/>
        <v>4.1000000000000003E-3</v>
      </c>
      <c r="AB50" s="2024">
        <f t="shared" si="191"/>
        <v>0.01</v>
      </c>
      <c r="AC50" s="2901"/>
      <c r="AD50" s="2024">
        <f t="shared" si="191"/>
        <v>4.1000000000000003E-3</v>
      </c>
      <c r="AG50" s="3150">
        <f t="shared" si="129"/>
        <v>101.02</v>
      </c>
      <c r="AH50" s="3150">
        <f t="shared" si="130"/>
        <v>100.74000000000001</v>
      </c>
      <c r="AI50" s="3150">
        <f t="shared" si="131"/>
        <v>102.02</v>
      </c>
      <c r="AJ50" s="3152"/>
      <c r="AK50" s="3150">
        <f t="shared" si="132"/>
        <v>100.74000000000001</v>
      </c>
      <c r="AN50" s="3150">
        <f t="shared" si="148"/>
        <v>99.844738787834515</v>
      </c>
      <c r="AO50" s="3150">
        <f t="shared" si="159"/>
        <v>101.06593886646635</v>
      </c>
      <c r="AP50" s="3150">
        <f t="shared" si="160"/>
        <v>98.682027123370688</v>
      </c>
      <c r="AQ50" s="3150"/>
      <c r="AR50" s="3150">
        <f t="shared" si="161"/>
        <v>101.06593886646635</v>
      </c>
    </row>
    <row r="51" spans="1:44" s="2041" customFormat="1" ht="12.75">
      <c r="A51" s="2902" t="s">
        <v>2828</v>
      </c>
      <c r="B51" s="2027">
        <v>2021</v>
      </c>
      <c r="C51" s="2038">
        <v>2</v>
      </c>
      <c r="D51" s="2003"/>
      <c r="E51" s="2003">
        <v>0.55000000000000004</v>
      </c>
      <c r="F51" s="2003">
        <v>0.46</v>
      </c>
      <c r="G51" s="2003">
        <v>1.1000000000000001</v>
      </c>
      <c r="H51" s="2914"/>
      <c r="I51" s="2004">
        <f t="shared" si="174"/>
        <v>0.46</v>
      </c>
      <c r="J51" s="2903"/>
      <c r="K51" s="2039"/>
      <c r="L51" s="2024">
        <f t="shared" si="175"/>
        <v>5.5000000000000005E-3</v>
      </c>
      <c r="M51" s="2024">
        <f t="shared" si="175"/>
        <v>4.5999999999999999E-3</v>
      </c>
      <c r="N51" s="2024">
        <f t="shared" si="175"/>
        <v>1.1000000000000001E-2</v>
      </c>
      <c r="O51" s="2024"/>
      <c r="P51" s="2024">
        <f t="shared" si="189"/>
        <v>4.5999999999999999E-3</v>
      </c>
      <c r="Q51" s="2903"/>
      <c r="R51" s="2023"/>
      <c r="S51" s="2023">
        <f>ROUND(IF(项目基本情况!$B$8="出让",SUMPRODUCT(PRODUCT(1+L51:L$52)),SUMPRODUCT(PRODUCT(1+L51:L$51))),4)</f>
        <v>1.0055000000000001</v>
      </c>
      <c r="T51" s="2023">
        <f>ROUND(IF(项目基本情况!$B$8="出让",SUMPRODUCT(PRODUCT(1+M51:M$52)),SUMPRODUCT(PRODUCT(1+M51:M$51))),4)</f>
        <v>1.0045999999999999</v>
      </c>
      <c r="U51" s="2023">
        <f>ROUND(IF(项目基本情况!$B$8="出让",SUMPRODUCT(PRODUCT(1+N51:N$52)),SUMPRODUCT(PRODUCT(1+N51:N$51))),4)</f>
        <v>1.0109999999999999</v>
      </c>
      <c r="V51" s="2023"/>
      <c r="W51" s="2023">
        <f t="shared" si="190"/>
        <v>1.0045999999999999</v>
      </c>
      <c r="X51" s="2903"/>
      <c r="Y51" s="2024"/>
      <c r="Z51" s="2899">
        <f t="shared" si="191"/>
        <v>4.4999999999999997E-3</v>
      </c>
      <c r="AA51" s="2900">
        <f t="shared" si="191"/>
        <v>4.7000000000000002E-3</v>
      </c>
      <c r="AB51" s="2024">
        <f t="shared" si="191"/>
        <v>1.04E-2</v>
      </c>
      <c r="AC51" s="2901"/>
      <c r="AD51" s="2024">
        <f t="shared" si="191"/>
        <v>4.7000000000000002E-3</v>
      </c>
      <c r="AG51" s="3150">
        <f>$AG$52*S51</f>
        <v>100.55000000000001</v>
      </c>
      <c r="AH51" s="3150">
        <f t="shared" ref="AH51:AK51" si="192">$AG$52*T51</f>
        <v>100.46</v>
      </c>
      <c r="AI51" s="3150">
        <f t="shared" si="192"/>
        <v>101.1</v>
      </c>
      <c r="AJ51" s="3152"/>
      <c r="AK51" s="3150">
        <f t="shared" si="192"/>
        <v>100.46</v>
      </c>
      <c r="AN51" s="3150">
        <f t="shared" si="148"/>
        <v>99.377663768124336</v>
      </c>
      <c r="AO51" s="3150">
        <f t="shared" si="159"/>
        <v>100.78374438219622</v>
      </c>
      <c r="AP51" s="3150">
        <f t="shared" si="160"/>
        <v>97.7921188419093</v>
      </c>
      <c r="AQ51" s="3150"/>
      <c r="AR51" s="3150">
        <f t="shared" si="161"/>
        <v>100.78374438219622</v>
      </c>
    </row>
    <row r="52" spans="1:44" s="2925" customFormat="1" ht="14.25" thickBot="1">
      <c r="A52" s="2915" t="s">
        <v>2814</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98.83407634820918</v>
      </c>
      <c r="AO52" s="3157">
        <f t="shared" si="159"/>
        <v>100.32226197710156</v>
      </c>
      <c r="AP52" s="3157">
        <f t="shared" si="160"/>
        <v>96.728109635914251</v>
      </c>
      <c r="AQ52" s="3157"/>
      <c r="AR52" s="3157">
        <f t="shared" si="161"/>
        <v>100.32226197710156</v>
      </c>
    </row>
    <row r="53" spans="1:44" ht="14.25" thickTop="1"/>
    <row r="54" spans="1:44">
      <c r="A54" s="3140" t="s">
        <v>3368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E12" sqref="E12"/>
    </sheetView>
  </sheetViews>
  <sheetFormatPr defaultColWidth="6.625" defaultRowHeight="12.75"/>
  <cols>
    <col min="1" max="1" width="9.75" style="685" customWidth="1"/>
    <col min="2" max="2" width="25.75" style="731" customWidth="1"/>
    <col min="3" max="3" width="10.375" style="770" customWidth="1"/>
    <col min="4" max="4" width="9.875" style="731" customWidth="1"/>
    <col min="5" max="5" width="9.5" style="685"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6" t="s">
        <v>1594</v>
      </c>
      <c r="B1" s="119"/>
      <c r="C1" s="1106"/>
      <c r="D1" s="1105"/>
      <c r="E1" s="2564"/>
      <c r="F1" s="2564"/>
      <c r="G1" s="2445"/>
      <c r="H1" s="2564"/>
      <c r="I1" s="2564"/>
      <c r="J1" s="2564"/>
      <c r="K1" s="2565">
        <f>MATCH(C1,'数据-取费表'!A6:A16,0)+5</f>
        <v>11</v>
      </c>
    </row>
    <row r="2" spans="1:33" ht="18" customHeight="1">
      <c r="A2" s="191" t="s">
        <v>1462</v>
      </c>
      <c r="B2" s="194">
        <f ca="1">C32</f>
        <v>121904</v>
      </c>
      <c r="C2" s="266" t="s">
        <v>1595</v>
      </c>
      <c r="D2" s="266"/>
      <c r="E2" s="2564"/>
      <c r="F2" s="2564"/>
      <c r="G2" s="2564"/>
      <c r="H2" s="2564"/>
      <c r="I2" s="2564"/>
      <c r="J2" s="2564"/>
      <c r="K2" s="2564"/>
    </row>
    <row r="3" spans="1:33" ht="18" customHeight="1" thickBot="1">
      <c r="A3" s="193" t="s">
        <v>1464</v>
      </c>
      <c r="B3" s="194">
        <f ca="1">ROUND(B2*10000/IF(C1="",'数据-汇总表'!E3,INDIRECT("'数据-取费表'!K"&amp;$K$1)),0)</f>
        <v>16395</v>
      </c>
      <c r="C3" s="266" t="s">
        <v>1596</v>
      </c>
      <c r="D3" s="266"/>
      <c r="E3" s="2564"/>
      <c r="F3" s="2564"/>
      <c r="G3" s="2564"/>
      <c r="H3" s="2564"/>
      <c r="I3" s="2564"/>
      <c r="J3" s="2564"/>
      <c r="K3" s="2564"/>
    </row>
    <row r="4" spans="1:33" s="735" customFormat="1" ht="16.5" customHeight="1">
      <c r="A4" s="732" t="s">
        <v>1597</v>
      </c>
      <c r="B4" s="733"/>
      <c r="C4" s="771">
        <f ca="1">SUM(C8:K8)</f>
        <v>193640.89</v>
      </c>
      <c r="D4" s="733"/>
      <c r="E4" s="733"/>
      <c r="F4" s="733"/>
      <c r="G4" s="733"/>
      <c r="H4" s="733"/>
      <c r="I4" s="733"/>
      <c r="J4" s="733"/>
      <c r="K4" s="734"/>
    </row>
    <row r="5" spans="1:33" s="739" customFormat="1" ht="15">
      <c r="A5" s="736" t="s">
        <v>1598</v>
      </c>
      <c r="B5" s="737" t="s">
        <v>1599</v>
      </c>
      <c r="C5" s="1714" t="s">
        <v>3394</v>
      </c>
      <c r="D5" s="1714" t="s">
        <v>673</v>
      </c>
      <c r="E5" s="1714" t="s">
        <v>3413</v>
      </c>
      <c r="F5" s="1714" t="s">
        <v>3545</v>
      </c>
      <c r="G5" s="1714" t="s">
        <v>3415</v>
      </c>
      <c r="H5" s="1714"/>
      <c r="I5" s="1714"/>
      <c r="J5" s="1714"/>
      <c r="K5" s="1714"/>
      <c r="L5" s="738"/>
      <c r="M5" s="738"/>
      <c r="N5" s="738"/>
      <c r="O5" s="738"/>
      <c r="P5" s="738"/>
      <c r="Q5" s="738"/>
      <c r="R5" s="738"/>
      <c r="S5" s="738"/>
      <c r="T5" s="738"/>
      <c r="U5" s="738"/>
      <c r="V5" s="738"/>
      <c r="W5" s="738"/>
      <c r="X5" s="738"/>
      <c r="Y5" s="738"/>
      <c r="Z5" s="738"/>
      <c r="AA5" s="738"/>
      <c r="AB5" s="738"/>
      <c r="AC5" s="738"/>
      <c r="AD5" s="738"/>
      <c r="AE5" s="738"/>
      <c r="AF5" s="738"/>
      <c r="AG5" s="738"/>
    </row>
    <row r="6" spans="1:33" s="120" customFormat="1" ht="13.5" customHeight="1">
      <c r="A6" s="740" t="s">
        <v>357</v>
      </c>
      <c r="B6" s="121" t="s">
        <v>1600</v>
      </c>
      <c r="C6" s="741">
        <v>33000</v>
      </c>
      <c r="D6" s="741">
        <f ca="1">'收益法 (元)'!B3</f>
        <v>9865</v>
      </c>
      <c r="E6" s="741">
        <v>7500</v>
      </c>
      <c r="F6" s="741">
        <f>F8/F7*10000</f>
        <v>4895.9586087121106</v>
      </c>
      <c r="G6" s="741">
        <f>F6</f>
        <v>4895.9586087121106</v>
      </c>
      <c r="H6" s="741"/>
      <c r="I6" s="741"/>
      <c r="J6" s="741"/>
      <c r="K6" s="742"/>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0" t="s">
        <v>1601</v>
      </c>
      <c r="B7" s="121" t="s">
        <v>1602</v>
      </c>
      <c r="C7" s="267">
        <f>SUMIF('数据-汇总表'!$C19:$C33,假设开发法!C5,'数据-汇总表'!$E19:$E33)</f>
        <v>55618.469999999863</v>
      </c>
      <c r="D7" s="267">
        <f>SUMIF('数据-汇总表'!$C19:$C33,假设开发法!D5,'数据-汇总表'!$E19:$E33)</f>
        <v>522.33999999999992</v>
      </c>
      <c r="E7" s="267">
        <f>SUMIF('数据-汇总表'!$C19:$C33,假设开发法!E5,'数据-汇总表'!$E19:$E33)</f>
        <v>2565.2700000000004</v>
      </c>
      <c r="F7" s="267">
        <f>SUMIF('数据-汇总表'!$C19:$C33,假设开发法!F5,'数据-汇总表'!$E19:$E33)</f>
        <v>13761.349999999919</v>
      </c>
      <c r="G7" s="267">
        <f>SUMIF('数据-汇总表'!$C19:$C33,假设开发法!G5,'数据-汇总表'!$E19:$E33)</f>
        <v>1886.22</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5" t="s">
        <v>1603</v>
      </c>
      <c r="B8" s="154" t="s">
        <v>1604</v>
      </c>
      <c r="C8" s="772">
        <f>ROUND(C6*C7/10000,2)</f>
        <v>183540.95</v>
      </c>
      <c r="D8" s="772">
        <f ca="1">ROUND('收益法 (元)'!B2,0)</f>
        <v>515</v>
      </c>
      <c r="E8" s="772">
        <f>ROUND(E6*E7/10000,2)</f>
        <v>1923.95</v>
      </c>
      <c r="F8" s="773">
        <f>12.5*'数据-取费表'!AH9</f>
        <v>6737.5</v>
      </c>
      <c r="G8" s="772">
        <f>ROUND(G6*G7/10000,2)</f>
        <v>923.49</v>
      </c>
      <c r="H8" s="773"/>
      <c r="I8" s="773"/>
      <c r="J8" s="773"/>
      <c r="K8" s="774"/>
      <c r="L8" s="682"/>
      <c r="M8" s="682"/>
      <c r="N8" s="682"/>
      <c r="O8" s="682"/>
      <c r="P8" s="682"/>
      <c r="Q8" s="682"/>
      <c r="R8" s="682"/>
      <c r="S8" s="682"/>
      <c r="T8" s="682"/>
      <c r="U8" s="682"/>
      <c r="V8" s="682"/>
      <c r="W8" s="682"/>
      <c r="X8" s="682"/>
      <c r="Y8" s="682"/>
      <c r="Z8" s="682"/>
      <c r="AA8" s="682"/>
      <c r="AB8" s="682"/>
      <c r="AC8" s="682"/>
      <c r="AD8" s="682"/>
      <c r="AE8" s="682"/>
      <c r="AF8" s="682"/>
      <c r="AG8" s="682"/>
    </row>
    <row r="9" spans="1:33" s="735" customFormat="1" ht="16.5" customHeight="1">
      <c r="A9" s="732" t="s">
        <v>1605</v>
      </c>
      <c r="B9" s="733"/>
      <c r="C9" s="733"/>
      <c r="D9" s="733"/>
      <c r="E9" s="733"/>
      <c r="F9" s="733"/>
      <c r="G9" s="733"/>
      <c r="H9" s="733"/>
      <c r="I9" s="733"/>
      <c r="J9" s="733"/>
      <c r="K9" s="734"/>
    </row>
    <row r="10" spans="1:33" s="747" customFormat="1" ht="13.5" customHeight="1">
      <c r="A10" s="736" t="s">
        <v>1606</v>
      </c>
      <c r="B10" s="5" t="s">
        <v>1607</v>
      </c>
      <c r="C10" s="743" t="s">
        <v>1608</v>
      </c>
      <c r="D10" s="744" t="s">
        <v>1609</v>
      </c>
      <c r="E10" s="744" t="s">
        <v>1610</v>
      </c>
      <c r="F10" s="744" t="s">
        <v>1611</v>
      </c>
      <c r="G10" s="5"/>
      <c r="H10" s="745"/>
      <c r="I10" s="745"/>
      <c r="J10" s="745"/>
      <c r="K10" s="746"/>
    </row>
    <row r="11" spans="1:33" s="751" customFormat="1" ht="13.5" customHeight="1">
      <c r="A11" s="748" t="s">
        <v>635</v>
      </c>
      <c r="B11" s="749" t="s">
        <v>1612</v>
      </c>
      <c r="C11" s="269">
        <f ca="1">IF(C1="",'数据-取费表'!P16,INDIRECT("'数据-取费表'!p"&amp;$K$1)+INDIRECT("'数据-取费表'!ar"&amp;$K$1))</f>
        <v>24923</v>
      </c>
      <c r="D11" s="750"/>
      <c r="E11" s="136"/>
      <c r="F11" s="760">
        <f ca="1">1-IF('数据-取费表'!B24=0,1,IF(C1="",'数据-取费表'!N16,INDIRECT("'数据-取费表'!n"&amp;$K$1)))</f>
        <v>0.66999999999999993</v>
      </c>
      <c r="G11" s="5"/>
      <c r="H11" s="745"/>
      <c r="I11" s="745"/>
      <c r="J11" s="745"/>
      <c r="K11" s="746"/>
    </row>
    <row r="12" spans="1:33" s="751" customFormat="1" ht="13.5" customHeight="1">
      <c r="A12" s="748" t="s">
        <v>636</v>
      </c>
      <c r="B12" s="749" t="s">
        <v>1613</v>
      </c>
      <c r="C12" s="21">
        <f ca="1">ROUND(C11*F12,0)</f>
        <v>1246</v>
      </c>
      <c r="D12" s="750"/>
      <c r="E12" s="136"/>
      <c r="F12" s="760">
        <f>'数据-取费表'!B33</f>
        <v>0.05</v>
      </c>
      <c r="G12" s="5" t="s">
        <v>1614</v>
      </c>
      <c r="H12" s="745"/>
      <c r="I12" s="745"/>
      <c r="J12" s="745"/>
      <c r="K12" s="746"/>
    </row>
    <row r="13" spans="1:33" s="751" customFormat="1" ht="13.5" customHeight="1">
      <c r="A13" s="748" t="s">
        <v>637</v>
      </c>
      <c r="B13" s="749" t="s">
        <v>1615</v>
      </c>
      <c r="C13" s="21">
        <f ca="1">ROUND(IF(C1="",SUMIF('数据-取费表'!C:C,"住宅",'数据-取费表'!P:P)*F13,IF(INDIRECT("'数据-取费表'!c"&amp;$K$1)="住宅",INDIRECT("'数据-取费表'!P"&amp;$K$1)*F13,0)),0)</f>
        <v>1025</v>
      </c>
      <c r="D13" s="792"/>
      <c r="E13" s="136"/>
      <c r="F13" s="760">
        <f>'数据-取费表'!B34</f>
        <v>0.05</v>
      </c>
      <c r="G13" s="5" t="s">
        <v>1616</v>
      </c>
      <c r="H13" s="745"/>
      <c r="I13" s="745"/>
      <c r="J13" s="745"/>
      <c r="K13" s="746"/>
    </row>
    <row r="14" spans="1:33" s="753" customFormat="1" ht="13.5" customHeight="1">
      <c r="A14" s="748" t="s">
        <v>638</v>
      </c>
      <c r="B14" s="749" t="s">
        <v>1617</v>
      </c>
      <c r="C14" s="21">
        <f ca="1">ROUND(D14*E14*F11/10000,0)</f>
        <v>996</v>
      </c>
      <c r="D14" s="792">
        <f ca="1">IF(C1="",'数据-汇总表'!E3,INDIRECT("'数据-取费表'!K"&amp;$K$1)+INDIRECT("'数据-取费表'!S"&amp;$K$1))</f>
        <v>74353.649999999776</v>
      </c>
      <c r="E14" s="21">
        <f>'数据-取费表'!B35</f>
        <v>200</v>
      </c>
      <c r="F14" s="752"/>
      <c r="G14" s="5" t="s">
        <v>1618</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1619</v>
      </c>
      <c r="C15" s="759">
        <f ca="1">ROUND(C11*F15,0)</f>
        <v>498</v>
      </c>
      <c r="D15" s="754"/>
      <c r="E15" s="759"/>
      <c r="F15" s="760">
        <f>'数据-取费表'!B36</f>
        <v>0.02</v>
      </c>
      <c r="G15" s="121" t="s">
        <v>1620</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1621</v>
      </c>
      <c r="C16" s="759">
        <f ca="1">SUM(C11:C15)</f>
        <v>28688</v>
      </c>
      <c r="D16" s="754"/>
      <c r="E16" s="759"/>
      <c r="F16" s="760"/>
      <c r="G16" s="121"/>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1622</v>
      </c>
      <c r="C17" s="21">
        <f ca="1">ROUND(D17*E17/10000,0)</f>
        <v>149</v>
      </c>
      <c r="D17" s="792">
        <f ca="1">D14</f>
        <v>74353.649999999776</v>
      </c>
      <c r="E17" s="21">
        <f>'数据-取费表'!B32</f>
        <v>20</v>
      </c>
      <c r="F17" s="754"/>
      <c r="G17" s="121" t="s">
        <v>1623</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1624</v>
      </c>
      <c r="C18" s="21">
        <f ca="1">C19+C20-IF(C1="",'数据-取费表'!B29,IF(G18="已全部缴纳",C19+C20,H18))</f>
        <v>1265</v>
      </c>
      <c r="D18" s="792"/>
      <c r="E18" s="21"/>
      <c r="F18" s="752"/>
      <c r="G18" s="1716" t="s">
        <v>3578</v>
      </c>
      <c r="H18" s="1102"/>
      <c r="I18" s="1717" t="s">
        <v>1625</v>
      </c>
      <c r="J18" s="755"/>
      <c r="K18" s="756"/>
    </row>
    <row r="19" spans="1:33" s="751" customFormat="1" ht="13.5" customHeight="1">
      <c r="A19" s="748" t="s">
        <v>360</v>
      </c>
      <c r="B19" s="749" t="s">
        <v>1626</v>
      </c>
      <c r="C19" s="21">
        <f ca="1">ROUND(D19*E19/10000,0)</f>
        <v>890</v>
      </c>
      <c r="D19" s="792">
        <f ca="1">IF(C1="",'数据-汇总表'!E5,IF(INDIRECT("'数据-取费表'!c"&amp;$K$1)="住宅",INDIRECT("'数据-取费表'!k"&amp;$K$1),0))</f>
        <v>55618.469999999863</v>
      </c>
      <c r="E19" s="21">
        <f>'数据-取费表'!B27</f>
        <v>160</v>
      </c>
      <c r="F19" s="752"/>
      <c r="G19" s="12"/>
      <c r="H19" s="1104"/>
      <c r="I19" s="757"/>
      <c r="J19" s="757"/>
      <c r="K19" s="758"/>
    </row>
    <row r="20" spans="1:33" s="751" customFormat="1" ht="13.5" customHeight="1">
      <c r="A20" s="748" t="s">
        <v>361</v>
      </c>
      <c r="B20" s="749" t="s">
        <v>1627</v>
      </c>
      <c r="C20" s="21">
        <f ca="1">ROUND(D20*E20/10000,0)</f>
        <v>375</v>
      </c>
      <c r="D20" s="792">
        <f ca="1">IF(C1="",'数据-汇总表'!E6,IF(INDIRECT("'数据-取费表'!c"&amp;$K$1)="住宅",INDIRECT("'数据-取费表'!s"&amp;$K$1),INDIRECT("'数据-取费表'!k"&amp;$K$1)+INDIRECT("'数据-取费表'!s"&amp;$K$1)))</f>
        <v>18735.179999999913</v>
      </c>
      <c r="E20" s="21">
        <f>'数据-取费表'!B28</f>
        <v>200</v>
      </c>
      <c r="F20" s="752"/>
      <c r="G20" s="12"/>
      <c r="H20" s="757"/>
      <c r="I20" s="757"/>
      <c r="J20" s="757"/>
      <c r="K20" s="758"/>
    </row>
    <row r="21" spans="1:33" s="751" customFormat="1" ht="13.5" customHeight="1">
      <c r="A21" s="740" t="s">
        <v>357</v>
      </c>
      <c r="B21" s="761" t="s">
        <v>1628</v>
      </c>
      <c r="C21" s="762">
        <f ca="1">C16+C17+C18</f>
        <v>30102</v>
      </c>
      <c r="D21" s="763"/>
      <c r="E21" s="271"/>
      <c r="F21" s="271"/>
      <c r="G21" s="121" t="s">
        <v>1629</v>
      </c>
      <c r="H21" s="755"/>
      <c r="I21" s="755"/>
      <c r="J21" s="755"/>
      <c r="K21" s="756"/>
    </row>
    <row r="22" spans="1:33" s="751" customFormat="1" ht="13.5" customHeight="1">
      <c r="A22" s="740" t="s">
        <v>1601</v>
      </c>
      <c r="B22" s="761" t="s">
        <v>1630</v>
      </c>
      <c r="C22" s="762">
        <f ca="1">ROUND(C21*F22,0)</f>
        <v>602</v>
      </c>
      <c r="D22" s="271"/>
      <c r="E22" s="271"/>
      <c r="F22" s="764">
        <f>'数据-取费表'!B37</f>
        <v>0.02</v>
      </c>
      <c r="G22" s="5" t="s">
        <v>1631</v>
      </c>
      <c r="H22" s="745"/>
      <c r="I22" s="745"/>
      <c r="J22" s="745"/>
      <c r="K22" s="746"/>
    </row>
    <row r="23" spans="1:33" s="751" customFormat="1" ht="13.5" customHeight="1">
      <c r="A23" s="740" t="s">
        <v>1603</v>
      </c>
      <c r="B23" s="761" t="s">
        <v>1632</v>
      </c>
      <c r="C23" s="762">
        <f ca="1">ROUND(C4*F23*F11,0)</f>
        <v>2595</v>
      </c>
      <c r="D23" s="271"/>
      <c r="E23" s="271"/>
      <c r="F23" s="764">
        <f>'数据-取费表'!B38</f>
        <v>0.02</v>
      </c>
      <c r="G23" s="5" t="s">
        <v>1633</v>
      </c>
      <c r="H23" s="745"/>
      <c r="I23" s="745"/>
      <c r="J23" s="745"/>
      <c r="K23" s="746"/>
    </row>
    <row r="24" spans="1:33" s="751" customFormat="1" ht="13.5" customHeight="1">
      <c r="A24" s="740" t="s">
        <v>1634</v>
      </c>
      <c r="B24" s="761" t="s">
        <v>1635</v>
      </c>
      <c r="C24" s="270">
        <f>ROUND(F24/(1+'数据-取费表'!C42),4)</f>
        <v>2.9000000000000001E-2</v>
      </c>
      <c r="D24" s="271" t="s">
        <v>12</v>
      </c>
      <c r="E24" s="271"/>
      <c r="F24" s="764">
        <f>IF(项目基本情况!B8="出让",0,'数据-取费表'!B48+'数据-取费表'!B49)</f>
        <v>3.0499999999999999E-2</v>
      </c>
      <c r="G24" s="5" t="s">
        <v>1636</v>
      </c>
      <c r="H24" s="766"/>
      <c r="I24" s="766"/>
      <c r="J24" s="766"/>
      <c r="K24" s="55"/>
    </row>
    <row r="25" spans="1:33" s="751" customFormat="1" ht="13.5" customHeight="1">
      <c r="A25" s="740" t="s">
        <v>1637</v>
      </c>
      <c r="B25" s="763" t="s">
        <v>1638</v>
      </c>
      <c r="C25" s="1039">
        <f ca="1">C27</f>
        <v>1082</v>
      </c>
      <c r="D25" s="270">
        <f ca="1">C26</f>
        <v>6.8000000000000005E-2</v>
      </c>
      <c r="E25" s="272" t="s">
        <v>12</v>
      </c>
      <c r="F25" s="273">
        <f ca="1">'数据-取费表'!B40</f>
        <v>3.2500000000000001E-2</v>
      </c>
      <c r="G25" s="121"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1639</v>
      </c>
      <c r="C26" s="1040">
        <f ca="1">ROUND(IF('数据-取费表'!B22&lt;=1,(1+C24)*F25*'数据-取费表'!B24,(1+C24)*(POWER((1+F25),'数据-取费表'!B24)-1)),4)</f>
        <v>6.8000000000000005E-2</v>
      </c>
      <c r="D26" s="274"/>
      <c r="E26" s="275"/>
      <c r="F26" s="276"/>
      <c r="G26" s="1718"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1640</v>
      </c>
      <c r="C27" s="1041">
        <f ca="1">ROUND(IF('数据-取费表'!B22&lt;=1,(C21+C22+C23)*F25*'数据-取费表'!B24/2,(C21+C22+C23)*(POWER((1+F25),'数据-取费表'!B24/2)-1)),0)</f>
        <v>1082</v>
      </c>
      <c r="D27" s="274"/>
      <c r="E27" s="275"/>
      <c r="F27" s="276"/>
      <c r="G27" s="1718" t="str">
        <f>IF('数据-取费表'!B22&lt;=1,"（1）-（3）项×年利率×建设期÷2","（1）-（3）项×((1+年利率)^(建设期÷2)-1)")</f>
        <v>（1）-（3）项×((1+年利率)^(建设期÷2)-1)</v>
      </c>
      <c r="H27" s="755"/>
      <c r="I27" s="755"/>
      <c r="J27" s="755"/>
      <c r="K27" s="756"/>
    </row>
    <row r="28" spans="1:33" s="279" customFormat="1" ht="13.5" customHeight="1">
      <c r="A28" s="740" t="s">
        <v>1641</v>
      </c>
      <c r="B28" s="1719" t="s">
        <v>1642</v>
      </c>
      <c r="C28" s="277">
        <f ca="1">C30</f>
        <v>4329</v>
      </c>
      <c r="D28" s="270">
        <f ca="1">C29</f>
        <v>8.9200000000000002E-2</v>
      </c>
      <c r="E28" s="272" t="s">
        <v>12</v>
      </c>
      <c r="F28" s="278">
        <f ca="1">IF(C1="",'数据-取费表'!Q16,INDIRECT("'数据-取费表'!q"&amp;$K$1))</f>
        <v>0.13</v>
      </c>
      <c r="G28" s="765"/>
      <c r="H28" s="766"/>
      <c r="I28" s="766"/>
      <c r="J28" s="766"/>
      <c r="K28" s="55"/>
    </row>
    <row r="29" spans="1:33" s="281" customFormat="1" ht="13.5" customHeight="1">
      <c r="A29" s="748" t="s">
        <v>358</v>
      </c>
      <c r="B29" s="769" t="s">
        <v>1643</v>
      </c>
      <c r="C29" s="274">
        <f ca="1">ROUND((1+C24)*F28*'数据-取费表'!B24/'数据-取费表'!B20,4)</f>
        <v>8.9200000000000002E-2</v>
      </c>
      <c r="D29" s="274"/>
      <c r="E29" s="275"/>
      <c r="F29" s="280"/>
      <c r="G29" s="121" t="s">
        <v>1644</v>
      </c>
      <c r="H29" s="755"/>
      <c r="I29" s="755"/>
      <c r="J29" s="755"/>
      <c r="K29" s="756"/>
    </row>
    <row r="30" spans="1:33" s="281" customFormat="1" ht="13.5" customHeight="1">
      <c r="A30" s="748" t="s">
        <v>359</v>
      </c>
      <c r="B30" s="769" t="s">
        <v>1645</v>
      </c>
      <c r="C30" s="282">
        <f ca="1">ROUND((C21+C22+C23)*F28,0)</f>
        <v>4329</v>
      </c>
      <c r="D30" s="274"/>
      <c r="E30" s="275"/>
      <c r="F30" s="280"/>
      <c r="G30" s="121"/>
      <c r="H30" s="755"/>
      <c r="I30" s="755"/>
      <c r="J30" s="755"/>
      <c r="K30" s="756"/>
    </row>
    <row r="31" spans="1:33" s="751" customFormat="1" ht="13.5" customHeight="1" thickBot="1">
      <c r="A31" s="1720" t="s">
        <v>1646</v>
      </c>
      <c r="B31" s="779" t="s">
        <v>1647</v>
      </c>
      <c r="C31" s="780">
        <f ca="1">ROUND(C4*F31/(1+'数据-取费表'!C42),0)</f>
        <v>10328</v>
      </c>
      <c r="D31" s="781"/>
      <c r="E31" s="782"/>
      <c r="F31" s="783">
        <f>'数据-取费表'!B41</f>
        <v>5.6000000000000001E-2</v>
      </c>
      <c r="G31" s="784" t="s">
        <v>1648</v>
      </c>
      <c r="H31" s="785"/>
      <c r="I31" s="785"/>
      <c r="J31" s="785"/>
      <c r="K31" s="786"/>
    </row>
    <row r="32" spans="1:33" s="747" customFormat="1" ht="13.5" customHeight="1" thickBot="1">
      <c r="A32" s="447" t="s">
        <v>1649</v>
      </c>
      <c r="B32" s="775"/>
      <c r="C32" s="776">
        <f ca="1">ROUND((C4-C21-C22-C23-C25-C28-C31)/(1+C24+D25+D28),0)</f>
        <v>121904</v>
      </c>
      <c r="D32" s="775"/>
      <c r="E32" s="775"/>
      <c r="F32" s="775"/>
      <c r="G32" s="777" t="s">
        <v>1650</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N44" sqref="N44"/>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8" customWidth="1"/>
    <col min="12" max="12" width="16.375" style="248" customWidth="1"/>
    <col min="13" max="13" width="13" style="248"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8"/>
  </cols>
  <sheetData>
    <row r="1" spans="1:37" s="283" customFormat="1" ht="21">
      <c r="A1" s="1279" t="s">
        <v>877</v>
      </c>
      <c r="B1" s="661"/>
      <c r="C1" s="1283"/>
      <c r="D1" s="1267" t="s">
        <v>43</v>
      </c>
      <c r="E1" s="1268" t="s">
        <v>678</v>
      </c>
      <c r="F1" s="995">
        <f ca="1">J53</f>
        <v>0</v>
      </c>
      <c r="G1" s="1282">
        <f>MATCH(C1,'数据-取费表'!A6:A16,0)+5</f>
        <v>11</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9" t="s">
        <v>804</v>
      </c>
      <c r="B2" s="1290" t="e">
        <f ca="1">C40+J29+L46</f>
        <v>#DIV/0!</v>
      </c>
      <c r="C2" s="1285" t="s">
        <v>805</v>
      </c>
      <c r="D2" s="1285"/>
      <c r="E2" s="1291"/>
      <c r="F2" s="1292"/>
      <c r="G2" s="2475"/>
      <c r="H2" s="2465"/>
      <c r="I2" s="2465"/>
      <c r="J2" s="2465"/>
      <c r="K2" s="2466"/>
      <c r="L2" s="2465"/>
      <c r="M2" s="2465"/>
    </row>
    <row r="3" spans="1:37" ht="18" customHeight="1" thickBot="1">
      <c r="A3" s="1293" t="s">
        <v>806</v>
      </c>
      <c r="B3" s="1294">
        <f ca="1">IF(ISERROR(B2*10000/F43),0,ROUND(B2*10000/F43,0))</f>
        <v>0</v>
      </c>
      <c r="C3" s="1285" t="s">
        <v>807</v>
      </c>
      <c r="D3" s="1285"/>
      <c r="E3" s="1291"/>
      <c r="F3" s="1292"/>
      <c r="G3" s="2475"/>
      <c r="H3" s="647" t="s">
        <v>876</v>
      </c>
      <c r="I3" s="1286"/>
      <c r="J3" s="1286"/>
      <c r="K3" s="1287"/>
      <c r="L3" s="1286"/>
      <c r="M3" s="1286"/>
    </row>
    <row r="4" spans="1:37" ht="18" customHeight="1">
      <c r="A4" s="285" t="s">
        <v>687</v>
      </c>
      <c r="B4" s="286" t="s">
        <v>688</v>
      </c>
      <c r="C4" s="286" t="s">
        <v>689</v>
      </c>
      <c r="D4" s="286" t="s">
        <v>690</v>
      </c>
      <c r="E4" s="287" t="s">
        <v>691</v>
      </c>
      <c r="F4" s="288"/>
      <c r="G4" s="1288"/>
      <c r="H4" s="285" t="s">
        <v>687</v>
      </c>
      <c r="I4" s="286" t="s">
        <v>688</v>
      </c>
      <c r="J4" s="286" t="s">
        <v>689</v>
      </c>
      <c r="K4" s="286" t="s">
        <v>690</v>
      </c>
      <c r="L4" s="287" t="s">
        <v>691</v>
      </c>
      <c r="M4" s="288"/>
    </row>
    <row r="5" spans="1:37" ht="18" customHeight="1">
      <c r="A5" s="289">
        <v>1</v>
      </c>
      <c r="B5" s="290" t="s">
        <v>692</v>
      </c>
      <c r="C5" s="1003">
        <f ca="1">C6+C10+C12</f>
        <v>0</v>
      </c>
      <c r="D5" s="1269" t="s">
        <v>693</v>
      </c>
      <c r="E5" s="1004"/>
      <c r="F5" s="1005"/>
      <c r="G5" s="1288"/>
      <c r="H5" s="289">
        <v>1</v>
      </c>
      <c r="I5" s="290" t="s">
        <v>692</v>
      </c>
      <c r="J5" s="1003">
        <f ca="1">J6+J10+J12</f>
        <v>0</v>
      </c>
      <c r="K5" s="1269" t="s">
        <v>693</v>
      </c>
      <c r="L5" s="1004"/>
      <c r="M5" s="1005"/>
    </row>
    <row r="6" spans="1:37" ht="18" customHeight="1">
      <c r="A6" s="1002" t="s">
        <v>398</v>
      </c>
      <c r="B6" s="3421" t="s">
        <v>694</v>
      </c>
      <c r="C6" s="1007">
        <f ca="1">ROUND(F6*F8*F7*(1-F9)/10000,0)</f>
        <v>0</v>
      </c>
      <c r="D6" s="145" t="s">
        <v>2108</v>
      </c>
      <c r="E6" s="292" t="s">
        <v>696</v>
      </c>
      <c r="F6" s="293">
        <f ca="1">INDIRECT("'数据-取费表'!u"&amp;$G$1)</f>
        <v>0</v>
      </c>
      <c r="G6" s="1288"/>
      <c r="H6" s="1002" t="s">
        <v>398</v>
      </c>
      <c r="I6" s="3421" t="s">
        <v>694</v>
      </c>
      <c r="J6" s="291">
        <f ca="1">ROUND(M6*M8*M7*(1-M9)/10000,0)</f>
        <v>0</v>
      </c>
      <c r="K6" s="145" t="s">
        <v>2107</v>
      </c>
      <c r="L6" s="292" t="s">
        <v>696</v>
      </c>
      <c r="M6" s="293">
        <f ca="1">INDIRECT("'数据-取费表'!z"&amp;$G$1)</f>
        <v>0</v>
      </c>
    </row>
    <row r="7" spans="1:37" ht="18" customHeight="1">
      <c r="A7" s="1006"/>
      <c r="B7" s="3422"/>
      <c r="C7" s="1008"/>
      <c r="D7" s="297"/>
      <c r="E7" s="1009" t="s">
        <v>697</v>
      </c>
      <c r="F7" s="293">
        <f ca="1">IF(INDIRECT("'数据-取费表'!ah"&amp;$G$1)="",INDIRECT("'数据-取费表'!k"&amp;$G$1),INDIRECT("'数据-取费表'!ah"&amp;$G$1))</f>
        <v>0</v>
      </c>
      <c r="G7" s="1288"/>
      <c r="H7" s="294"/>
      <c r="I7" s="3422"/>
      <c r="J7" s="296"/>
      <c r="K7" s="297"/>
      <c r="L7" s="292" t="s">
        <v>697</v>
      </c>
      <c r="M7" s="293">
        <f ca="1">F7</f>
        <v>0</v>
      </c>
    </row>
    <row r="8" spans="1:37" ht="18" customHeight="1">
      <c r="A8" s="294"/>
      <c r="B8" s="3422"/>
      <c r="C8" s="296"/>
      <c r="D8" s="297"/>
      <c r="E8" s="292" t="s">
        <v>698</v>
      </c>
      <c r="F8" s="293">
        <f ca="1">INDIRECT("'数据-取费表'!ai"&amp;$G$1)</f>
        <v>0</v>
      </c>
      <c r="G8" s="1288"/>
      <c r="H8" s="294"/>
      <c r="I8" s="3422"/>
      <c r="J8" s="296"/>
      <c r="K8" s="297"/>
      <c r="L8" s="292" t="s">
        <v>698</v>
      </c>
      <c r="M8" s="293">
        <f ca="1">INDIRECT("'数据-取费表'!ai"&amp;$G$1)</f>
        <v>0</v>
      </c>
    </row>
    <row r="9" spans="1:37" ht="18" customHeight="1">
      <c r="A9" s="294"/>
      <c r="B9" s="3423"/>
      <c r="C9" s="296"/>
      <c r="D9" s="297"/>
      <c r="E9" s="292" t="s">
        <v>699</v>
      </c>
      <c r="F9" s="302">
        <f ca="1">INDIRECT("'数据-取费表'!w"&amp;$G$1)</f>
        <v>0</v>
      </c>
      <c r="G9" s="1288"/>
      <c r="H9" s="294"/>
      <c r="I9" s="3423"/>
      <c r="J9" s="296"/>
      <c r="K9" s="297"/>
      <c r="L9" s="303" t="s">
        <v>699</v>
      </c>
      <c r="M9" s="304">
        <f ca="1">INDIRECT("'数据-取费表'!ab"&amp;$G$1)</f>
        <v>0</v>
      </c>
    </row>
    <row r="10" spans="1:37" ht="18" customHeight="1">
      <c r="A10" s="1002" t="s">
        <v>402</v>
      </c>
      <c r="B10" s="1270" t="s">
        <v>700</v>
      </c>
      <c r="C10" s="306">
        <f ca="1">ROUND(IF(F10="押一",C6/12*F11,IF(F10="押二",C6/12*2*F11,IF(F10="押三",C6/12*3*F11,C11*F11))),0)</f>
        <v>0</v>
      </c>
      <c r="D10" s="148" t="s">
        <v>2116</v>
      </c>
      <c r="E10" s="303" t="s">
        <v>701</v>
      </c>
      <c r="F10" s="1049"/>
      <c r="G10" s="1288"/>
      <c r="H10" s="1002" t="s">
        <v>402</v>
      </c>
      <c r="I10" s="1270" t="s">
        <v>700</v>
      </c>
      <c r="J10" s="291">
        <f ca="1">ROUND(IF(M10="押一",J6/12*M11,IF(M10="押二",J6/12*2*M11,IF(M10="押三",J6/12*3*M11,J11*M11))),0)</f>
        <v>0</v>
      </c>
      <c r="K10" s="148" t="s">
        <v>2115</v>
      </c>
      <c r="L10" s="303" t="s">
        <v>701</v>
      </c>
      <c r="M10" s="1049"/>
    </row>
    <row r="11" spans="1:37" ht="18" customHeight="1">
      <c r="A11" s="298"/>
      <c r="B11" s="1271" t="s">
        <v>679</v>
      </c>
      <c r="C11" s="901"/>
      <c r="D11" s="1272"/>
      <c r="E11" s="303" t="s">
        <v>702</v>
      </c>
      <c r="F11" s="304">
        <f ca="1">'数据-取费表'!B39</f>
        <v>1.4999999999999999E-2</v>
      </c>
      <c r="G11" s="1288"/>
      <c r="H11" s="1010"/>
      <c r="I11" s="1271" t="s">
        <v>679</v>
      </c>
      <c r="J11" s="901"/>
      <c r="K11" s="644"/>
      <c r="L11" s="303"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0">
        <f ca="1">ROUND(C29*F13,0)</f>
        <v>0</v>
      </c>
      <c r="D13" s="1014" t="s">
        <v>705</v>
      </c>
      <c r="E13" s="1014" t="s">
        <v>706</v>
      </c>
      <c r="F13" s="1015">
        <f ca="1">INDIRECT("'数据-取费表'!y"&amp;$G$1)</f>
        <v>0</v>
      </c>
      <c r="G13" s="1288"/>
      <c r="H13" s="1012">
        <v>2</v>
      </c>
      <c r="I13" s="1013" t="s">
        <v>704</v>
      </c>
      <c r="J13" s="1001">
        <f ca="1">ROUND(J14*J15,0)</f>
        <v>0</v>
      </c>
      <c r="K13" s="1020" t="s">
        <v>705</v>
      </c>
      <c r="L13" s="1295"/>
      <c r="M13" s="1296"/>
    </row>
    <row r="14" spans="1:37" ht="18" customHeight="1">
      <c r="A14" s="924" t="s">
        <v>397</v>
      </c>
      <c r="B14" s="292" t="s">
        <v>707</v>
      </c>
      <c r="C14" s="308">
        <f ca="1">INDIRECT("'数据-取费表'!m"&amp;$G$1)+INDIRECT("'数据-取费表'!t"&amp;$G$1)</f>
        <v>0</v>
      </c>
      <c r="D14" s="1253" t="s">
        <v>708</v>
      </c>
      <c r="E14" s="1251"/>
      <c r="F14" s="309"/>
      <c r="G14" s="1288"/>
      <c r="H14" s="924" t="s">
        <v>398</v>
      </c>
      <c r="I14" s="292" t="s">
        <v>709</v>
      </c>
      <c r="J14" s="21">
        <f ca="1">C29</f>
        <v>0</v>
      </c>
      <c r="K14" s="12"/>
      <c r="L14" s="755"/>
      <c r="M14" s="756"/>
    </row>
    <row r="15" spans="1:37" s="1300" customFormat="1" ht="18" customHeight="1" thickBot="1">
      <c r="A15" s="924" t="s">
        <v>399</v>
      </c>
      <c r="B15" s="292" t="s">
        <v>710</v>
      </c>
      <c r="C15" s="21">
        <f ca="1">ROUND(C14*F15,0)</f>
        <v>0</v>
      </c>
      <c r="D15" s="310" t="s">
        <v>711</v>
      </c>
      <c r="E15" s="310" t="s">
        <v>712</v>
      </c>
      <c r="F15" s="311">
        <f>'数据-取费表'!B33</f>
        <v>0.05</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2" t="s">
        <v>713</v>
      </c>
      <c r="C16" s="21">
        <f ca="1">ROUND(INDIRECT("'数据-取费表'!m"&amp;$G$1)*F16,0)</f>
        <v>0</v>
      </c>
      <c r="D16" s="292" t="s">
        <v>711</v>
      </c>
      <c r="E16" s="292" t="s">
        <v>712</v>
      </c>
      <c r="F16" s="312">
        <f ca="1">IF(INDIRECT("'数据-取费表'!c"&amp;$G$1)="住宅",'数据-取费表'!B34,0)</f>
        <v>0</v>
      </c>
      <c r="G16" s="1288"/>
      <c r="H16" s="1012" t="s">
        <v>393</v>
      </c>
      <c r="I16" s="1013" t="s">
        <v>714</v>
      </c>
      <c r="J16" s="300">
        <f ca="1">ROUND(J17+J22+J23+J24,0)</f>
        <v>0</v>
      </c>
      <c r="K16" s="1020" t="s">
        <v>715</v>
      </c>
      <c r="L16" s="1021"/>
      <c r="M16" s="1005"/>
    </row>
    <row r="17" spans="1:37" s="1300" customFormat="1" ht="18" customHeight="1">
      <c r="A17" s="924" t="s">
        <v>681</v>
      </c>
      <c r="B17" s="292" t="s">
        <v>716</v>
      </c>
      <c r="C17" s="21">
        <f ca="1">ROUND(F17*(F43+INDIRECT("'数据-取费表'!S"&amp;$G$1))/10000,0)</f>
        <v>0</v>
      </c>
      <c r="D17" s="292" t="s">
        <v>717</v>
      </c>
      <c r="E17" s="292" t="s">
        <v>718</v>
      </c>
      <c r="F17" s="23">
        <f>'数据-取费表'!B35</f>
        <v>200</v>
      </c>
      <c r="G17" s="1299"/>
      <c r="H17" s="924" t="s">
        <v>398</v>
      </c>
      <c r="I17" s="292" t="s">
        <v>719</v>
      </c>
      <c r="J17" s="2136">
        <f ca="1">ROUND(IF(AND(项目基本情况!B11="自然人",项目基本情况!B10="北京市"),J6*M17/(1+'数据-取费表'!C42),J18+J19+J20),2)</f>
        <v>0</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2" t="s">
        <v>722</v>
      </c>
      <c r="C18" s="21">
        <f ca="1">ROUND(C14*F18,0)</f>
        <v>0</v>
      </c>
      <c r="D18" s="292" t="s">
        <v>711</v>
      </c>
      <c r="E18" s="292" t="s">
        <v>712</v>
      </c>
      <c r="F18" s="312">
        <f>'数据-取费表'!B36</f>
        <v>0.02</v>
      </c>
      <c r="G18" s="1299"/>
      <c r="H18" s="924" t="s">
        <v>397</v>
      </c>
      <c r="I18" s="292" t="s">
        <v>723</v>
      </c>
      <c r="J18" s="21">
        <f ca="1">ROUND(J6*M18/(1+'数据-取费表'!C42),2)</f>
        <v>0</v>
      </c>
      <c r="K18" s="1252" t="s">
        <v>724</v>
      </c>
      <c r="L18" s="292" t="s">
        <v>712</v>
      </c>
      <c r="M18" s="312">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2" t="s">
        <v>725</v>
      </c>
      <c r="C19" s="21">
        <f ca="1">SUM(C14:C18)</f>
        <v>0</v>
      </c>
      <c r="D19" s="121" t="s">
        <v>726</v>
      </c>
      <c r="E19" s="1265"/>
      <c r="F19" s="23"/>
      <c r="G19" s="1288"/>
      <c r="H19" s="924" t="s">
        <v>399</v>
      </c>
      <c r="I19" s="292" t="s">
        <v>727</v>
      </c>
      <c r="J19" s="21">
        <f ca="1">IF(K19="按租金收入计税",ROUND(J6*M19/(1+'数据-取费表'!C42),2),ROUND(C29*M19*0.7,2))</f>
        <v>0</v>
      </c>
      <c r="K19" s="1274" t="s">
        <v>3324</v>
      </c>
      <c r="L19" s="292" t="s">
        <v>712</v>
      </c>
      <c r="M19" s="312">
        <f>IF(K19="按租金收入计税",'数据-取费表'!B51,'数据-取费表'!B50)</f>
        <v>0.12</v>
      </c>
    </row>
    <row r="20" spans="1:37" s="1300" customFormat="1" ht="18" customHeight="1">
      <c r="A20" s="924" t="s">
        <v>402</v>
      </c>
      <c r="B20" s="292" t="s">
        <v>728</v>
      </c>
      <c r="C20" s="21">
        <f ca="1">ROUND(C19*F20,0)</f>
        <v>0</v>
      </c>
      <c r="D20" s="313" t="s">
        <v>729</v>
      </c>
      <c r="E20" s="292" t="s">
        <v>712</v>
      </c>
      <c r="F20" s="312">
        <f>'数据-取费表'!B37</f>
        <v>0.02</v>
      </c>
      <c r="G20" s="1299"/>
      <c r="H20" s="924" t="s">
        <v>680</v>
      </c>
      <c r="I20" s="145" t="s">
        <v>730</v>
      </c>
      <c r="J20" s="22">
        <f ca="1">ROUND(M20*M21/10000,2)</f>
        <v>0</v>
      </c>
      <c r="K20" s="314" t="s">
        <v>731</v>
      </c>
      <c r="L20" s="292" t="s">
        <v>732</v>
      </c>
      <c r="M20" s="315">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2" t="s">
        <v>733</v>
      </c>
      <c r="C21" s="21" t="s">
        <v>15</v>
      </c>
      <c r="D21" s="313" t="s">
        <v>734</v>
      </c>
      <c r="E21" s="292" t="s">
        <v>735</v>
      </c>
      <c r="F21" s="312">
        <f>'数据-取费表'!B38</f>
        <v>0.02</v>
      </c>
      <c r="G21" s="1299"/>
      <c r="H21" s="316"/>
      <c r="I21" s="301"/>
      <c r="J21" s="26"/>
      <c r="K21" s="317"/>
      <c r="L21" s="292" t="s">
        <v>736</v>
      </c>
      <c r="M21" s="293">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2" t="s">
        <v>737</v>
      </c>
      <c r="C22" s="21"/>
      <c r="D22" s="121" t="str">
        <f>IF(F23&lt;=1,"单利计息。","复利计息。")&amp;"建造成本、管理费用、销售费用产生的利息。"</f>
        <v>复利计息。建造成本、管理费用、销售费用产生的利息。</v>
      </c>
      <c r="E22" s="1265"/>
      <c r="F22" s="23"/>
      <c r="G22" s="1288"/>
      <c r="H22" s="924" t="s">
        <v>402</v>
      </c>
      <c r="I22" s="292" t="s">
        <v>738</v>
      </c>
      <c r="J22" s="21">
        <f ca="1">ROUND(J14*M22,2)</f>
        <v>0</v>
      </c>
      <c r="K22" s="1252" t="s">
        <v>739</v>
      </c>
      <c r="L22" s="292" t="s">
        <v>712</v>
      </c>
      <c r="M22" s="318">
        <f ca="1">INDIRECT("'数据-取费表'!Ak"&amp;$G$1)</f>
        <v>0</v>
      </c>
    </row>
    <row r="23" spans="1:37" s="1300" customFormat="1" ht="18" customHeight="1">
      <c r="A23" s="924"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3</v>
      </c>
      <c r="G23" s="1299"/>
      <c r="H23" s="924" t="s">
        <v>437</v>
      </c>
      <c r="I23" s="292" t="s">
        <v>742</v>
      </c>
      <c r="J23" s="21">
        <f ca="1">ROUND(J13*M23,2)</f>
        <v>0</v>
      </c>
      <c r="K23" s="1252" t="s">
        <v>743</v>
      </c>
      <c r="L23" s="292" t="s">
        <v>744</v>
      </c>
      <c r="M23" s="319">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2" t="s">
        <v>746</v>
      </c>
      <c r="C24" s="21">
        <f ca="1">ROUND(IF('数据-取费表'!B22&lt;=1,F21*F24*F23/2,F21*(POWER((1+F24),F23/2)-1)),4)</f>
        <v>1E-3</v>
      </c>
      <c r="D24" s="136" t="str">
        <f>IF(F23&lt;=1,"销售费用×利率×(建设周期÷2)","销售费用×((1+利率)^(建设周期÷2)-1)")</f>
        <v>销售费用×((1+利率)^(建设周期÷2)-1)</v>
      </c>
      <c r="E24" s="292" t="s">
        <v>747</v>
      </c>
      <c r="F24" s="320">
        <f ca="1">'数据-取费表'!B40</f>
        <v>3.2500000000000001E-2</v>
      </c>
      <c r="G24" s="1299"/>
      <c r="H24" s="1022" t="s">
        <v>684</v>
      </c>
      <c r="I24" s="1023" t="s">
        <v>728</v>
      </c>
      <c r="J24" s="1024">
        <f ca="1">ROUND(J5*M24,2)</f>
        <v>0</v>
      </c>
      <c r="K24" s="1025" t="s">
        <v>748</v>
      </c>
      <c r="L24" s="1023" t="s">
        <v>744</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749</v>
      </c>
      <c r="B25" s="292" t="s">
        <v>750</v>
      </c>
      <c r="C25" s="21"/>
      <c r="D25" s="121" t="s">
        <v>751</v>
      </c>
      <c r="E25" s="1265"/>
      <c r="F25" s="23"/>
      <c r="G25" s="1288"/>
      <c r="H25" s="1012" t="s">
        <v>394</v>
      </c>
      <c r="I25" s="1027" t="s">
        <v>752</v>
      </c>
      <c r="J25" s="300">
        <f ca="1">J5-J16</f>
        <v>0</v>
      </c>
      <c r="K25" s="1028" t="s">
        <v>753</v>
      </c>
      <c r="L25" s="1029"/>
      <c r="M25" s="1030"/>
    </row>
    <row r="26" spans="1:37">
      <c r="A26" s="924" t="s">
        <v>397</v>
      </c>
      <c r="B26" s="292" t="s">
        <v>754</v>
      </c>
      <c r="C26" s="21">
        <f ca="1">ROUND((C19+C20)*F26,0)</f>
        <v>0</v>
      </c>
      <c r="D26" s="313" t="s">
        <v>755</v>
      </c>
      <c r="E26" s="303" t="s">
        <v>756</v>
      </c>
      <c r="F26" s="302">
        <f ca="1">INDIRECT("'数据-取费表'!q"&amp;$G$1)</f>
        <v>0</v>
      </c>
      <c r="G26" s="1288"/>
      <c r="H26" s="289" t="s">
        <v>395</v>
      </c>
      <c r="I26" s="290" t="s">
        <v>757</v>
      </c>
      <c r="J26" s="291">
        <f ca="1">IF(J5&lt;&gt;0,ROUND(J25*(1-((1+M28)/(1+M26))^M27)/(M26-M28),0),0)</f>
        <v>0</v>
      </c>
      <c r="K26" s="314" t="s">
        <v>758</v>
      </c>
      <c r="L26" s="292" t="s">
        <v>759</v>
      </c>
      <c r="M26" s="302">
        <f ca="1">INDIRECT("'数据-取费表'!I"&amp;$G$1)</f>
        <v>0</v>
      </c>
    </row>
    <row r="27" spans="1:37" ht="18" customHeight="1">
      <c r="A27" s="924" t="s">
        <v>399</v>
      </c>
      <c r="B27" s="292" t="s">
        <v>760</v>
      </c>
      <c r="C27" s="21">
        <f ca="1">ROUND(F21*F26,4)</f>
        <v>0</v>
      </c>
      <c r="D27" s="313" t="s">
        <v>761</v>
      </c>
      <c r="E27" s="310"/>
      <c r="F27" s="311"/>
      <c r="G27" s="1288"/>
      <c r="H27" s="294"/>
      <c r="I27" s="295"/>
      <c r="J27" s="296"/>
      <c r="K27" s="321" t="s">
        <v>762</v>
      </c>
      <c r="L27" s="292" t="s">
        <v>763</v>
      </c>
      <c r="M27" s="322">
        <f ca="1">INDIRECT("'数据-取费表'!ag"&amp;$G$1)</f>
        <v>0</v>
      </c>
    </row>
    <row r="28" spans="1:37" s="1300" customFormat="1" ht="18" customHeight="1">
      <c r="A28" s="924" t="s">
        <v>400</v>
      </c>
      <c r="B28" s="292" t="s">
        <v>764</v>
      </c>
      <c r="C28" s="21">
        <f>ROUND(F28/(1+'数据-取费表'!C42),4)</f>
        <v>5.33E-2</v>
      </c>
      <c r="D28" s="313" t="s">
        <v>765</v>
      </c>
      <c r="E28" s="292" t="s">
        <v>712</v>
      </c>
      <c r="F28" s="312">
        <f>'数据-取费表'!B41</f>
        <v>5.6000000000000001E-2</v>
      </c>
      <c r="G28" s="1299"/>
      <c r="H28" s="298"/>
      <c r="I28" s="299"/>
      <c r="J28" s="300"/>
      <c r="K28" s="317"/>
      <c r="L28" s="292" t="s">
        <v>766</v>
      </c>
      <c r="M28" s="302">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0</v>
      </c>
      <c r="D29" s="1025"/>
      <c r="E29" s="1023"/>
      <c r="F29" s="1026"/>
      <c r="G29" s="1299"/>
      <c r="H29" s="323" t="s">
        <v>396</v>
      </c>
      <c r="I29" s="324" t="s">
        <v>768</v>
      </c>
      <c r="J29" s="325">
        <f ca="1">ROUND(J26/(1+F40)^F41,0)</f>
        <v>0</v>
      </c>
      <c r="K29" s="326" t="s">
        <v>769</v>
      </c>
      <c r="L29" s="327"/>
      <c r="M29" s="328">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0">
        <f ca="1">ROUND(C31+C36+C37+C38,0)</f>
        <v>0</v>
      </c>
      <c r="D30" s="1020" t="s">
        <v>715</v>
      </c>
      <c r="E30" s="1021"/>
      <c r="F30" s="1005"/>
      <c r="G30" s="1288"/>
      <c r="H30" s="2467"/>
      <c r="I30" s="1301"/>
      <c r="J30" s="1302"/>
      <c r="K30" s="119"/>
      <c r="L30" s="2468"/>
      <c r="M30" s="2469"/>
    </row>
    <row r="31" spans="1:37" ht="18" customHeight="1">
      <c r="A31" s="924" t="s">
        <v>398</v>
      </c>
      <c r="B31" s="292" t="s">
        <v>719</v>
      </c>
      <c r="C31" s="2136">
        <f ca="1">ROUND(IF(AND(项目基本情况!B11="自然人",项目基本情况!B10="北京市"),C6*F31/(1+'数据-取费表'!C42),C32+C33+C34),2)</f>
        <v>0</v>
      </c>
      <c r="D31" s="1253" t="s">
        <v>720</v>
      </c>
      <c r="E31" s="1252" t="s">
        <v>770</v>
      </c>
      <c r="F31" s="2135" t="str">
        <f>IF(项目基本情况!B11="企业","——",IF(M47="住宅",IF(F6*F7*F8/12/(1+'数据-取费表'!F30)&gt;100000,4%,2.5%),IF(F6*F7*F8/12/(1+'数据-取费表'!F30)&gt;100000,12%,7%)))</f>
        <v>——</v>
      </c>
      <c r="G31" s="1288"/>
      <c r="H31" s="2566" t="s">
        <v>2296</v>
      </c>
      <c r="I31" s="1301"/>
      <c r="J31" s="1302"/>
      <c r="K31" s="119"/>
      <c r="L31" s="2468"/>
      <c r="M31" s="2469"/>
    </row>
    <row r="32" spans="1:37" ht="18" customHeight="1">
      <c r="A32" s="924" t="s">
        <v>397</v>
      </c>
      <c r="B32" s="292" t="s">
        <v>723</v>
      </c>
      <c r="C32" s="21">
        <f ca="1">IF(项目基本情况!B11="自然人","——",ROUND(C6*F32/(1+'数据-取费表'!C42),2))</f>
        <v>0</v>
      </c>
      <c r="D32" s="1252" t="s">
        <v>724</v>
      </c>
      <c r="E32" s="292" t="s">
        <v>712</v>
      </c>
      <c r="F32" s="320">
        <f>'数据-取费表'!B41</f>
        <v>5.6000000000000001E-2</v>
      </c>
      <c r="G32" s="1288"/>
      <c r="H32" s="2467"/>
      <c r="I32" s="1301"/>
      <c r="J32" s="1302"/>
      <c r="K32" s="119"/>
      <c r="L32" s="2468"/>
      <c r="M32" s="2469"/>
    </row>
    <row r="33" spans="1:18" ht="18" customHeight="1">
      <c r="A33" s="924" t="s">
        <v>399</v>
      </c>
      <c r="B33" s="292" t="s">
        <v>727</v>
      </c>
      <c r="C33" s="21">
        <f ca="1">IF(项目基本情况!B11="自然人","——",IF(D33="按租金收入计税",ROUND(C6*F33/(1+'数据-取费表'!C42),2),IF(D33="按房产原值计税",ROUND(C29*F33*0.7,2),INDIRECT("'数据-取费表'!Aj"&amp;$G$1))))</f>
        <v>0</v>
      </c>
      <c r="D33" s="1274" t="s">
        <v>3324</v>
      </c>
      <c r="E33" s="292" t="s">
        <v>712</v>
      </c>
      <c r="F33" s="312">
        <f>IF(D33="按票据","——",IF(D33="按租金收入计税",'数据-取费表'!B51,'数据-取费表'!B50))</f>
        <v>0.12</v>
      </c>
      <c r="G33" s="1288"/>
      <c r="H33" s="2470"/>
      <c r="I33" s="1301"/>
      <c r="J33" s="1302"/>
      <c r="K33" s="2471"/>
      <c r="L33" s="2470"/>
      <c r="M33" s="2470"/>
    </row>
    <row r="34" spans="1:18" ht="18" customHeight="1">
      <c r="A34" s="1002" t="s">
        <v>680</v>
      </c>
      <c r="B34" s="145" t="s">
        <v>730</v>
      </c>
      <c r="C34" s="22">
        <f ca="1">IF(项目基本情况!B11="自然人","——",ROUND(F34*F35/10000,2))</f>
        <v>0</v>
      </c>
      <c r="D34" s="314" t="s">
        <v>731</v>
      </c>
      <c r="E34" s="292" t="s">
        <v>732</v>
      </c>
      <c r="F34" s="315">
        <f>'数据-取费表'!B52</f>
        <v>1.5</v>
      </c>
      <c r="G34" s="1288"/>
      <c r="H34" s="2467"/>
      <c r="I34" s="1301"/>
      <c r="J34" s="1302"/>
      <c r="K34" s="2472"/>
      <c r="L34" s="2473"/>
      <c r="M34" s="2473"/>
    </row>
    <row r="35" spans="1:18" ht="18" customHeight="1">
      <c r="A35" s="1036"/>
      <c r="B35" s="1034"/>
      <c r="C35" s="26"/>
      <c r="D35" s="317"/>
      <c r="E35" s="292" t="s">
        <v>736</v>
      </c>
      <c r="F35" s="293">
        <f ca="1">INDIRECT("'数据-取费表'!r"&amp;$G$1)</f>
        <v>0</v>
      </c>
      <c r="G35" s="1288"/>
      <c r="H35" s="2467"/>
      <c r="I35" s="1301"/>
      <c r="J35" s="1302"/>
      <c r="K35" s="2471"/>
      <c r="L35" s="2470"/>
      <c r="M35" s="2470"/>
    </row>
    <row r="36" spans="1:18" ht="18" customHeight="1">
      <c r="A36" s="1035" t="s">
        <v>402</v>
      </c>
      <c r="B36" s="292" t="s">
        <v>738</v>
      </c>
      <c r="C36" s="21">
        <f ca="1">ROUND(C29*F36,2)</f>
        <v>0</v>
      </c>
      <c r="D36" s="1252" t="s">
        <v>771</v>
      </c>
      <c r="E36" s="292" t="s">
        <v>712</v>
      </c>
      <c r="F36" s="318">
        <f ca="1">INDIRECT("'数据-取费表'!Ak"&amp;$G$1)</f>
        <v>0</v>
      </c>
      <c r="G36" s="1288"/>
      <c r="H36" s="2470"/>
      <c r="I36" s="1301"/>
      <c r="J36" s="1302"/>
      <c r="K36" s="2327"/>
      <c r="L36" s="2470"/>
      <c r="M36" s="2470"/>
    </row>
    <row r="37" spans="1:18" ht="18" customHeight="1">
      <c r="A37" s="924" t="s">
        <v>437</v>
      </c>
      <c r="B37" s="292" t="s">
        <v>742</v>
      </c>
      <c r="C37" s="21">
        <f ca="1">ROUND(C13*F37,2)</f>
        <v>0</v>
      </c>
      <c r="D37" s="1252" t="s">
        <v>743</v>
      </c>
      <c r="E37" s="292" t="s">
        <v>744</v>
      </c>
      <c r="F37" s="319">
        <f ca="1">INDIRECT("'数据-取费表'!Al"&amp;$G$1)</f>
        <v>0</v>
      </c>
      <c r="G37" s="1288"/>
      <c r="H37" s="2470"/>
      <c r="I37" s="1301"/>
      <c r="J37" s="1302"/>
      <c r="K37" s="2327"/>
      <c r="L37" s="2470"/>
      <c r="M37" s="2470"/>
    </row>
    <row r="38" spans="1:18" ht="18" customHeight="1" thickBot="1">
      <c r="A38" s="1022" t="s">
        <v>684</v>
      </c>
      <c r="B38" s="1023" t="s">
        <v>728</v>
      </c>
      <c r="C38" s="1024">
        <f ca="1">ROUND(C5*F38,2)</f>
        <v>0</v>
      </c>
      <c r="D38" s="1025" t="s">
        <v>748</v>
      </c>
      <c r="E38" s="1023" t="s">
        <v>744</v>
      </c>
      <c r="F38" s="1019">
        <f ca="1">INDIRECT("'数据-取费表'!Am"&amp;$G$1)</f>
        <v>0</v>
      </c>
      <c r="G38" s="1288"/>
      <c r="H38" s="2470"/>
      <c r="I38" s="1301"/>
      <c r="J38" s="1302"/>
      <c r="K38" s="2468"/>
      <c r="L38" s="2470"/>
      <c r="M38" s="2470"/>
    </row>
    <row r="39" spans="1:18" ht="24.6" customHeight="1" thickTop="1">
      <c r="A39" s="1012" t="s">
        <v>394</v>
      </c>
      <c r="B39" s="1027" t="s">
        <v>772</v>
      </c>
      <c r="C39" s="300">
        <f ca="1">C5-C30</f>
        <v>0</v>
      </c>
      <c r="D39" s="1028" t="s">
        <v>773</v>
      </c>
      <c r="E39" s="1029"/>
      <c r="F39" s="1030"/>
      <c r="G39" s="1288"/>
      <c r="H39" s="2470"/>
      <c r="I39" s="1301"/>
      <c r="J39" s="1302"/>
      <c r="K39" s="2468"/>
      <c r="L39" s="2470"/>
      <c r="M39" s="2470"/>
    </row>
    <row r="40" spans="1:18" ht="18" customHeight="1">
      <c r="A40" s="289" t="s">
        <v>395</v>
      </c>
      <c r="B40" s="290" t="s">
        <v>774</v>
      </c>
      <c r="C40" s="291" t="e">
        <f ca="1">ROUND(C39*(1-((1+F42)/(1+F40))^F41)/(F40-F42),0)</f>
        <v>#DIV/0!</v>
      </c>
      <c r="D40" s="314" t="s">
        <v>758</v>
      </c>
      <c r="E40" s="292" t="s">
        <v>759</v>
      </c>
      <c r="F40" s="302">
        <f ca="1">INDIRECT("'数据-取费表'!I"&amp;$G$1)</f>
        <v>0</v>
      </c>
      <c r="G40" s="1288"/>
      <c r="H40" s="1362"/>
      <c r="I40" s="1301"/>
      <c r="J40" s="1302"/>
      <c r="K40" s="2468"/>
      <c r="L40" s="1362"/>
      <c r="M40" s="1362"/>
    </row>
    <row r="41" spans="1:18" ht="18" customHeight="1">
      <c r="A41" s="294"/>
      <c r="B41" s="295"/>
      <c r="C41" s="296"/>
      <c r="D41" s="321" t="s">
        <v>775</v>
      </c>
      <c r="E41" s="292" t="s">
        <v>763</v>
      </c>
      <c r="F41" s="322">
        <f ca="1">IF(INDIRECT("'数据-取费表'!af"&amp;$G$1)=0,INDIRECT("'数据-取费表'!ae"&amp;$G$1),INDIRECT("'数据-取费表'!af"&amp;$G$1))</f>
        <v>0</v>
      </c>
      <c r="G41" s="1288"/>
      <c r="H41" s="119"/>
      <c r="I41" s="1301"/>
      <c r="J41" s="1302"/>
      <c r="K41" s="2327"/>
      <c r="L41" s="119"/>
      <c r="M41" s="119"/>
    </row>
    <row r="42" spans="1:18" ht="18" customHeight="1">
      <c r="A42" s="298"/>
      <c r="B42" s="299"/>
      <c r="C42" s="300"/>
      <c r="D42" s="317"/>
      <c r="E42" s="292" t="s">
        <v>766</v>
      </c>
      <c r="F42" s="302">
        <f ca="1">INDIRECT("'数据-取费表'!v"&amp;$G$1)</f>
        <v>0</v>
      </c>
      <c r="G42" s="1288"/>
      <c r="H42" s="119"/>
      <c r="I42" s="1301"/>
      <c r="J42" s="1302"/>
      <c r="K42" s="2327"/>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8"/>
      <c r="H43" s="119"/>
      <c r="I43" s="119"/>
      <c r="J43" s="119"/>
      <c r="K43" s="2327"/>
      <c r="L43" s="119"/>
      <c r="M43" s="119"/>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3"/>
      <c r="O45" s="2474" t="s">
        <v>808</v>
      </c>
      <c r="P45" s="1362"/>
      <c r="Q45" s="1362"/>
      <c r="R45" s="1362"/>
    </row>
    <row r="46" spans="1:18" s="1288" customFormat="1" ht="13.5" thickBot="1">
      <c r="A46" s="1307" t="s">
        <v>809</v>
      </c>
      <c r="C46" s="1308" t="e">
        <f ca="1">C68-C40</f>
        <v>#DIV/0!</v>
      </c>
      <c r="D46" s="1309" t="str">
        <f>C2</f>
        <v>万元</v>
      </c>
      <c r="E46" s="1303"/>
      <c r="F46" s="1303"/>
      <c r="I46" s="1310" t="s">
        <v>810</v>
      </c>
      <c r="J46" s="1311"/>
      <c r="K46" s="1312"/>
      <c r="L46" s="1313" t="e">
        <f ca="1">IF(M47="住宅",0,IF(L48&gt;J51,L60,J60))</f>
        <v>#DIV/0!</v>
      </c>
      <c r="O46" s="1314" t="s">
        <v>811</v>
      </c>
      <c r="P46" s="1315" t="s">
        <v>812</v>
      </c>
      <c r="Q46" s="1316" t="s">
        <v>813</v>
      </c>
      <c r="R46" s="1316" t="s">
        <v>814</v>
      </c>
    </row>
    <row r="47" spans="1:18" s="1288" customFormat="1" ht="13.5" thickBot="1">
      <c r="A47" s="888" t="s">
        <v>687</v>
      </c>
      <c r="B47" s="920" t="s">
        <v>688</v>
      </c>
      <c r="C47" s="1050" t="s">
        <v>689</v>
      </c>
      <c r="D47" s="920" t="s">
        <v>690</v>
      </c>
      <c r="E47" s="991" t="s">
        <v>691</v>
      </c>
      <c r="F47" s="992"/>
      <c r="G47" s="679"/>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3" t="s">
        <v>438</v>
      </c>
      <c r="B48" s="290" t="s">
        <v>692</v>
      </c>
      <c r="C48" s="1264">
        <f ca="1">C49+C53+C55</f>
        <v>0</v>
      </c>
      <c r="D48" s="1045"/>
      <c r="E48" s="1046"/>
      <c r="F48" s="904"/>
      <c r="G48" s="679"/>
      <c r="H48" s="680"/>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7" t="s">
        <v>439</v>
      </c>
      <c r="B49" s="1275" t="s">
        <v>779</v>
      </c>
      <c r="C49" s="1047">
        <f ca="1">ROUND(F49*F51*F50*(1-F52)/10000,0)</f>
        <v>0</v>
      </c>
      <c r="D49" s="988" t="s">
        <v>2109</v>
      </c>
      <c r="E49" s="1276" t="s">
        <v>780</v>
      </c>
      <c r="F49" s="993"/>
      <c r="H49" s="680"/>
      <c r="I49" s="1324" t="s">
        <v>823</v>
      </c>
      <c r="J49" s="1328"/>
      <c r="K49" s="1326" t="s">
        <v>824</v>
      </c>
      <c r="L49" s="1329"/>
      <c r="O49" s="1330" t="s">
        <v>405</v>
      </c>
      <c r="P49" s="1322" t="s">
        <v>825</v>
      </c>
      <c r="Q49" s="1323">
        <f ca="1">C29</f>
        <v>0</v>
      </c>
      <c r="R49" s="1323" t="s">
        <v>818</v>
      </c>
    </row>
    <row r="50" spans="1:18" s="1288" customFormat="1" ht="13.5" thickBot="1">
      <c r="A50" s="918"/>
      <c r="B50" s="921"/>
      <c r="C50" s="1051"/>
      <c r="D50" s="895"/>
      <c r="E50" s="989" t="s">
        <v>697</v>
      </c>
      <c r="F50" s="990">
        <f ca="1">F7</f>
        <v>0</v>
      </c>
      <c r="H50" s="680"/>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19"/>
      <c r="B51" s="921"/>
      <c r="C51" s="922"/>
      <c r="D51" s="895"/>
      <c r="E51" s="923" t="s">
        <v>698</v>
      </c>
      <c r="F51" s="293">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c r="K52" s="1338" t="s">
        <v>833</v>
      </c>
      <c r="L52" s="1339"/>
      <c r="O52" s="1330" t="s">
        <v>408</v>
      </c>
      <c r="P52" s="1322" t="s">
        <v>834</v>
      </c>
      <c r="Q52" s="1323">
        <f ca="1">J53</f>
        <v>0</v>
      </c>
      <c r="R52" s="1323" t="s">
        <v>835</v>
      </c>
    </row>
    <row r="53" spans="1:18" s="1288" customFormat="1" ht="24.75" thickBot="1">
      <c r="A53" s="1075" t="s">
        <v>440</v>
      </c>
      <c r="B53" s="1277" t="s">
        <v>700</v>
      </c>
      <c r="C53" s="306">
        <f ca="1">ROUND(IF(F53="押一",C49/12*F11,IF(F53="押二",C49/12*2*F11,IF(F53="押三",C49/12*3*F11,C54*F11))),0)</f>
        <v>0</v>
      </c>
      <c r="D53" s="148" t="s">
        <v>2115</v>
      </c>
      <c r="E53" s="303" t="s">
        <v>701</v>
      </c>
      <c r="F53" s="1049"/>
      <c r="I53" s="1340" t="s">
        <v>836</v>
      </c>
      <c r="J53" s="2002">
        <f ca="1">IF(M47="住宅",IF(D1="——",MAX(J51,L48),MAX(J51,L48-'数据-取费表'!B24)),IF(D1="——",MIN(J51,L48),MIN(J51,L48-'数据-取费表'!B24)))</f>
        <v>0</v>
      </c>
      <c r="K53" s="3419" t="s">
        <v>837</v>
      </c>
      <c r="L53" s="3420"/>
      <c r="O53" s="1321" t="s">
        <v>409</v>
      </c>
      <c r="P53" s="1322" t="s">
        <v>838</v>
      </c>
      <c r="Q53" s="1323" t="e">
        <f ca="1">Q47+Q48</f>
        <v>#DIV/0!</v>
      </c>
      <c r="R53" s="1323" t="s">
        <v>410</v>
      </c>
    </row>
    <row r="54" spans="1:18" s="1288" customFormat="1" ht="13.5" thickBot="1">
      <c r="A54" s="1076"/>
      <c r="B54" s="1271" t="s">
        <v>679</v>
      </c>
      <c r="C54" s="901"/>
      <c r="D54" s="148"/>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6" t="s">
        <v>437</v>
      </c>
      <c r="B55" s="1273" t="s">
        <v>703</v>
      </c>
      <c r="C55" s="1017"/>
      <c r="D55" s="148"/>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25.5" thickTop="1" thickBot="1">
      <c r="A56" s="899">
        <v>2</v>
      </c>
      <c r="B56" s="900" t="s">
        <v>704</v>
      </c>
      <c r="C56" s="222">
        <f ca="1">C13</f>
        <v>0</v>
      </c>
      <c r="D56" s="1348"/>
      <c r="E56" s="1349"/>
      <c r="F56" s="1341"/>
      <c r="I56" s="1350" t="s">
        <v>842</v>
      </c>
      <c r="J56" s="1351"/>
      <c r="K56" s="1324" t="s">
        <v>843</v>
      </c>
      <c r="L56" s="1327">
        <f ca="1">IF(L48&lt;J51,"——",L48-J53)</f>
        <v>0</v>
      </c>
      <c r="O56" s="1321" t="s">
        <v>403</v>
      </c>
      <c r="P56" s="1322" t="s">
        <v>817</v>
      </c>
      <c r="Q56" s="1323" t="e">
        <f ca="1">C40+J29</f>
        <v>#DIV/0!</v>
      </c>
      <c r="R56" s="1323" t="s">
        <v>818</v>
      </c>
    </row>
    <row r="57" spans="1:18" s="1288" customFormat="1" ht="24.75" thickBot="1">
      <c r="A57" s="1352"/>
      <c r="B57" s="892" t="s">
        <v>767</v>
      </c>
      <c r="C57" s="228">
        <f ca="1">C29</f>
        <v>0</v>
      </c>
      <c r="D57" s="1353"/>
      <c r="E57" s="1354"/>
      <c r="F57" s="1355"/>
      <c r="I57" s="1356" t="s">
        <v>844</v>
      </c>
      <c r="J57" s="1357">
        <f ca="1">IF(OR(M47="住宅",J51&lt;L48,J56="是"),"——",J51-L48)</f>
        <v>0</v>
      </c>
      <c r="K57" s="1324" t="s">
        <v>845</v>
      </c>
      <c r="L57" s="1327">
        <f ca="1">IF(L48&lt;J51,"——",IF(L55="比较法",L49,IF(L55="基准地价",L50,L51)))</f>
        <v>0</v>
      </c>
      <c r="O57" s="1321" t="s">
        <v>404</v>
      </c>
      <c r="P57" s="1322" t="s">
        <v>846</v>
      </c>
      <c r="Q57" s="1323" t="e">
        <f ca="1">L60</f>
        <v>#DIV/0!</v>
      </c>
      <c r="R57" s="1323" t="s">
        <v>847</v>
      </c>
    </row>
    <row r="58" spans="1:18" s="1288" customFormat="1" ht="24.75" thickBot="1">
      <c r="A58" s="305" t="s">
        <v>393</v>
      </c>
      <c r="B58" s="900" t="s">
        <v>714</v>
      </c>
      <c r="C58" s="306">
        <f ca="1">ROUND(C59+C64+C65+C66,0)</f>
        <v>0</v>
      </c>
      <c r="D58" s="902" t="s">
        <v>715</v>
      </c>
      <c r="E58" s="903"/>
      <c r="F58" s="904"/>
      <c r="I58" s="1356" t="s">
        <v>848</v>
      </c>
      <c r="J58" s="1358" t="e">
        <f ca="1">IF(J55&lt;0.4,0.4,J55)</f>
        <v>#DIV/0!</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6">
        <f ca="1">ROUND(IF(AND(项目基本情况!B11="自然人",项目基本情况!B10="北京市"),C49*F59/(1+'数据-取费表'!C42),C60+C61+C62),0)</f>
        <v>0</v>
      </c>
      <c r="D59" s="905" t="s">
        <v>720</v>
      </c>
      <c r="E59" s="906" t="s">
        <v>721</v>
      </c>
      <c r="F59" s="2135"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IF(项目基本情况!B11="自然人","——",ROUND(C48*F60/(1+'数据-取费表'!C42),2))</f>
        <v>0</v>
      </c>
      <c r="D60" s="906" t="s">
        <v>724</v>
      </c>
      <c r="E60" s="892" t="s">
        <v>712</v>
      </c>
      <c r="F60" s="320">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IF(项目基本情况!B11="自然人","——",IF(D61="按租金收入计税",ROUND(C49*F61/(1+'数据-取费表'!C42),2),IF(D61="按房产原值计税",ROUND(C57*F61*0.7,2),INDIRECT("'数据-取费表'!Aj"&amp;$G$1))))</f>
        <v>0</v>
      </c>
      <c r="D61" s="1274" t="s">
        <v>3324</v>
      </c>
      <c r="E61" s="892" t="s">
        <v>783</v>
      </c>
      <c r="F61" s="312">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IF(项目基本情况!B11="自然人","——",ROUND(F62*F63/10000,2))</f>
        <v>0</v>
      </c>
      <c r="D62" s="907" t="s">
        <v>786</v>
      </c>
      <c r="E62" s="892" t="s">
        <v>787</v>
      </c>
      <c r="F62" s="315">
        <f t="shared" si="0"/>
        <v>1.5</v>
      </c>
      <c r="I62" s="1363" t="s">
        <v>858</v>
      </c>
      <c r="J62" s="608" t="s">
        <v>859</v>
      </c>
      <c r="K62" s="608" t="s">
        <v>860</v>
      </c>
      <c r="L62" s="608" t="s">
        <v>861</v>
      </c>
      <c r="M62" s="1364" t="s">
        <v>862</v>
      </c>
      <c r="O62" s="1321" t="s">
        <v>409</v>
      </c>
      <c r="P62" s="1322" t="s">
        <v>863</v>
      </c>
      <c r="Q62" s="1323" t="e">
        <f ca="1">Q56+Q57</f>
        <v>#DIV/0!</v>
      </c>
      <c r="R62" s="1323" t="s">
        <v>410</v>
      </c>
    </row>
    <row r="63" spans="1:18" s="1288" customFormat="1" ht="13.5" thickBot="1">
      <c r="A63" s="316"/>
      <c r="B63" s="898"/>
      <c r="C63" s="26"/>
      <c r="D63" s="908"/>
      <c r="E63" s="892" t="s">
        <v>788</v>
      </c>
      <c r="F63" s="293">
        <f t="shared" ca="1" si="0"/>
        <v>0</v>
      </c>
      <c r="I63" s="1363" t="s">
        <v>864</v>
      </c>
      <c r="J63" s="608">
        <v>70</v>
      </c>
      <c r="K63" s="608">
        <v>50</v>
      </c>
      <c r="L63" s="608">
        <v>80</v>
      </c>
      <c r="M63" s="1365">
        <v>0.02</v>
      </c>
      <c r="O63" s="1306" t="s">
        <v>865</v>
      </c>
      <c r="P63" s="1285"/>
      <c r="Q63" s="1285"/>
      <c r="R63" s="1285"/>
    </row>
    <row r="64" spans="1:18" s="1288" customFormat="1" ht="13.5" thickBot="1">
      <c r="A64" s="924" t="s">
        <v>789</v>
      </c>
      <c r="B64" s="892" t="s">
        <v>790</v>
      </c>
      <c r="C64" s="21">
        <f ca="1">ROUND(C57*F64,2)</f>
        <v>0</v>
      </c>
      <c r="D64" s="906" t="s">
        <v>791</v>
      </c>
      <c r="E64" s="892" t="s">
        <v>783</v>
      </c>
      <c r="F64" s="318">
        <f t="shared" ca="1" si="0"/>
        <v>0</v>
      </c>
      <c r="I64" s="1363" t="s">
        <v>866</v>
      </c>
      <c r="J64" s="608">
        <v>50</v>
      </c>
      <c r="K64" s="608">
        <v>35</v>
      </c>
      <c r="L64" s="608">
        <v>60</v>
      </c>
      <c r="M64" s="1364">
        <v>0</v>
      </c>
      <c r="O64" s="1314" t="s">
        <v>811</v>
      </c>
      <c r="P64" s="1315" t="s">
        <v>812</v>
      </c>
      <c r="Q64" s="1316" t="s">
        <v>813</v>
      </c>
      <c r="R64" s="1316" t="s">
        <v>814</v>
      </c>
    </row>
    <row r="65" spans="1:18" s="1288" customFormat="1" ht="13.5" thickBot="1">
      <c r="A65" s="924" t="s">
        <v>792</v>
      </c>
      <c r="B65" s="892" t="s">
        <v>742</v>
      </c>
      <c r="C65" s="21">
        <f ca="1">ROUND(C56*F65,2)</f>
        <v>0</v>
      </c>
      <c r="D65" s="906" t="s">
        <v>743</v>
      </c>
      <c r="E65" s="892" t="s">
        <v>744</v>
      </c>
      <c r="F65" s="319">
        <f t="shared" ca="1" si="0"/>
        <v>0</v>
      </c>
      <c r="I65" s="1363" t="s">
        <v>867</v>
      </c>
      <c r="J65" s="608">
        <v>40</v>
      </c>
      <c r="K65" s="608">
        <v>30</v>
      </c>
      <c r="L65" s="608">
        <v>50</v>
      </c>
      <c r="M65" s="1365">
        <v>0.02</v>
      </c>
      <c r="O65" s="1321" t="s">
        <v>403</v>
      </c>
      <c r="P65" s="1322" t="s">
        <v>868</v>
      </c>
      <c r="Q65" s="1323" t="e">
        <f ca="1">C40+J29</f>
        <v>#DIV/0!</v>
      </c>
      <c r="R65" s="1323" t="s">
        <v>818</v>
      </c>
    </row>
    <row r="66" spans="1:18" s="1288" customFormat="1" ht="16.5" thickBot="1">
      <c r="A66" s="924" t="s">
        <v>793</v>
      </c>
      <c r="B66" s="892" t="s">
        <v>728</v>
      </c>
      <c r="C66" s="21">
        <f ca="1">ROUND(C48*F66,2)</f>
        <v>0</v>
      </c>
      <c r="D66" s="906" t="s">
        <v>794</v>
      </c>
      <c r="E66" s="892" t="s">
        <v>712</v>
      </c>
      <c r="F66" s="302">
        <f t="shared" ca="1" si="0"/>
        <v>0</v>
      </c>
      <c r="O66" s="1321" t="s">
        <v>404</v>
      </c>
      <c r="P66" s="1322" t="s">
        <v>846</v>
      </c>
      <c r="Q66" s="1323" t="e">
        <f ca="1">L60</f>
        <v>#DIV/0!</v>
      </c>
      <c r="R66" s="1323" t="s">
        <v>869</v>
      </c>
    </row>
    <row r="67" spans="1:18" s="1288" customFormat="1" ht="16.5" thickBot="1">
      <c r="A67" s="899" t="s">
        <v>394</v>
      </c>
      <c r="B67" s="909" t="s">
        <v>752</v>
      </c>
      <c r="C67" s="306">
        <f ca="1">C48-C58</f>
        <v>0</v>
      </c>
      <c r="D67" s="905" t="s">
        <v>753</v>
      </c>
      <c r="E67" s="910"/>
      <c r="F67" s="911"/>
      <c r="O67" s="1330" t="s">
        <v>405</v>
      </c>
      <c r="P67" s="1322" t="s">
        <v>850</v>
      </c>
      <c r="Q67" s="1366">
        <f ca="1">L51</f>
        <v>0</v>
      </c>
      <c r="R67" s="1323" t="s">
        <v>870</v>
      </c>
    </row>
    <row r="68" spans="1:18" s="1288" customFormat="1" ht="16.5" thickBot="1">
      <c r="A68" s="889" t="s">
        <v>395</v>
      </c>
      <c r="B68" s="890" t="s">
        <v>774</v>
      </c>
      <c r="C68" s="291" t="e">
        <f ca="1">ROUND(C67*(1-((1+F70)/(1+F68))^F69)/(F68-F70),0)</f>
        <v>#DIV/0!</v>
      </c>
      <c r="D68" s="907" t="s">
        <v>758</v>
      </c>
      <c r="E68" s="892" t="s">
        <v>759</v>
      </c>
      <c r="F68" s="302">
        <f ca="1">F40</f>
        <v>0</v>
      </c>
      <c r="O68" s="1330" t="s">
        <v>406</v>
      </c>
      <c r="P68" s="1367" t="s">
        <v>871</v>
      </c>
      <c r="Q68" s="1323">
        <f ca="1">ROUND(Q69-Q70*Q71,0)</f>
        <v>0</v>
      </c>
      <c r="R68" s="1323" t="s">
        <v>414</v>
      </c>
    </row>
    <row r="69" spans="1:18" s="1288" customFormat="1" ht="13.5" thickBot="1">
      <c r="A69" s="893"/>
      <c r="B69" s="894"/>
      <c r="C69" s="296"/>
      <c r="D69" s="912" t="s">
        <v>762</v>
      </c>
      <c r="E69" s="892" t="s">
        <v>763</v>
      </c>
      <c r="F69" s="322">
        <f ca="1">F41</f>
        <v>0</v>
      </c>
      <c r="O69" s="1330" t="s">
        <v>411</v>
      </c>
      <c r="P69" s="1367" t="s">
        <v>872</v>
      </c>
      <c r="Q69" s="1323">
        <f ca="1">C39</f>
        <v>0</v>
      </c>
      <c r="R69" s="1323" t="s">
        <v>818</v>
      </c>
    </row>
    <row r="70" spans="1:18" s="1288" customFormat="1" ht="13.5" thickBot="1">
      <c r="A70" s="896"/>
      <c r="B70" s="897"/>
      <c r="C70" s="300"/>
      <c r="D70" s="908"/>
      <c r="E70" s="892" t="s">
        <v>766</v>
      </c>
      <c r="F70" s="987"/>
      <c r="O70" s="1330" t="s">
        <v>412</v>
      </c>
      <c r="P70" s="1367" t="s">
        <v>873</v>
      </c>
      <c r="Q70" s="1323">
        <f ca="1">C13</f>
        <v>0</v>
      </c>
      <c r="R70" s="1323" t="s">
        <v>818</v>
      </c>
    </row>
    <row r="71" spans="1:18" s="1288" customFormat="1" ht="13.5" thickBot="1">
      <c r="A71" s="913" t="s">
        <v>396</v>
      </c>
      <c r="B71" s="914" t="s">
        <v>776</v>
      </c>
      <c r="C71" s="325" t="e">
        <f ca="1">ROUND(C68*10000/F71,0)</f>
        <v>#DIV/0!</v>
      </c>
      <c r="D71" s="915" t="s">
        <v>777</v>
      </c>
      <c r="E71" s="916" t="s">
        <v>778</v>
      </c>
      <c r="F71" s="328">
        <f ca="1">F43</f>
        <v>0</v>
      </c>
      <c r="O71" s="1330" t="s">
        <v>413</v>
      </c>
      <c r="P71" s="1367" t="s">
        <v>874</v>
      </c>
      <c r="Q71" s="1333">
        <f ca="1">C76</f>
        <v>0</v>
      </c>
      <c r="R71" s="1323"/>
    </row>
    <row r="72" spans="1:18" s="1288" customFormat="1" ht="13.5" thickBot="1">
      <c r="B72" s="683"/>
      <c r="C72" s="683"/>
      <c r="O72" s="1330" t="s">
        <v>407</v>
      </c>
      <c r="P72" s="1322" t="s">
        <v>852</v>
      </c>
      <c r="Q72" s="1333">
        <f>L52</f>
        <v>0</v>
      </c>
      <c r="R72" s="1323"/>
    </row>
    <row r="73" spans="1:18" ht="16.5" thickBot="1">
      <c r="A73" s="1288"/>
      <c r="B73" s="683"/>
      <c r="C73" s="683"/>
      <c r="D73" s="1288"/>
      <c r="E73" s="1288"/>
      <c r="F73" s="1288"/>
      <c r="O73" s="1330" t="s">
        <v>408</v>
      </c>
      <c r="P73" s="1322" t="s">
        <v>855</v>
      </c>
      <c r="Q73" s="1323" t="e">
        <f ca="1">L58</f>
        <v>#DIV/0!</v>
      </c>
      <c r="R73" s="1323" t="s">
        <v>856</v>
      </c>
    </row>
    <row r="74" spans="1:18" ht="13.5" thickBot="1">
      <c r="A74" s="1288"/>
      <c r="B74" s="263"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29" t="s">
        <v>795</v>
      </c>
      <c r="C75" s="330">
        <f ca="1">ROUND(C13*C76,0)</f>
        <v>0</v>
      </c>
      <c r="D75" s="1288"/>
      <c r="E75" s="1288"/>
      <c r="F75" s="1288"/>
      <c r="K75" s="1305"/>
      <c r="L75" s="1288"/>
      <c r="O75" s="1321" t="s">
        <v>409</v>
      </c>
      <c r="P75" s="1322" t="s">
        <v>838</v>
      </c>
      <c r="Q75" s="1323" t="e">
        <f ca="1">Q65+Q66</f>
        <v>#DIV/0!</v>
      </c>
      <c r="R75" s="1323" t="s">
        <v>410</v>
      </c>
    </row>
    <row r="76" spans="1:18">
      <c r="B76" s="331" t="s">
        <v>796</v>
      </c>
      <c r="C76" s="332">
        <f ca="1">INDIRECT("'数据-取费表'!j"&amp;$G$1)</f>
        <v>0</v>
      </c>
      <c r="I76" s="1288"/>
      <c r="J76" s="1288"/>
      <c r="K76" s="1305"/>
      <c r="L76" s="1288"/>
    </row>
    <row r="77" spans="1:18">
      <c r="B77" s="333" t="s">
        <v>797</v>
      </c>
      <c r="C77" s="334"/>
      <c r="I77" s="1288"/>
      <c r="J77" s="1288"/>
      <c r="K77" s="1305"/>
      <c r="L77" s="1288"/>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C2ADE-426E-4481-97D7-D9E0212FDDB2}">
  <dimension ref="A1"/>
  <sheetViews>
    <sheetView workbookViewId="0">
      <selection activeCell="S24" sqref="S24"/>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6" t="s">
        <v>898</v>
      </c>
    </row>
    <row r="3" spans="1:1" ht="18">
      <c r="A3" s="1377" t="str">
        <f>项目基本情况!B5&amp;"："</f>
        <v>：</v>
      </c>
    </row>
    <row r="4" spans="1:1" ht="18">
      <c r="A4" s="1378" t="str">
        <f>"受贵公司委托，我公司对"&amp;项目基本情况!S1&amp;"进行了预评估。"</f>
        <v>受贵公司委托，我公司对北京市房地产抵押价值进行了预评估。</v>
      </c>
    </row>
    <row r="5" spans="1:1" ht="18.75">
      <c r="A5" s="1379" t="s">
        <v>899</v>
      </c>
    </row>
    <row r="6" spans="1:1" ht="18.75">
      <c r="A6" s="1380" t="s">
        <v>900</v>
      </c>
    </row>
    <row r="7" spans="1:1" ht="54">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估价对象为北京市房地产，为所有。根据《国有土地使用证》[]，估价对象（分摊）出让国有建设用地使用权面积为25963.4平方米，建筑面积为74353.6499999998平方米。</v>
      </c>
    </row>
    <row r="8" spans="1:1" ht="57.75">
      <c r="A8" s="1381" t="s">
        <v>901</v>
      </c>
    </row>
    <row r="9" spans="1:1" ht="18.75">
      <c r="A9" s="1380" t="s">
        <v>902</v>
      </c>
    </row>
    <row r="10" spans="1:1" ht="5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估价对象为北京市房地产,属开发建设的，该项目尚在开发建设中。根据《国有土地使用证》[]，估价对象（分摊）出让国有建设用地使用权面积为25963.4平方米，规划建筑面积为74353.6499999998平方米。</v>
      </c>
    </row>
    <row r="11" spans="1:1" ht="76.5">
      <c r="A11" s="1381" t="s">
        <v>903</v>
      </c>
    </row>
    <row r="12" spans="1:1" ht="18.75">
      <c r="A12" s="1379" t="s">
        <v>904</v>
      </c>
    </row>
    <row r="13" spans="1:1" ht="38.25" customHeight="1">
      <c r="A13" s="13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2025年9月24日（评估专业人员实地查勘之日）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8" t="str">
        <f>IF(项目基本情况!B9="房地产市场价值","——",IF(项目基本情况!E9="——","",定义!C57))</f>
        <v/>
      </c>
    </row>
    <row r="23" spans="1:1" ht="18.75">
      <c r="A23" s="1377" t="s">
        <v>896</v>
      </c>
    </row>
    <row r="24" spans="1:1" ht="18">
      <c r="A24" s="1383" t="str">
        <f>"本次评估采用的主估价方法为"&amp;结果表!K4&amp;"和"&amp;结果表!L4&amp;"。"</f>
        <v>本次评估采用的主估价方法为成本法和假设开发法。</v>
      </c>
    </row>
    <row r="25" spans="1:1" ht="18">
      <c r="A25" s="1383"/>
    </row>
    <row r="26" spans="1:1" ht="18.75">
      <c r="A26" s="1384"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C40" sqref="C40"/>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8" customWidth="1"/>
    <col min="12" max="12" width="16.375" style="248" customWidth="1"/>
    <col min="13" max="13" width="13" style="248"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8"/>
  </cols>
  <sheetData>
    <row r="1" spans="1:37" s="283" customFormat="1" ht="21">
      <c r="A1" s="1279" t="s">
        <v>877</v>
      </c>
      <c r="B1" s="661"/>
      <c r="C1" s="1283" t="s">
        <v>673</v>
      </c>
      <c r="D1" s="1267" t="s">
        <v>3576</v>
      </c>
      <c r="E1" s="1268" t="s">
        <v>678</v>
      </c>
      <c r="F1" s="995">
        <f ca="1">J53</f>
        <v>36.869999999999997</v>
      </c>
      <c r="G1" s="1282">
        <f>MATCH(C1,'数据-取费表'!A6:A16,0)+5</f>
        <v>7</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9" t="s">
        <v>878</v>
      </c>
      <c r="B2" s="3120">
        <f ca="1">ROUND(D2/10000,4)</f>
        <v>515.26350000000002</v>
      </c>
      <c r="C2" s="1285" t="s">
        <v>879</v>
      </c>
      <c r="D2" s="1371">
        <f ca="1">C40+J29+L46</f>
        <v>5152635</v>
      </c>
      <c r="E2" s="1291" t="s">
        <v>880</v>
      </c>
      <c r="F2" s="1292"/>
      <c r="G2" s="2475"/>
      <c r="H2" s="2465"/>
      <c r="I2" s="2465"/>
      <c r="J2" s="2465"/>
      <c r="K2" s="2466"/>
      <c r="L2" s="2465"/>
      <c r="M2" s="2465"/>
    </row>
    <row r="3" spans="1:37" ht="18" customHeight="1" thickBot="1">
      <c r="A3" s="1293" t="s">
        <v>881</v>
      </c>
      <c r="B3" s="1294">
        <f ca="1">IF(ISERROR(D2/F43),0,ROUND(D2/F43,0))</f>
        <v>9865</v>
      </c>
      <c r="C3" s="1285" t="s">
        <v>882</v>
      </c>
      <c r="D3" s="1285"/>
      <c r="E3" s="1291"/>
      <c r="F3" s="1292"/>
      <c r="G3" s="2475"/>
      <c r="H3" s="647" t="s">
        <v>876</v>
      </c>
      <c r="I3" s="1286"/>
      <c r="J3" s="1286"/>
      <c r="K3" s="1287"/>
      <c r="L3" s="1286"/>
      <c r="M3" s="1286"/>
    </row>
    <row r="4" spans="1:37" ht="18" customHeight="1">
      <c r="A4" s="285" t="s">
        <v>883</v>
      </c>
      <c r="B4" s="286" t="s">
        <v>884</v>
      </c>
      <c r="C4" s="286" t="s">
        <v>885</v>
      </c>
      <c r="D4" s="286" t="s">
        <v>886</v>
      </c>
      <c r="E4" s="287" t="s">
        <v>887</v>
      </c>
      <c r="F4" s="288"/>
      <c r="G4" s="1288"/>
      <c r="H4" s="285" t="s">
        <v>883</v>
      </c>
      <c r="I4" s="286" t="s">
        <v>884</v>
      </c>
      <c r="J4" s="286" t="s">
        <v>885</v>
      </c>
      <c r="K4" s="286" t="s">
        <v>886</v>
      </c>
      <c r="L4" s="287" t="s">
        <v>887</v>
      </c>
      <c r="M4" s="288"/>
    </row>
    <row r="5" spans="1:37" ht="18" customHeight="1">
      <c r="A5" s="289">
        <v>1</v>
      </c>
      <c r="B5" s="290" t="s">
        <v>888</v>
      </c>
      <c r="C5" s="1003">
        <f ca="1">C6+C10+C12</f>
        <v>343606</v>
      </c>
      <c r="D5" s="1269" t="s">
        <v>889</v>
      </c>
      <c r="E5" s="1004"/>
      <c r="F5" s="1005"/>
      <c r="G5" s="1288"/>
      <c r="H5" s="289">
        <v>1</v>
      </c>
      <c r="I5" s="290" t="s">
        <v>888</v>
      </c>
      <c r="J5" s="1003">
        <f ca="1">J6+J10+J12</f>
        <v>0</v>
      </c>
      <c r="K5" s="1269" t="s">
        <v>889</v>
      </c>
      <c r="L5" s="1004"/>
      <c r="M5" s="1005"/>
    </row>
    <row r="6" spans="1:37" ht="18" customHeight="1">
      <c r="A6" s="1002" t="s">
        <v>398</v>
      </c>
      <c r="B6" s="3421" t="s">
        <v>694</v>
      </c>
      <c r="C6" s="1007">
        <f ca="1">ROUND(F6*F8*F7*(1-F9),0)</f>
        <v>343177</v>
      </c>
      <c r="D6" s="145" t="s">
        <v>2105</v>
      </c>
      <c r="E6" s="292" t="s">
        <v>696</v>
      </c>
      <c r="F6" s="293">
        <f ca="1">INDIRECT("'数据-取费表'!u"&amp;$G$1)</f>
        <v>2</v>
      </c>
      <c r="G6" s="1288"/>
      <c r="H6" s="1002" t="s">
        <v>398</v>
      </c>
      <c r="I6" s="3421" t="s">
        <v>694</v>
      </c>
      <c r="J6" s="291">
        <f ca="1">ROUND(M6*M8*M7*(1-M9),0)</f>
        <v>0</v>
      </c>
      <c r="K6" s="1280" t="s">
        <v>2106</v>
      </c>
      <c r="L6" s="292" t="s">
        <v>696</v>
      </c>
      <c r="M6" s="293">
        <f ca="1">INDIRECT("'数据-取费表'!z"&amp;$G$1)</f>
        <v>0</v>
      </c>
    </row>
    <row r="7" spans="1:37" ht="18" customHeight="1">
      <c r="A7" s="1006"/>
      <c r="B7" s="3422"/>
      <c r="C7" s="1008"/>
      <c r="D7" s="297"/>
      <c r="E7" s="1009" t="s">
        <v>697</v>
      </c>
      <c r="F7" s="293">
        <f ca="1">IF(INDIRECT("'数据-取费表'!ah"&amp;$G$1)="",INDIRECT("'数据-取费表'!k"&amp;$G$1),INDIRECT("'数据-取费表'!ah"&amp;$G$1))</f>
        <v>522.33999999999992</v>
      </c>
      <c r="G7" s="1288"/>
      <c r="H7" s="294"/>
      <c r="I7" s="3422"/>
      <c r="J7" s="296"/>
      <c r="K7" s="297"/>
      <c r="L7" s="292" t="s">
        <v>697</v>
      </c>
      <c r="M7" s="293">
        <f ca="1">F7</f>
        <v>522.33999999999992</v>
      </c>
    </row>
    <row r="8" spans="1:37" ht="18" customHeight="1">
      <c r="A8" s="294"/>
      <c r="B8" s="3422"/>
      <c r="C8" s="296"/>
      <c r="D8" s="297"/>
      <c r="E8" s="292" t="s">
        <v>698</v>
      </c>
      <c r="F8" s="293">
        <f ca="1">INDIRECT("'数据-取费表'!ai"&amp;$G$1)</f>
        <v>365</v>
      </c>
      <c r="G8" s="1288"/>
      <c r="H8" s="294"/>
      <c r="I8" s="3422"/>
      <c r="J8" s="296"/>
      <c r="K8" s="297"/>
      <c r="L8" s="292" t="s">
        <v>698</v>
      </c>
      <c r="M8" s="293">
        <f ca="1">INDIRECT("'数据-取费表'!ai"&amp;$G$1)</f>
        <v>365</v>
      </c>
    </row>
    <row r="9" spans="1:37" ht="18" customHeight="1">
      <c r="A9" s="294"/>
      <c r="B9" s="3423"/>
      <c r="C9" s="296"/>
      <c r="D9" s="297"/>
      <c r="E9" s="292" t="s">
        <v>699</v>
      </c>
      <c r="F9" s="302">
        <f ca="1">INDIRECT("'数据-取费表'!w"&amp;$G$1)</f>
        <v>0.1</v>
      </c>
      <c r="G9" s="1288"/>
      <c r="H9" s="294"/>
      <c r="I9" s="3423"/>
      <c r="J9" s="296"/>
      <c r="K9" s="297"/>
      <c r="L9" s="303" t="s">
        <v>699</v>
      </c>
      <c r="M9" s="304">
        <f ca="1">INDIRECT("'数据-取费表'!ab"&amp;$G$1)</f>
        <v>0</v>
      </c>
    </row>
    <row r="10" spans="1:37" ht="18" customHeight="1">
      <c r="A10" s="1002" t="s">
        <v>402</v>
      </c>
      <c r="B10" s="1270" t="s">
        <v>700</v>
      </c>
      <c r="C10" s="306">
        <f ca="1">ROUND(IF(F10="押一",C6/12*F11,IF(F10="押二",C6/12*2*F11,IF(F10="押三",C6/12*3*F11,C11*F11))),0)</f>
        <v>429</v>
      </c>
      <c r="D10" s="148" t="s">
        <v>2115</v>
      </c>
      <c r="E10" s="303" t="s">
        <v>701</v>
      </c>
      <c r="F10" s="1049" t="s">
        <v>3573</v>
      </c>
      <c r="G10" s="1288"/>
      <c r="H10" s="1002" t="s">
        <v>402</v>
      </c>
      <c r="I10" s="1270" t="s">
        <v>700</v>
      </c>
      <c r="J10" s="291">
        <f ca="1">ROUND(IF(M10="押一",J6/12*M11,IF(M10="押二",J6/12*2*M11,IF(M10="押三",J6/12*3*M11,J11*M11))),0)</f>
        <v>0</v>
      </c>
      <c r="K10" s="1281" t="s">
        <v>2117</v>
      </c>
      <c r="L10" s="303" t="s">
        <v>701</v>
      </c>
      <c r="M10" s="1049"/>
    </row>
    <row r="11" spans="1:37" ht="18" customHeight="1">
      <c r="A11" s="298"/>
      <c r="B11" s="1271" t="s">
        <v>890</v>
      </c>
      <c r="C11" s="901"/>
      <c r="D11" s="297"/>
      <c r="E11" s="303" t="s">
        <v>702</v>
      </c>
      <c r="F11" s="304">
        <f ca="1">'数据-取费表'!B39</f>
        <v>1.4999999999999999E-2</v>
      </c>
      <c r="G11" s="1288"/>
      <c r="H11" s="1010"/>
      <c r="I11" s="1271" t="s">
        <v>891</v>
      </c>
      <c r="J11" s="901"/>
      <c r="K11" s="644"/>
      <c r="L11" s="303"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0">
        <f ca="1">ROUND(C29*F13,0)</f>
        <v>3472445</v>
      </c>
      <c r="D13" s="1014" t="s">
        <v>705</v>
      </c>
      <c r="E13" s="1014" t="s">
        <v>706</v>
      </c>
      <c r="F13" s="1015">
        <f ca="1">INDIRECT("'数据-取费表'!y"&amp;$G$1)</f>
        <v>1</v>
      </c>
      <c r="G13" s="1288"/>
      <c r="H13" s="1012">
        <v>2</v>
      </c>
      <c r="I13" s="1013" t="s">
        <v>704</v>
      </c>
      <c r="J13" s="1001">
        <f ca="1">ROUND(J14*J15,0)</f>
        <v>0</v>
      </c>
      <c r="K13" s="1020" t="s">
        <v>705</v>
      </c>
      <c r="L13" s="1295"/>
      <c r="M13" s="1296"/>
    </row>
    <row r="14" spans="1:37" ht="18" customHeight="1">
      <c r="A14" s="924" t="s">
        <v>397</v>
      </c>
      <c r="B14" s="292" t="s">
        <v>707</v>
      </c>
      <c r="C14" s="308">
        <f ca="1">ROUND(INDIRECT("'数据-取费表'!l"&amp;$G$1)*F43+'数据-取费表'!L14*INDIRECT("'数据-取费表'!S"&amp;$G$1),0)</f>
        <v>2350530</v>
      </c>
      <c r="D14" s="1253" t="s">
        <v>708</v>
      </c>
      <c r="E14" s="1251"/>
      <c r="F14" s="309"/>
      <c r="G14" s="1288"/>
      <c r="H14" s="924" t="s">
        <v>398</v>
      </c>
      <c r="I14" s="292" t="s">
        <v>709</v>
      </c>
      <c r="J14" s="21">
        <f ca="1">C29</f>
        <v>3472445</v>
      </c>
      <c r="K14" s="12"/>
      <c r="L14" s="755"/>
      <c r="M14" s="756"/>
    </row>
    <row r="15" spans="1:37" s="1300" customFormat="1" ht="18" customHeight="1" thickBot="1">
      <c r="A15" s="924" t="s">
        <v>399</v>
      </c>
      <c r="B15" s="292" t="s">
        <v>710</v>
      </c>
      <c r="C15" s="21">
        <f ca="1">ROUND(C14*F15,0)</f>
        <v>117527</v>
      </c>
      <c r="D15" s="310" t="s">
        <v>711</v>
      </c>
      <c r="E15" s="310" t="s">
        <v>712</v>
      </c>
      <c r="F15" s="311">
        <f>'数据-取费表'!B33</f>
        <v>0.05</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2" t="s">
        <v>713</v>
      </c>
      <c r="C16" s="21">
        <f ca="1">ROUND(INDIRECT("'数据-取费表'!l"&amp;$G$1)*F43*F16,0)</f>
        <v>0</v>
      </c>
      <c r="D16" s="292" t="s">
        <v>711</v>
      </c>
      <c r="E16" s="292" t="s">
        <v>712</v>
      </c>
      <c r="F16" s="312">
        <f ca="1">IF(INDIRECT("'数据-取费表'!c"&amp;$G$1)="住宅",'数据-取费表'!B34,0)</f>
        <v>0</v>
      </c>
      <c r="G16" s="1288"/>
      <c r="H16" s="1012" t="s">
        <v>393</v>
      </c>
      <c r="I16" s="1013" t="s">
        <v>714</v>
      </c>
      <c r="J16" s="300">
        <f ca="1">ROUND(J17+J22+J23+J24,0)</f>
        <v>7219</v>
      </c>
      <c r="K16" s="1020" t="s">
        <v>715</v>
      </c>
      <c r="L16" s="1021"/>
      <c r="M16" s="1005"/>
    </row>
    <row r="17" spans="1:37" s="1300" customFormat="1" ht="18" customHeight="1">
      <c r="A17" s="924" t="s">
        <v>681</v>
      </c>
      <c r="B17" s="292" t="s">
        <v>716</v>
      </c>
      <c r="C17" s="21">
        <f ca="1">ROUND(F17*(F43+INDIRECT("'数据-取费表'!S"&amp;$G$1)),0)</f>
        <v>104468</v>
      </c>
      <c r="D17" s="292" t="s">
        <v>717</v>
      </c>
      <c r="E17" s="292" t="s">
        <v>718</v>
      </c>
      <c r="F17" s="23">
        <f>'数据-取费表'!B35</f>
        <v>200</v>
      </c>
      <c r="G17" s="1299"/>
      <c r="H17" s="924" t="s">
        <v>398</v>
      </c>
      <c r="I17" s="292" t="s">
        <v>719</v>
      </c>
      <c r="J17" s="2136">
        <f ca="1">ROUND(IF(AND(项目基本情况!B11="自然人",项目基本情况!B10="北京市"),J6*M17/(1+'数据-取费表'!C42),J18+J19+J20),0)</f>
        <v>274</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2" t="s">
        <v>722</v>
      </c>
      <c r="C18" s="21">
        <f ca="1">ROUND(C14*F18,0)</f>
        <v>47011</v>
      </c>
      <c r="D18" s="292" t="s">
        <v>711</v>
      </c>
      <c r="E18" s="292" t="s">
        <v>712</v>
      </c>
      <c r="F18" s="312">
        <f>'数据-取费表'!B36</f>
        <v>0.02</v>
      </c>
      <c r="G18" s="1299"/>
      <c r="H18" s="924" t="s">
        <v>397</v>
      </c>
      <c r="I18" s="292" t="s">
        <v>723</v>
      </c>
      <c r="J18" s="21">
        <f ca="1">ROUND(J6*M18/(1+'数据-取费表'!C42),0)</f>
        <v>0</v>
      </c>
      <c r="K18" s="1252" t="s">
        <v>724</v>
      </c>
      <c r="L18" s="292" t="s">
        <v>712</v>
      </c>
      <c r="M18" s="312">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2" t="s">
        <v>725</v>
      </c>
      <c r="C19" s="21">
        <f ca="1">SUM(C14:C18)</f>
        <v>2619536</v>
      </c>
      <c r="D19" s="121" t="s">
        <v>726</v>
      </c>
      <c r="E19" s="1265"/>
      <c r="F19" s="23"/>
      <c r="G19" s="1288"/>
      <c r="H19" s="924" t="s">
        <v>399</v>
      </c>
      <c r="I19" s="292" t="s">
        <v>727</v>
      </c>
      <c r="J19" s="21">
        <f ca="1">IF(K19="按租金收入计税",ROUND(J6*M19/(1+'数据-取费表'!C42),0),ROUND(C29*M19*0.7,0))</f>
        <v>0</v>
      </c>
      <c r="K19" s="1274" t="s">
        <v>3324</v>
      </c>
      <c r="L19" s="292" t="s">
        <v>712</v>
      </c>
      <c r="M19" s="312">
        <f>IF(K19="按租金收入计税",'数据-取费表'!B51,'数据-取费表'!B50)</f>
        <v>0.12</v>
      </c>
    </row>
    <row r="20" spans="1:37" s="1300" customFormat="1" ht="18" customHeight="1">
      <c r="A20" s="924" t="s">
        <v>402</v>
      </c>
      <c r="B20" s="292" t="s">
        <v>728</v>
      </c>
      <c r="C20" s="21">
        <f ca="1">ROUND(C19*F20,0)</f>
        <v>52391</v>
      </c>
      <c r="D20" s="313" t="s">
        <v>729</v>
      </c>
      <c r="E20" s="292" t="s">
        <v>712</v>
      </c>
      <c r="F20" s="312">
        <f>'数据-取费表'!B37</f>
        <v>0.02</v>
      </c>
      <c r="G20" s="1299"/>
      <c r="H20" s="924" t="s">
        <v>680</v>
      </c>
      <c r="I20" s="145" t="s">
        <v>730</v>
      </c>
      <c r="J20" s="22">
        <f ca="1">ROUND(M20*M21,0)</f>
        <v>274</v>
      </c>
      <c r="K20" s="314" t="s">
        <v>731</v>
      </c>
      <c r="L20" s="292" t="s">
        <v>732</v>
      </c>
      <c r="M20" s="315">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2" t="s">
        <v>733</v>
      </c>
      <c r="C21" s="21" t="s">
        <v>0</v>
      </c>
      <c r="D21" s="313" t="s">
        <v>734</v>
      </c>
      <c r="E21" s="292" t="s">
        <v>735</v>
      </c>
      <c r="F21" s="312">
        <f>'数据-取费表'!B38</f>
        <v>0.02</v>
      </c>
      <c r="G21" s="1299"/>
      <c r="H21" s="316"/>
      <c r="I21" s="301"/>
      <c r="J21" s="26"/>
      <c r="K21" s="317"/>
      <c r="L21" s="292" t="s">
        <v>736</v>
      </c>
      <c r="M21" s="293">
        <f ca="1">INDIRECT("'数据-取费表'!r"&amp;$G$1)</f>
        <v>182.39</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2" t="s">
        <v>737</v>
      </c>
      <c r="C22" s="21"/>
      <c r="D22" s="121" t="str">
        <f>IF(F23&lt;=1,"单利计息。","复利计息。")&amp;"建造成本、管理费用、销售费用产生的利息。"</f>
        <v>复利计息。建造成本、管理费用、销售费用产生的利息。</v>
      </c>
      <c r="E22" s="1265"/>
      <c r="F22" s="23"/>
      <c r="G22" s="1288"/>
      <c r="H22" s="924" t="s">
        <v>402</v>
      </c>
      <c r="I22" s="292" t="s">
        <v>738</v>
      </c>
      <c r="J22" s="21">
        <f ca="1">ROUND(J14*M22,0)</f>
        <v>6945</v>
      </c>
      <c r="K22" s="1252" t="s">
        <v>739</v>
      </c>
      <c r="L22" s="292" t="s">
        <v>712</v>
      </c>
      <c r="M22" s="318">
        <f ca="1">INDIRECT("'数据-取费表'!Ak"&amp;$G$1)</f>
        <v>2E-3</v>
      </c>
    </row>
    <row r="23" spans="1:37" s="1300" customFormat="1" ht="18" customHeight="1">
      <c r="A23" s="924" t="s">
        <v>397</v>
      </c>
      <c r="B23" s="292" t="s">
        <v>740</v>
      </c>
      <c r="C23" s="21">
        <f ca="1">IF('数据-取费表'!B22&lt;=1,ROUND(C19*F24*F23/2,0)+ROUND(C20*F24*F23/2,0),ROUND(C19*(POWER((1+F24),F23/2)-1),0)+ROUND(C20*(POWER((1+F24),F23/2)-1),0))</f>
        <v>131309</v>
      </c>
      <c r="D23" s="136" t="str">
        <f>IF(F23&lt;=1,"(建造成本+管理费用)×利率×(建设周期÷2)","(建造成本+管理费用)×((1+利率)^(建设周期÷2)-1)")</f>
        <v>(建造成本+管理费用)×((1+利率)^(建设周期÷2)-1)</v>
      </c>
      <c r="E23" s="292" t="s">
        <v>741</v>
      </c>
      <c r="F23" s="315">
        <f>'数据-取费表'!B20</f>
        <v>3</v>
      </c>
      <c r="G23" s="1299"/>
      <c r="H23" s="924" t="s">
        <v>437</v>
      </c>
      <c r="I23" s="292" t="s">
        <v>742</v>
      </c>
      <c r="J23" s="21">
        <f ca="1">ROUND(J13*M23,0)</f>
        <v>0</v>
      </c>
      <c r="K23" s="1252" t="s">
        <v>743</v>
      </c>
      <c r="L23" s="292" t="s">
        <v>744</v>
      </c>
      <c r="M23" s="319">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2" t="s">
        <v>746</v>
      </c>
      <c r="C24" s="21">
        <f ca="1">ROUND(IF('数据-取费表'!B22&lt;=1,F21*F24*F23/2,F21*(POWER((1+F24),F23/2)-1)),4)</f>
        <v>1E-3</v>
      </c>
      <c r="D24" s="136" t="str">
        <f>IF(F23&lt;=1,"销售费用×利率×(建设周期÷2)","销售费用×((1+利率)^(建设周期÷2)-1)")</f>
        <v>销售费用×((1+利率)^(建设周期÷2)-1)</v>
      </c>
      <c r="E24" s="292" t="s">
        <v>747</v>
      </c>
      <c r="F24" s="320">
        <f ca="1">'数据-取费表'!B40</f>
        <v>3.2500000000000001E-2</v>
      </c>
      <c r="G24" s="1299"/>
      <c r="H24" s="1022" t="s">
        <v>684</v>
      </c>
      <c r="I24" s="1023" t="s">
        <v>728</v>
      </c>
      <c r="J24" s="1024">
        <f ca="1">ROUND(J5*M24,0)</f>
        <v>0</v>
      </c>
      <c r="K24" s="1025" t="s">
        <v>748</v>
      </c>
      <c r="L24" s="1023" t="s">
        <v>744</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2" t="s">
        <v>750</v>
      </c>
      <c r="C25" s="21"/>
      <c r="D25" s="121" t="s">
        <v>751</v>
      </c>
      <c r="E25" s="1265"/>
      <c r="F25" s="23"/>
      <c r="G25" s="1288"/>
      <c r="H25" s="1012" t="s">
        <v>394</v>
      </c>
      <c r="I25" s="1027" t="s">
        <v>752</v>
      </c>
      <c r="J25" s="300">
        <f ca="1">J5-J16</f>
        <v>-7219</v>
      </c>
      <c r="K25" s="1028" t="s">
        <v>753</v>
      </c>
      <c r="L25" s="1029"/>
      <c r="M25" s="1030"/>
    </row>
    <row r="26" spans="1:37" ht="18" customHeight="1">
      <c r="A26" s="924" t="s">
        <v>397</v>
      </c>
      <c r="B26" s="292" t="s">
        <v>754</v>
      </c>
      <c r="C26" s="21">
        <f ca="1">ROUND((C19+C20)*F26,0)</f>
        <v>400789</v>
      </c>
      <c r="D26" s="313" t="s">
        <v>755</v>
      </c>
      <c r="E26" s="303" t="s">
        <v>756</v>
      </c>
      <c r="F26" s="302">
        <f ca="1">INDIRECT("'数据-取费表'!q"&amp;$G$1)</f>
        <v>0.15</v>
      </c>
      <c r="G26" s="1288"/>
      <c r="H26" s="289" t="s">
        <v>395</v>
      </c>
      <c r="I26" s="290" t="s">
        <v>757</v>
      </c>
      <c r="J26" s="291">
        <f ca="1">IF(J5&lt;&gt;0,ROUND(J25*(1-((1+M28)/(1+M26))^M27)/(M26-M28),0),0)</f>
        <v>0</v>
      </c>
      <c r="K26" s="314" t="s">
        <v>758</v>
      </c>
      <c r="L26" s="292" t="s">
        <v>759</v>
      </c>
      <c r="M26" s="302">
        <f ca="1">INDIRECT("'数据-取费表'!I"&amp;$G$1)</f>
        <v>0.06</v>
      </c>
    </row>
    <row r="27" spans="1:37" ht="18" customHeight="1">
      <c r="A27" s="924" t="s">
        <v>399</v>
      </c>
      <c r="B27" s="292" t="s">
        <v>760</v>
      </c>
      <c r="C27" s="21">
        <f ca="1">ROUND(F21*F26,4)</f>
        <v>3.0000000000000001E-3</v>
      </c>
      <c r="D27" s="313" t="s">
        <v>761</v>
      </c>
      <c r="E27" s="310"/>
      <c r="F27" s="311"/>
      <c r="G27" s="1288"/>
      <c r="H27" s="294"/>
      <c r="I27" s="295"/>
      <c r="J27" s="296"/>
      <c r="K27" s="321" t="s">
        <v>762</v>
      </c>
      <c r="L27" s="292" t="s">
        <v>763</v>
      </c>
      <c r="M27" s="322">
        <f ca="1">INDIRECT("'数据-取费表'!ag"&amp;$G$1)</f>
        <v>0</v>
      </c>
    </row>
    <row r="28" spans="1:37" s="1300" customFormat="1" ht="18" customHeight="1">
      <c r="A28" s="924" t="s">
        <v>400</v>
      </c>
      <c r="B28" s="292" t="s">
        <v>764</v>
      </c>
      <c r="C28" s="21">
        <f>ROUND(F28/(1+'数据-取费表'!C42),4)</f>
        <v>5.33E-2</v>
      </c>
      <c r="D28" s="313" t="s">
        <v>765</v>
      </c>
      <c r="E28" s="292" t="s">
        <v>712</v>
      </c>
      <c r="F28" s="312">
        <f>'数据-取费表'!B41</f>
        <v>5.6000000000000001E-2</v>
      </c>
      <c r="G28" s="1299"/>
      <c r="H28" s="298"/>
      <c r="I28" s="299"/>
      <c r="J28" s="300"/>
      <c r="K28" s="317"/>
      <c r="L28" s="292" t="s">
        <v>766</v>
      </c>
      <c r="M28" s="302">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3472445</v>
      </c>
      <c r="D29" s="1025"/>
      <c r="E29" s="1023"/>
      <c r="F29" s="1026"/>
      <c r="G29" s="1299"/>
      <c r="H29" s="323" t="s">
        <v>396</v>
      </c>
      <c r="I29" s="324" t="s">
        <v>768</v>
      </c>
      <c r="J29" s="325">
        <f ca="1">ROUND(J26/(1+F40)^F41,0)</f>
        <v>0</v>
      </c>
      <c r="K29" s="326" t="s">
        <v>769</v>
      </c>
      <c r="L29" s="327"/>
      <c r="M29" s="328">
        <f ca="1">INDIRECT("'数据-取费表'!k"&amp;$G$1)</f>
        <v>522.33999999999992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0">
        <f ca="1">ROUND(C31+C36+C37+C38,0)</f>
        <v>71650</v>
      </c>
      <c r="D30" s="1020" t="s">
        <v>715</v>
      </c>
      <c r="E30" s="1021"/>
      <c r="F30" s="1005"/>
      <c r="G30" s="1288"/>
      <c r="H30" s="2467"/>
      <c r="I30" s="1301"/>
      <c r="J30" s="1302"/>
      <c r="K30" s="119"/>
      <c r="L30" s="2468"/>
      <c r="M30" s="2469"/>
    </row>
    <row r="31" spans="1:37" ht="18" customHeight="1">
      <c r="A31" s="924" t="s">
        <v>398</v>
      </c>
      <c r="B31" s="292" t="s">
        <v>719</v>
      </c>
      <c r="C31" s="2136">
        <f ca="1">ROUND(IF(AND(项目基本情况!B11="自然人",项目基本情况!B10="北京市"),C6*F31/(1+'数据-取费表'!C42),C32+C33+C34),0)</f>
        <v>57797</v>
      </c>
      <c r="D31" s="1253" t="s">
        <v>720</v>
      </c>
      <c r="E31" s="1252" t="s">
        <v>770</v>
      </c>
      <c r="F31" s="2135" t="str">
        <f>IF(项目基本情况!B11="企业","——",IF(M47="住宅",IF(F6*F7*F8/12/(1+'数据-取费表'!F30)&gt;100000,4%,2.5%),IF(F6*F7*F8/12/(1+'数据-取费表'!F30)&gt;100000,12%,7%)))</f>
        <v>——</v>
      </c>
      <c r="G31" s="1288"/>
      <c r="H31" s="2566" t="s">
        <v>2296</v>
      </c>
      <c r="I31" s="1301"/>
      <c r="J31" s="1302"/>
      <c r="K31" s="119"/>
      <c r="L31" s="2468"/>
      <c r="M31" s="2469"/>
    </row>
    <row r="32" spans="1:37" ht="18" customHeight="1">
      <c r="A32" s="924" t="s">
        <v>397</v>
      </c>
      <c r="B32" s="292" t="s">
        <v>723</v>
      </c>
      <c r="C32" s="21">
        <f ca="1">IF(项目基本情况!B11="自然人","——",ROUND(C6*F32/(1+'数据-取费表'!C42),0))</f>
        <v>18303</v>
      </c>
      <c r="D32" s="1252" t="s">
        <v>724</v>
      </c>
      <c r="E32" s="292" t="s">
        <v>712</v>
      </c>
      <c r="F32" s="320">
        <f>'数据-取费表'!B41</f>
        <v>5.6000000000000001E-2</v>
      </c>
      <c r="G32" s="1288"/>
      <c r="H32" s="2467"/>
      <c r="I32" s="1301"/>
      <c r="J32" s="1302"/>
      <c r="K32" s="119"/>
      <c r="L32" s="2468"/>
      <c r="M32" s="2469"/>
    </row>
    <row r="33" spans="1:18" ht="18" customHeight="1">
      <c r="A33" s="924" t="s">
        <v>399</v>
      </c>
      <c r="B33" s="292" t="s">
        <v>727</v>
      </c>
      <c r="C33" s="21">
        <f ca="1">IF(项目基本情况!B11="自然人","——",IF(D33="按租金收入计税",ROUND(C6*F33/(1+'数据-取费表'!C42),0),IF(D33="按房产原值计税",ROUND(C29*F33*0.7,0),INDIRECT("'数据-取费表'!Aj"&amp;$G$1))))</f>
        <v>39220</v>
      </c>
      <c r="D33" s="1274" t="s">
        <v>3324</v>
      </c>
      <c r="E33" s="292" t="s">
        <v>712</v>
      </c>
      <c r="F33" s="312">
        <f>IF(D33="按票据","——",IF(D33="按租金收入计税",'数据-取费表'!B51,'数据-取费表'!B50))</f>
        <v>0.12</v>
      </c>
      <c r="G33" s="1288"/>
      <c r="H33" s="2470"/>
      <c r="I33" s="1301"/>
      <c r="J33" s="1302"/>
      <c r="K33" s="2471"/>
      <c r="L33" s="2470"/>
      <c r="M33" s="2470"/>
    </row>
    <row r="34" spans="1:18" ht="18" customHeight="1">
      <c r="A34" s="1002" t="s">
        <v>680</v>
      </c>
      <c r="B34" s="145" t="s">
        <v>730</v>
      </c>
      <c r="C34" s="22">
        <f ca="1">IF(项目基本情况!B11="自然人","——",ROUND(F34*F35,0))</f>
        <v>274</v>
      </c>
      <c r="D34" s="314" t="s">
        <v>731</v>
      </c>
      <c r="E34" s="292" t="s">
        <v>732</v>
      </c>
      <c r="F34" s="315">
        <f>'数据-取费表'!B52</f>
        <v>1.5</v>
      </c>
      <c r="G34" s="1288"/>
      <c r="H34" s="2467"/>
      <c r="I34" s="1301"/>
      <c r="J34" s="1302"/>
      <c r="K34" s="2472"/>
      <c r="L34" s="2473"/>
      <c r="M34" s="2473"/>
    </row>
    <row r="35" spans="1:18" ht="18" customHeight="1">
      <c r="A35" s="1036"/>
      <c r="B35" s="1034"/>
      <c r="C35" s="26"/>
      <c r="D35" s="317"/>
      <c r="E35" s="292" t="s">
        <v>736</v>
      </c>
      <c r="F35" s="293">
        <f ca="1">INDIRECT("'数据-取费表'!r"&amp;$G$1)</f>
        <v>182.39</v>
      </c>
      <c r="G35" s="1288"/>
      <c r="H35" s="2467"/>
      <c r="I35" s="1301"/>
      <c r="J35" s="1302"/>
      <c r="K35" s="2471"/>
      <c r="L35" s="2470"/>
      <c r="M35" s="2470"/>
    </row>
    <row r="36" spans="1:18" ht="18" customHeight="1">
      <c r="A36" s="1035" t="s">
        <v>402</v>
      </c>
      <c r="B36" s="292" t="s">
        <v>738</v>
      </c>
      <c r="C36" s="21">
        <f ca="1">ROUND(C29*F36,0)</f>
        <v>6945</v>
      </c>
      <c r="D36" s="1252" t="s">
        <v>771</v>
      </c>
      <c r="E36" s="292" t="s">
        <v>712</v>
      </c>
      <c r="F36" s="318">
        <f ca="1">INDIRECT("'数据-取费表'!Ak"&amp;$G$1)</f>
        <v>2E-3</v>
      </c>
      <c r="G36" s="1288"/>
      <c r="H36" s="2470"/>
      <c r="I36" s="1301"/>
      <c r="J36" s="1302"/>
      <c r="K36" s="2327"/>
      <c r="L36" s="2470"/>
      <c r="M36" s="2470"/>
    </row>
    <row r="37" spans="1:18" ht="18" customHeight="1">
      <c r="A37" s="924" t="s">
        <v>437</v>
      </c>
      <c r="B37" s="292" t="s">
        <v>742</v>
      </c>
      <c r="C37" s="21">
        <f ca="1">ROUND(C13*F37,0)</f>
        <v>3472</v>
      </c>
      <c r="D37" s="1252" t="s">
        <v>743</v>
      </c>
      <c r="E37" s="292" t="s">
        <v>744</v>
      </c>
      <c r="F37" s="319">
        <f ca="1">INDIRECT("'数据-取费表'!Al"&amp;$G$1)</f>
        <v>1E-3</v>
      </c>
      <c r="G37" s="1288"/>
      <c r="H37" s="2470"/>
      <c r="I37" s="1301"/>
      <c r="J37" s="1302"/>
      <c r="K37" s="2327"/>
      <c r="L37" s="2470"/>
      <c r="M37" s="2470"/>
    </row>
    <row r="38" spans="1:18" ht="18" customHeight="1" thickBot="1">
      <c r="A38" s="1022" t="s">
        <v>684</v>
      </c>
      <c r="B38" s="1023" t="s">
        <v>728</v>
      </c>
      <c r="C38" s="1024">
        <f ca="1">ROUND(C5*F38,0)</f>
        <v>3436</v>
      </c>
      <c r="D38" s="1025" t="s">
        <v>748</v>
      </c>
      <c r="E38" s="1023" t="s">
        <v>744</v>
      </c>
      <c r="F38" s="1019">
        <f ca="1">INDIRECT("'数据-取费表'!Am"&amp;$G$1)</f>
        <v>0.01</v>
      </c>
      <c r="G38" s="1288"/>
      <c r="H38" s="2470"/>
      <c r="I38" s="1301"/>
      <c r="J38" s="1302"/>
      <c r="K38" s="2468"/>
      <c r="L38" s="2470"/>
      <c r="M38" s="2470"/>
    </row>
    <row r="39" spans="1:18" ht="24.6" customHeight="1" thickTop="1">
      <c r="A39" s="1012" t="s">
        <v>394</v>
      </c>
      <c r="B39" s="1027" t="s">
        <v>772</v>
      </c>
      <c r="C39" s="300">
        <f ca="1">C5-C30</f>
        <v>271956</v>
      </c>
      <c r="D39" s="1028" t="s">
        <v>773</v>
      </c>
      <c r="E39" s="1029"/>
      <c r="F39" s="1030"/>
      <c r="G39" s="1288"/>
      <c r="H39" s="2470"/>
      <c r="I39" s="1301"/>
      <c r="J39" s="1302"/>
      <c r="K39" s="2468"/>
      <c r="L39" s="2470"/>
      <c r="M39" s="2470"/>
    </row>
    <row r="40" spans="1:18" ht="18" customHeight="1">
      <c r="A40" s="289" t="s">
        <v>395</v>
      </c>
      <c r="B40" s="290" t="s">
        <v>774</v>
      </c>
      <c r="C40" s="291">
        <f ca="1">ROUND(C39*(1-((1+F42)/(1+F40))^F41)/(F40-F42),0)</f>
        <v>5152635</v>
      </c>
      <c r="D40" s="314" t="s">
        <v>758</v>
      </c>
      <c r="E40" s="292" t="s">
        <v>759</v>
      </c>
      <c r="F40" s="302">
        <f ca="1">INDIRECT("'数据-取费表'!I"&amp;$G$1)</f>
        <v>0.06</v>
      </c>
      <c r="G40" s="1288"/>
      <c r="H40" s="1362"/>
      <c r="I40" s="1301"/>
      <c r="J40" s="1302"/>
      <c r="K40" s="2468"/>
      <c r="L40" s="1362"/>
      <c r="M40" s="1362"/>
    </row>
    <row r="41" spans="1:18" ht="18" customHeight="1">
      <c r="A41" s="294"/>
      <c r="B41" s="295"/>
      <c r="C41" s="296"/>
      <c r="D41" s="321" t="s">
        <v>775</v>
      </c>
      <c r="E41" s="292" t="s">
        <v>763</v>
      </c>
      <c r="F41" s="322">
        <f ca="1">IF(INDIRECT("'数据-取费表'!af"&amp;$G$1)=0,INDIRECT("'数据-取费表'!ae"&amp;$G$1),INDIRECT("'数据-取费表'!af"&amp;$G$1))</f>
        <v>36.869999999999997</v>
      </c>
      <c r="G41" s="1288"/>
      <c r="H41" s="119"/>
      <c r="I41" s="1301"/>
      <c r="J41" s="1302"/>
      <c r="K41" s="2327"/>
      <c r="L41" s="119"/>
      <c r="M41" s="119"/>
    </row>
    <row r="42" spans="1:18" ht="18" customHeight="1">
      <c r="A42" s="298"/>
      <c r="B42" s="299"/>
      <c r="C42" s="300"/>
      <c r="D42" s="317"/>
      <c r="E42" s="292" t="s">
        <v>766</v>
      </c>
      <c r="F42" s="302">
        <f ca="1">INDIRECT("'数据-取费表'!v"&amp;$G$1)</f>
        <v>0.02</v>
      </c>
      <c r="G42" s="1288"/>
      <c r="H42" s="119"/>
      <c r="I42" s="1301"/>
      <c r="J42" s="1302"/>
      <c r="K42" s="2327"/>
      <c r="L42" s="119"/>
      <c r="M42" s="119"/>
    </row>
    <row r="43" spans="1:18" ht="18" customHeight="1" thickBot="1">
      <c r="A43" s="323" t="s">
        <v>396</v>
      </c>
      <c r="B43" s="324" t="s">
        <v>776</v>
      </c>
      <c r="C43" s="325">
        <f ca="1">ROUND(C40/F43,0)</f>
        <v>9865</v>
      </c>
      <c r="D43" s="326" t="s">
        <v>777</v>
      </c>
      <c r="E43" s="327" t="s">
        <v>778</v>
      </c>
      <c r="F43" s="328">
        <f ca="1">INDIRECT("'数据-取费表'!k"&amp;$G$1)</f>
        <v>522.33999999999992</v>
      </c>
      <c r="G43" s="1288"/>
      <c r="H43" s="119"/>
      <c r="I43" s="119"/>
      <c r="J43" s="119"/>
      <c r="K43" s="2327"/>
      <c r="L43" s="119"/>
      <c r="M43" s="119"/>
    </row>
    <row r="44" spans="1:18" s="1288" customFormat="1" ht="18" customHeight="1">
      <c r="A44" s="1303"/>
      <c r="B44" s="1303"/>
      <c r="C44" s="1304"/>
      <c r="D44" s="1303"/>
      <c r="E44" s="1303"/>
      <c r="F44" s="1303"/>
      <c r="K44" s="1305"/>
    </row>
    <row r="45" spans="1:18" s="1288" customFormat="1" ht="18" customHeight="1" thickBot="1">
      <c r="A45" s="3126" t="s">
        <v>3340</v>
      </c>
      <c r="B45" s="1303"/>
      <c r="C45" s="1372">
        <f ca="1">ROUND((C68-C40)/10000,4)</f>
        <v>-531.00289999999995</v>
      </c>
      <c r="D45" s="3127" t="s">
        <v>3341</v>
      </c>
      <c r="E45" s="1303"/>
      <c r="F45" s="1303"/>
      <c r="O45" s="1306" t="s">
        <v>808</v>
      </c>
      <c r="P45" s="1362"/>
      <c r="Q45" s="1362"/>
      <c r="R45" s="1362"/>
    </row>
    <row r="46" spans="1:18" s="1288" customFormat="1" ht="13.5" thickBot="1">
      <c r="A46" s="1307" t="s">
        <v>809</v>
      </c>
      <c r="C46" s="1308">
        <f ca="1">ROUND(C45,0)</f>
        <v>-531</v>
      </c>
      <c r="D46" s="1309" t="str">
        <f>C2</f>
        <v>万元</v>
      </c>
      <c r="I46" s="1310" t="s">
        <v>810</v>
      </c>
      <c r="J46" s="1311"/>
      <c r="K46" s="1312"/>
      <c r="L46" s="1313" t="str">
        <f ca="1">IF(M47="住宅",0,IF(L48&gt;J51,L60,J60))</f>
        <v>0</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79"/>
      <c r="I47" s="1317" t="s">
        <v>815</v>
      </c>
      <c r="J47" s="1318" t="s">
        <v>3574</v>
      </c>
      <c r="K47" s="1319" t="s">
        <v>816</v>
      </c>
      <c r="L47" s="1320">
        <f ca="1">INDIRECT("'数据-取费表'!d"&amp;$G$1)</f>
        <v>40</v>
      </c>
      <c r="M47" s="1284" t="str">
        <f>IF(ISNUMBER(FIND("住宅",C1)),"住宅","非住宅")</f>
        <v>非住宅</v>
      </c>
      <c r="O47" s="1321" t="s">
        <v>403</v>
      </c>
      <c r="P47" s="1322" t="s">
        <v>817</v>
      </c>
      <c r="Q47" s="1323">
        <f ca="1">C40+J29</f>
        <v>5152635</v>
      </c>
      <c r="R47" s="1323" t="s">
        <v>818</v>
      </c>
    </row>
    <row r="48" spans="1:18" s="1288" customFormat="1" ht="28.5" thickBot="1">
      <c r="A48" s="1043" t="s">
        <v>438</v>
      </c>
      <c r="B48" s="290" t="s">
        <v>692</v>
      </c>
      <c r="C48" s="1264">
        <f ca="1">C49+C53+C55</f>
        <v>0</v>
      </c>
      <c r="D48" s="1045"/>
      <c r="E48" s="1046"/>
      <c r="F48" s="904"/>
      <c r="G48" s="679"/>
      <c r="H48" s="680"/>
      <c r="I48" s="1324" t="s">
        <v>819</v>
      </c>
      <c r="J48" s="1325" t="s">
        <v>3575</v>
      </c>
      <c r="K48" s="1326" t="s">
        <v>820</v>
      </c>
      <c r="L48" s="1327">
        <f ca="1">INDIRECT("'数据-取费表'!f"&amp;$G$1)</f>
        <v>38.869999999999997</v>
      </c>
      <c r="O48" s="1321" t="s">
        <v>404</v>
      </c>
      <c r="P48" s="1322" t="s">
        <v>821</v>
      </c>
      <c r="Q48" s="1323" t="str">
        <f ca="1">J60</f>
        <v>0</v>
      </c>
      <c r="R48" s="1323" t="s">
        <v>822</v>
      </c>
    </row>
    <row r="49" spans="1:18" s="1288" customFormat="1" ht="13.5" thickBot="1">
      <c r="A49" s="917" t="s">
        <v>439</v>
      </c>
      <c r="B49" s="1275" t="s">
        <v>779</v>
      </c>
      <c r="C49" s="1047">
        <f ca="1">ROUND(F49*F51*F50*(1-F52),0)</f>
        <v>0</v>
      </c>
      <c r="D49" s="988" t="s">
        <v>695</v>
      </c>
      <c r="E49" s="1276" t="s">
        <v>780</v>
      </c>
      <c r="F49" s="993"/>
      <c r="H49" s="680"/>
      <c r="I49" s="1324" t="s">
        <v>823</v>
      </c>
      <c r="J49" s="1328"/>
      <c r="K49" s="1326" t="s">
        <v>824</v>
      </c>
      <c r="L49" s="1329"/>
      <c r="O49" s="1330" t="s">
        <v>405</v>
      </c>
      <c r="P49" s="1322" t="s">
        <v>825</v>
      </c>
      <c r="Q49" s="1323">
        <f ca="1">C29</f>
        <v>3472445</v>
      </c>
      <c r="R49" s="1323" t="s">
        <v>818</v>
      </c>
    </row>
    <row r="50" spans="1:18" s="1288" customFormat="1" ht="13.5" thickBot="1">
      <c r="A50" s="918"/>
      <c r="B50" s="921"/>
      <c r="C50" s="922"/>
      <c r="D50" s="895"/>
      <c r="E50" s="989" t="s">
        <v>697</v>
      </c>
      <c r="F50" s="990">
        <f ca="1">F7</f>
        <v>522.33999999999992</v>
      </c>
      <c r="H50" s="680"/>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19"/>
      <c r="B51" s="921"/>
      <c r="C51" s="922"/>
      <c r="D51" s="895"/>
      <c r="E51" s="923" t="s">
        <v>698</v>
      </c>
      <c r="F51" s="293">
        <f ca="1">F8</f>
        <v>365</v>
      </c>
      <c r="I51" s="1334" t="s">
        <v>829</v>
      </c>
      <c r="J51" s="1327">
        <f>IF(J49="",J50,J49+J50-YEAR('数据-取费表'!B2))</f>
        <v>60</v>
      </c>
      <c r="K51" s="1335" t="s">
        <v>830</v>
      </c>
      <c r="L51" s="1336">
        <f ca="1">ROUND(-PV(INDIRECT("'数据-取费表'!h"&amp;$G$1),J51,(C39-C13*C76),0),0)</f>
        <v>504036</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c r="K52" s="1338" t="s">
        <v>833</v>
      </c>
      <c r="L52" s="1339"/>
      <c r="O52" s="1330" t="s">
        <v>408</v>
      </c>
      <c r="P52" s="1322" t="s">
        <v>834</v>
      </c>
      <c r="Q52" s="1323">
        <f ca="1">J53</f>
        <v>36.869999999999997</v>
      </c>
      <c r="R52" s="1323" t="s">
        <v>835</v>
      </c>
    </row>
    <row r="53" spans="1:18" s="1288" customFormat="1" ht="30.75" customHeight="1" thickBot="1">
      <c r="A53" s="1044" t="s">
        <v>440</v>
      </c>
      <c r="B53" s="313" t="s">
        <v>700</v>
      </c>
      <c r="C53" s="306">
        <f ca="1">ROUND(IF(F53="押一",C49/12*F11,IF(F53="押二",C49/12*2*F11,IF(F53="押三",C49/12*3*F11,C54*F11))),0)</f>
        <v>0</v>
      </c>
      <c r="D53" s="148" t="s">
        <v>2118</v>
      </c>
      <c r="E53" s="303" t="s">
        <v>701</v>
      </c>
      <c r="F53" s="1049"/>
      <c r="I53" s="1340" t="s">
        <v>836</v>
      </c>
      <c r="J53" s="2002">
        <f ca="1">IF(M47="住宅",IF(D1="——",MAX(J51,L48),MAX(J51,L48-'数据-取费表'!B24)),IF(D1="——",MIN(J51,L48),MIN(J51,L48-'数据-取费表'!B24)))</f>
        <v>36.869999999999997</v>
      </c>
      <c r="K53" s="3419" t="s">
        <v>837</v>
      </c>
      <c r="L53" s="3420"/>
      <c r="O53" s="1321" t="s">
        <v>409</v>
      </c>
      <c r="P53" s="1322" t="s">
        <v>838</v>
      </c>
      <c r="Q53" s="1323">
        <f ca="1">Q47+Q48</f>
        <v>5152635</v>
      </c>
      <c r="R53" s="1323" t="s">
        <v>410</v>
      </c>
    </row>
    <row r="54" spans="1:18" s="1288" customFormat="1" ht="13.5" thickBot="1">
      <c r="A54" s="917"/>
      <c r="B54" s="1373" t="s">
        <v>891</v>
      </c>
      <c r="C54" s="901"/>
      <c r="D54" s="148"/>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6" t="s">
        <v>437</v>
      </c>
      <c r="B55" s="1273" t="s">
        <v>703</v>
      </c>
      <c r="C55" s="1017"/>
      <c r="D55" s="148"/>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36" customHeight="1" thickTop="1" thickBot="1">
      <c r="A56" s="899">
        <v>2</v>
      </c>
      <c r="B56" s="900" t="s">
        <v>704</v>
      </c>
      <c r="C56" s="222">
        <f ca="1">C13</f>
        <v>3472445</v>
      </c>
      <c r="D56" s="1348"/>
      <c r="E56" s="1349"/>
      <c r="F56" s="1341"/>
      <c r="I56" s="1350" t="s">
        <v>842</v>
      </c>
      <c r="J56" s="1351" t="s">
        <v>3417</v>
      </c>
      <c r="K56" s="1324" t="s">
        <v>843</v>
      </c>
      <c r="L56" s="1327" t="str">
        <f ca="1">IF(L48&lt;J51,"——",L48-J51)</f>
        <v>——</v>
      </c>
      <c r="O56" s="1321" t="s">
        <v>403</v>
      </c>
      <c r="P56" s="1322" t="s">
        <v>817</v>
      </c>
      <c r="Q56" s="1323">
        <f ca="1">C40+J29</f>
        <v>5152635</v>
      </c>
      <c r="R56" s="1323" t="s">
        <v>818</v>
      </c>
    </row>
    <row r="57" spans="1:18" s="1288" customFormat="1" ht="24.75" thickBot="1">
      <c r="A57" s="1352"/>
      <c r="B57" s="892" t="s">
        <v>767</v>
      </c>
      <c r="C57" s="228">
        <f ca="1">C29</f>
        <v>3472445</v>
      </c>
      <c r="D57" s="1353"/>
      <c r="E57" s="1354"/>
      <c r="F57" s="1355"/>
      <c r="I57" s="1356" t="s">
        <v>844</v>
      </c>
      <c r="J57" s="1357" t="str">
        <f ca="1">IF(OR(M47="住宅",J51&lt;L48,J56="是"),"——",J51-L48)</f>
        <v>——</v>
      </c>
      <c r="K57" s="1324" t="s">
        <v>892</v>
      </c>
      <c r="L57" s="1327" t="str">
        <f ca="1">IF(L48&lt;J51,"——",IF(L55="比较法",L49,IF(L55="基准地价",L50,L51)))</f>
        <v>——</v>
      </c>
      <c r="O57" s="1321" t="s">
        <v>404</v>
      </c>
      <c r="P57" s="1322" t="s">
        <v>893</v>
      </c>
      <c r="Q57" s="1323">
        <f ca="1">L60</f>
        <v>0</v>
      </c>
      <c r="R57" s="1323" t="s">
        <v>894</v>
      </c>
    </row>
    <row r="58" spans="1:18" s="1288" customFormat="1" ht="24.75" thickBot="1">
      <c r="A58" s="305" t="s">
        <v>393</v>
      </c>
      <c r="B58" s="900" t="s">
        <v>714</v>
      </c>
      <c r="C58" s="306">
        <f ca="1">ROUND(C59+C64+C65+C66,0)</f>
        <v>10691</v>
      </c>
      <c r="D58" s="902" t="s">
        <v>715</v>
      </c>
      <c r="E58" s="903"/>
      <c r="F58" s="904"/>
      <c r="I58" s="1356" t="s">
        <v>848</v>
      </c>
      <c r="J58" s="1358" t="e">
        <f ca="1">IF(J55&lt;0.4,0.4,J55)</f>
        <v>#VALUE!</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6">
        <f ca="1">ROUND(IF(AND(项目基本情况!B11="自然人",项目基本情况!B10="北京市"),C49*F59/(1+'数据-取费表'!C42),C60+C61+C62),0)</f>
        <v>274</v>
      </c>
      <c r="D59" s="905" t="s">
        <v>720</v>
      </c>
      <c r="E59" s="906" t="s">
        <v>721</v>
      </c>
      <c r="F59" s="2135"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IF(项目基本情况!B11="自然人","——",ROUND(C48*F60/(1+'数据-取费表'!C42),0))</f>
        <v>0</v>
      </c>
      <c r="D60" s="906" t="s">
        <v>724</v>
      </c>
      <c r="E60" s="892" t="s">
        <v>712</v>
      </c>
      <c r="F60" s="320">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IF(项目基本情况!B11="自然人","——",IF(D61="按租金收入计税",ROUND(C49*F61/(1+'数据-取费表'!C42),0),IF(D61="按房产原值计税",ROUND(C57*F61*0.7,0),INDIRECT("'数据-取费表'!Aj"&amp;$G$1))))</f>
        <v>0</v>
      </c>
      <c r="D61" s="1274" t="s">
        <v>3324</v>
      </c>
      <c r="E61" s="892" t="s">
        <v>783</v>
      </c>
      <c r="F61" s="312">
        <f t="shared" si="0"/>
        <v>0.12</v>
      </c>
      <c r="I61" s="1362"/>
      <c r="J61" s="1362"/>
      <c r="K61" s="1362"/>
      <c r="L61" s="1362"/>
      <c r="O61" s="1330" t="s">
        <v>408</v>
      </c>
      <c r="P61" s="1322" t="str">
        <f>K59</f>
        <v>续建工期及建筑物耐用年限下的土地年期修正系数Kn</v>
      </c>
      <c r="Q61" s="1323" t="e">
        <f ca="1">L59</f>
        <v>#DIV/0!</v>
      </c>
      <c r="R61" s="1323" t="s">
        <v>857</v>
      </c>
    </row>
    <row r="62" spans="1:18" s="1288" customFormat="1" ht="13.5" thickBot="1">
      <c r="A62" s="924" t="s">
        <v>784</v>
      </c>
      <c r="B62" s="891" t="s">
        <v>785</v>
      </c>
      <c r="C62" s="22">
        <f ca="1">IF(项目基本情况!B11="自然人","——",ROUND(F62*F63,0))</f>
        <v>274</v>
      </c>
      <c r="D62" s="907" t="s">
        <v>786</v>
      </c>
      <c r="E62" s="892" t="s">
        <v>787</v>
      </c>
      <c r="F62" s="315">
        <f t="shared" si="0"/>
        <v>1.5</v>
      </c>
      <c r="I62" s="1363" t="s">
        <v>858</v>
      </c>
      <c r="J62" s="608" t="s">
        <v>859</v>
      </c>
      <c r="K62" s="608" t="s">
        <v>860</v>
      </c>
      <c r="L62" s="608" t="s">
        <v>861</v>
      </c>
      <c r="M62" s="1364" t="s">
        <v>862</v>
      </c>
      <c r="O62" s="1321" t="s">
        <v>409</v>
      </c>
      <c r="P62" s="1322" t="s">
        <v>863</v>
      </c>
      <c r="Q62" s="1323">
        <f ca="1">Q56+Q57</f>
        <v>5152635</v>
      </c>
      <c r="R62" s="1323" t="s">
        <v>410</v>
      </c>
    </row>
    <row r="63" spans="1:18" s="1288" customFormat="1" ht="13.5" thickBot="1">
      <c r="A63" s="316"/>
      <c r="B63" s="898"/>
      <c r="C63" s="26"/>
      <c r="D63" s="908"/>
      <c r="E63" s="892" t="s">
        <v>788</v>
      </c>
      <c r="F63" s="293">
        <f t="shared" ca="1" si="0"/>
        <v>182.39</v>
      </c>
      <c r="I63" s="1363" t="s">
        <v>864</v>
      </c>
      <c r="J63" s="608">
        <v>70</v>
      </c>
      <c r="K63" s="608">
        <v>50</v>
      </c>
      <c r="L63" s="608">
        <v>80</v>
      </c>
      <c r="M63" s="1365">
        <v>0.02</v>
      </c>
      <c r="O63" s="1306" t="s">
        <v>865</v>
      </c>
      <c r="P63" s="1285"/>
      <c r="Q63" s="1285"/>
      <c r="R63" s="1285"/>
    </row>
    <row r="64" spans="1:18" s="1288" customFormat="1" ht="13.5" thickBot="1">
      <c r="A64" s="924" t="s">
        <v>789</v>
      </c>
      <c r="B64" s="892" t="s">
        <v>790</v>
      </c>
      <c r="C64" s="21">
        <f ca="1">ROUND(C57*F64,0)</f>
        <v>6945</v>
      </c>
      <c r="D64" s="906" t="s">
        <v>791</v>
      </c>
      <c r="E64" s="892" t="s">
        <v>783</v>
      </c>
      <c r="F64" s="318">
        <f t="shared" ca="1" si="0"/>
        <v>2E-3</v>
      </c>
      <c r="I64" s="1363" t="s">
        <v>866</v>
      </c>
      <c r="J64" s="608">
        <v>50</v>
      </c>
      <c r="K64" s="608">
        <v>35</v>
      </c>
      <c r="L64" s="608">
        <v>60</v>
      </c>
      <c r="M64" s="1364">
        <v>0</v>
      </c>
      <c r="O64" s="1314" t="s">
        <v>811</v>
      </c>
      <c r="P64" s="1315" t="s">
        <v>812</v>
      </c>
      <c r="Q64" s="1316" t="s">
        <v>813</v>
      </c>
      <c r="R64" s="1316" t="s">
        <v>814</v>
      </c>
    </row>
    <row r="65" spans="1:18" s="1288" customFormat="1" ht="13.5" thickBot="1">
      <c r="A65" s="924" t="s">
        <v>792</v>
      </c>
      <c r="B65" s="892" t="s">
        <v>742</v>
      </c>
      <c r="C65" s="21">
        <f ca="1">ROUND(C56*F65,0)</f>
        <v>3472</v>
      </c>
      <c r="D65" s="906" t="s">
        <v>743</v>
      </c>
      <c r="E65" s="892" t="s">
        <v>744</v>
      </c>
      <c r="F65" s="319">
        <f t="shared" ca="1" si="0"/>
        <v>1E-3</v>
      </c>
      <c r="I65" s="1363" t="s">
        <v>867</v>
      </c>
      <c r="J65" s="608">
        <v>40</v>
      </c>
      <c r="K65" s="608">
        <v>30</v>
      </c>
      <c r="L65" s="608">
        <v>50</v>
      </c>
      <c r="M65" s="1365">
        <v>0.02</v>
      </c>
      <c r="O65" s="1321" t="s">
        <v>403</v>
      </c>
      <c r="P65" s="1322" t="s">
        <v>868</v>
      </c>
      <c r="Q65" s="1323">
        <f ca="1">C40+J29</f>
        <v>5152635</v>
      </c>
      <c r="R65" s="1323" t="s">
        <v>818</v>
      </c>
    </row>
    <row r="66" spans="1:18" s="1288" customFormat="1" ht="16.5" thickBot="1">
      <c r="A66" s="924" t="s">
        <v>793</v>
      </c>
      <c r="B66" s="892" t="s">
        <v>728</v>
      </c>
      <c r="C66" s="21">
        <f ca="1">ROUND(C48*F66,0)</f>
        <v>0</v>
      </c>
      <c r="D66" s="906" t="s">
        <v>794</v>
      </c>
      <c r="E66" s="892" t="s">
        <v>712</v>
      </c>
      <c r="F66" s="302">
        <f t="shared" ca="1" si="0"/>
        <v>0.01</v>
      </c>
      <c r="O66" s="1321" t="s">
        <v>404</v>
      </c>
      <c r="P66" s="1322" t="s">
        <v>846</v>
      </c>
      <c r="Q66" s="1323">
        <f ca="1">L60</f>
        <v>0</v>
      </c>
      <c r="R66" s="1323" t="s">
        <v>869</v>
      </c>
    </row>
    <row r="67" spans="1:18" s="1288" customFormat="1" ht="16.5" thickBot="1">
      <c r="A67" s="899" t="s">
        <v>394</v>
      </c>
      <c r="B67" s="909" t="s">
        <v>752</v>
      </c>
      <c r="C67" s="306">
        <f ca="1">C48-C58</f>
        <v>-10691</v>
      </c>
      <c r="D67" s="905" t="s">
        <v>753</v>
      </c>
      <c r="E67" s="910"/>
      <c r="F67" s="911"/>
      <c r="O67" s="1330" t="s">
        <v>405</v>
      </c>
      <c r="P67" s="1322" t="s">
        <v>850</v>
      </c>
      <c r="Q67" s="1366">
        <f ca="1">L51</f>
        <v>504036</v>
      </c>
      <c r="R67" s="1323" t="s">
        <v>870</v>
      </c>
    </row>
    <row r="68" spans="1:18" s="1288" customFormat="1" ht="16.5" thickBot="1">
      <c r="A68" s="889" t="s">
        <v>395</v>
      </c>
      <c r="B68" s="890" t="s">
        <v>774</v>
      </c>
      <c r="C68" s="291">
        <f ca="1">ROUND(C67*(1-((1+F70)/(1+F68))^F69)/(F68-F70),0)</f>
        <v>-157394</v>
      </c>
      <c r="D68" s="907" t="s">
        <v>758</v>
      </c>
      <c r="E68" s="892" t="s">
        <v>759</v>
      </c>
      <c r="F68" s="302">
        <f ca="1">F40</f>
        <v>0.06</v>
      </c>
      <c r="O68" s="1330" t="s">
        <v>406</v>
      </c>
      <c r="P68" s="1367" t="s">
        <v>871</v>
      </c>
      <c r="Q68" s="1323">
        <f ca="1">ROUND(Q69-Q70*Q71,0)</f>
        <v>28885</v>
      </c>
      <c r="R68" s="1323" t="s">
        <v>414</v>
      </c>
    </row>
    <row r="69" spans="1:18" s="1288" customFormat="1" ht="13.5" thickBot="1">
      <c r="A69" s="893"/>
      <c r="B69" s="894"/>
      <c r="C69" s="296"/>
      <c r="D69" s="912" t="s">
        <v>762</v>
      </c>
      <c r="E69" s="892" t="s">
        <v>763</v>
      </c>
      <c r="F69" s="322">
        <f ca="1">F41</f>
        <v>36.869999999999997</v>
      </c>
      <c r="O69" s="1330" t="s">
        <v>411</v>
      </c>
      <c r="P69" s="1367" t="s">
        <v>872</v>
      </c>
      <c r="Q69" s="1323">
        <f ca="1">C39</f>
        <v>271956</v>
      </c>
      <c r="R69" s="1323" t="s">
        <v>818</v>
      </c>
    </row>
    <row r="70" spans="1:18" s="1288" customFormat="1" ht="13.5" thickBot="1">
      <c r="A70" s="896"/>
      <c r="B70" s="897"/>
      <c r="C70" s="300"/>
      <c r="D70" s="908"/>
      <c r="E70" s="892" t="s">
        <v>766</v>
      </c>
      <c r="F70" s="987"/>
      <c r="O70" s="1330" t="s">
        <v>412</v>
      </c>
      <c r="P70" s="1367" t="s">
        <v>873</v>
      </c>
      <c r="Q70" s="1323">
        <f ca="1">C13</f>
        <v>3472445</v>
      </c>
      <c r="R70" s="1323" t="s">
        <v>818</v>
      </c>
    </row>
    <row r="71" spans="1:18" s="1288" customFormat="1" ht="13.5" thickBot="1">
      <c r="A71" s="913" t="s">
        <v>396</v>
      </c>
      <c r="B71" s="914" t="s">
        <v>776</v>
      </c>
      <c r="C71" s="325">
        <f ca="1">ROUND(C68/F71,0)</f>
        <v>-301</v>
      </c>
      <c r="D71" s="915" t="s">
        <v>777</v>
      </c>
      <c r="E71" s="916" t="s">
        <v>778</v>
      </c>
      <c r="F71" s="328">
        <f ca="1">F43</f>
        <v>522.33999999999992</v>
      </c>
      <c r="O71" s="1330" t="s">
        <v>413</v>
      </c>
      <c r="P71" s="1367" t="s">
        <v>874</v>
      </c>
      <c r="Q71" s="1333">
        <f ca="1">C76</f>
        <v>7.0000000000000007E-2</v>
      </c>
      <c r="R71" s="1323"/>
    </row>
    <row r="72" spans="1:18" s="1288" customFormat="1" ht="13.5" thickBot="1">
      <c r="B72" s="683"/>
      <c r="C72" s="683"/>
      <c r="O72" s="1330" t="s">
        <v>407</v>
      </c>
      <c r="P72" s="1322" t="s">
        <v>852</v>
      </c>
      <c r="Q72" s="1333">
        <f>L52</f>
        <v>0</v>
      </c>
      <c r="R72" s="1323"/>
    </row>
    <row r="73" spans="1:18" ht="16.5" thickBot="1">
      <c r="A73" s="1288"/>
      <c r="B73" s="683"/>
      <c r="C73" s="683"/>
      <c r="D73" s="1288"/>
      <c r="E73" s="1288"/>
      <c r="F73" s="1288"/>
      <c r="O73" s="1330" t="s">
        <v>408</v>
      </c>
      <c r="P73" s="1322" t="s">
        <v>855</v>
      </c>
      <c r="Q73" s="1323" t="e">
        <f ca="1">L58</f>
        <v>#DIV/0!</v>
      </c>
      <c r="R73" s="1323" t="s">
        <v>856</v>
      </c>
    </row>
    <row r="74" spans="1:18" ht="13.5" thickBot="1">
      <c r="A74" s="1288"/>
      <c r="B74" s="263" t="s">
        <v>875</v>
      </c>
      <c r="C74" s="1369"/>
      <c r="D74" s="1288"/>
      <c r="E74" s="1288"/>
      <c r="F74" s="1288"/>
      <c r="O74" s="1330" t="s">
        <v>415</v>
      </c>
      <c r="P74" s="1322" t="str">
        <f>K59</f>
        <v>续建工期及建筑物耐用年限下的土地年期修正系数Kn</v>
      </c>
      <c r="Q74" s="1323" t="e">
        <f ca="1">L59</f>
        <v>#DIV/0!</v>
      </c>
      <c r="R74" s="1323" t="s">
        <v>857</v>
      </c>
    </row>
    <row r="75" spans="1:18" ht="13.5" thickBot="1">
      <c r="A75" s="1288"/>
      <c r="B75" s="329" t="s">
        <v>795</v>
      </c>
      <c r="C75" s="330">
        <f ca="1">ROUND(C13*C76,0)</f>
        <v>243071</v>
      </c>
      <c r="D75" s="1288"/>
      <c r="E75" s="1288"/>
      <c r="F75" s="1288"/>
      <c r="K75" s="1305"/>
      <c r="L75" s="1288"/>
      <c r="O75" s="1321" t="s">
        <v>409</v>
      </c>
      <c r="P75" s="1322" t="s">
        <v>838</v>
      </c>
      <c r="Q75" s="1323">
        <f ca="1">Q65+Q66</f>
        <v>5152635</v>
      </c>
      <c r="R75" s="1323" t="s">
        <v>410</v>
      </c>
    </row>
    <row r="76" spans="1:18">
      <c r="B76" s="331" t="s">
        <v>796</v>
      </c>
      <c r="C76" s="332">
        <f ca="1">INDIRECT("'数据-取费表'!j"&amp;$G$1)</f>
        <v>7.0000000000000007E-2</v>
      </c>
      <c r="I76" s="1288"/>
      <c r="J76" s="1288"/>
      <c r="K76" s="1305"/>
      <c r="L76" s="1288"/>
    </row>
    <row r="77" spans="1:18">
      <c r="B77" s="333" t="s">
        <v>797</v>
      </c>
      <c r="C77" s="334"/>
      <c r="I77" s="1288"/>
      <c r="J77" s="1288"/>
      <c r="K77" s="1305"/>
      <c r="L77" s="1288"/>
    </row>
    <row r="78" spans="1:18">
      <c r="B78" s="260" t="s">
        <v>798</v>
      </c>
      <c r="C78" s="335"/>
    </row>
    <row r="79" spans="1:18">
      <c r="B79" s="329" t="s">
        <v>799</v>
      </c>
      <c r="C79" s="264">
        <f ca="1">1-C80</f>
        <v>0.10599999999999998</v>
      </c>
    </row>
    <row r="80" spans="1:18">
      <c r="B80" s="329" t="s">
        <v>800</v>
      </c>
      <c r="C80" s="264">
        <f ca="1">ROUND(C75/C39,3)</f>
        <v>0.89400000000000002</v>
      </c>
    </row>
    <row r="81" spans="2:3">
      <c r="B81" s="260" t="s">
        <v>801</v>
      </c>
      <c r="C81" s="228"/>
    </row>
    <row r="82" spans="2:3">
      <c r="B82" s="263" t="s">
        <v>802</v>
      </c>
      <c r="C82" s="265">
        <f ca="1">1-C83</f>
        <v>0.32599999999999996</v>
      </c>
    </row>
    <row r="83" spans="2:3">
      <c r="B83" s="263" t="s">
        <v>803</v>
      </c>
      <c r="C83" s="264">
        <f ca="1">ROUND(C13/C40,3)</f>
        <v>0.67400000000000004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2425</v>
      </c>
      <c r="B1" s="2580"/>
      <c r="C1" s="2592"/>
      <c r="D1" s="2592"/>
      <c r="E1" s="2581"/>
      <c r="F1" s="2582"/>
      <c r="G1" s="2583"/>
      <c r="J1" s="2586" t="s">
        <v>2304</v>
      </c>
      <c r="K1" s="2587"/>
      <c r="L1" s="2587"/>
      <c r="M1" s="2587"/>
      <c r="N1" s="2587"/>
      <c r="O1" s="2587"/>
      <c r="P1" s="2587"/>
      <c r="Q1" s="2587"/>
      <c r="R1" s="2588"/>
      <c r="S1" s="2589"/>
      <c r="T1" s="2589"/>
      <c r="U1" s="2589"/>
    </row>
    <row r="2" spans="1:22" s="2601" customFormat="1" ht="13.15" customHeight="1">
      <c r="A2" s="1289" t="s">
        <v>2305</v>
      </c>
      <c r="B2" s="2591" t="e">
        <f>IF(D2="——",C40,C40+E2)</f>
        <v>#DIV/0!</v>
      </c>
      <c r="C2" s="2592" t="s">
        <v>2306</v>
      </c>
      <c r="D2" s="3135" t="s">
        <v>3347</v>
      </c>
      <c r="E2" s="3136"/>
      <c r="F2" s="2594"/>
      <c r="G2" s="2595"/>
      <c r="H2" s="2596"/>
      <c r="I2" s="2597"/>
      <c r="J2" s="3430" t="s">
        <v>2307</v>
      </c>
      <c r="K2" s="3431"/>
      <c r="L2" s="2598" t="s">
        <v>2308</v>
      </c>
      <c r="M2" s="2598" t="s">
        <v>2309</v>
      </c>
      <c r="N2" s="2598" t="s">
        <v>2310</v>
      </c>
      <c r="O2" s="2598" t="s">
        <v>2311</v>
      </c>
      <c r="P2" s="2598" t="s">
        <v>2312</v>
      </c>
      <c r="Q2" s="2599" t="s">
        <v>2313</v>
      </c>
      <c r="R2" s="2600" t="s">
        <v>2314</v>
      </c>
      <c r="S2" s="2589"/>
      <c r="T2" s="2589"/>
      <c r="U2" s="2589"/>
      <c r="V2" s="2597"/>
    </row>
    <row r="3" spans="1:22" s="2601" customFormat="1" ht="13.15" customHeight="1">
      <c r="A3" s="2602" t="s">
        <v>2315</v>
      </c>
      <c r="B3" s="2603" t="e">
        <f>ROUND(B2*10000/B4,0)</f>
        <v>#DIV/0!</v>
      </c>
      <c r="C3" s="2592" t="s">
        <v>2316</v>
      </c>
      <c r="D3" s="2592"/>
      <c r="E3" s="2593"/>
      <c r="F3" s="2594"/>
      <c r="G3" s="2595"/>
      <c r="H3" s="2596"/>
      <c r="I3" s="2597"/>
      <c r="J3" s="3432" t="s">
        <v>2317</v>
      </c>
      <c r="K3" s="3433"/>
      <c r="L3" s="2604"/>
      <c r="M3" s="2604"/>
      <c r="N3" s="2604"/>
      <c r="O3" s="2604"/>
      <c r="P3" s="2604"/>
      <c r="Q3" s="2605"/>
      <c r="R3" s="2606">
        <f>SUM(L3:Q3)</f>
        <v>0</v>
      </c>
      <c r="S3" s="2589"/>
      <c r="T3" s="2589"/>
      <c r="U3" s="2589"/>
      <c r="V3" s="2597"/>
    </row>
    <row r="4" spans="1:22" s="2601" customFormat="1" ht="13.15" customHeight="1">
      <c r="A4" s="2607" t="s">
        <v>2318</v>
      </c>
      <c r="B4" s="2608"/>
      <c r="C4" s="2592"/>
      <c r="D4" s="2592"/>
      <c r="E4" s="2593"/>
      <c r="F4" s="2594"/>
      <c r="G4" s="2595"/>
      <c r="H4" s="2596"/>
      <c r="I4" s="2597"/>
      <c r="J4" s="3432" t="s">
        <v>2319</v>
      </c>
      <c r="K4" s="3433"/>
      <c r="L4" s="2609"/>
      <c r="M4" s="2609"/>
      <c r="N4" s="2609"/>
      <c r="O4" s="2609"/>
      <c r="P4" s="2609"/>
      <c r="Q4" s="2610"/>
      <c r="R4" s="2611">
        <f>SUM(L4:Q4)</f>
        <v>0</v>
      </c>
      <c r="S4" s="2589"/>
      <c r="T4" s="2589"/>
      <c r="U4" s="2589"/>
      <c r="V4" s="2597"/>
    </row>
    <row r="5" spans="1:22" s="2601" customFormat="1" ht="13.15" customHeight="1" thickBot="1">
      <c r="A5" s="2612" t="s">
        <v>2320</v>
      </c>
      <c r="B5" s="2613"/>
      <c r="C5" s="2592"/>
      <c r="D5" s="2614"/>
      <c r="E5" s="2594"/>
      <c r="F5" s="2594"/>
      <c r="G5" s="2595"/>
      <c r="H5" s="2596"/>
      <c r="I5" s="2597"/>
      <c r="J5" s="2615" t="s">
        <v>2321</v>
      </c>
      <c r="K5" s="2616"/>
      <c r="L5" s="2616"/>
      <c r="M5" s="2617"/>
      <c r="N5" s="2617"/>
      <c r="O5" s="2617"/>
      <c r="P5" s="2617"/>
      <c r="Q5" s="2617"/>
      <c r="R5" s="2600">
        <f>SUM(R14,R19,R24,R25,R27,R28)</f>
        <v>0</v>
      </c>
      <c r="S5" s="2589"/>
      <c r="T5" s="2589" t="s">
        <v>2322</v>
      </c>
      <c r="U5" s="2589" t="e">
        <f>ROUND(R5*10000/365/R3,1)</f>
        <v>#DIV/0!</v>
      </c>
      <c r="V5" s="2597"/>
    </row>
    <row r="6" spans="1:22" s="2601" customFormat="1" ht="13.15" customHeight="1" thickBot="1">
      <c r="A6" s="3438" t="s">
        <v>2323</v>
      </c>
      <c r="B6" s="3439"/>
      <c r="C6" s="3440"/>
      <c r="D6" s="2618"/>
      <c r="E6" s="2619"/>
      <c r="F6" s="2620"/>
      <c r="G6" s="2621"/>
      <c r="H6" s="2596"/>
      <c r="I6" s="2597"/>
      <c r="J6" s="3424">
        <v>1</v>
      </c>
      <c r="K6" s="3425" t="s">
        <v>2324</v>
      </c>
      <c r="L6" s="2622" t="s">
        <v>2325</v>
      </c>
      <c r="M6" s="2623" t="s">
        <v>2326</v>
      </c>
      <c r="N6" s="2623" t="s">
        <v>2327</v>
      </c>
      <c r="O6" s="2623" t="s">
        <v>2328</v>
      </c>
      <c r="P6" s="2623" t="s">
        <v>2329</v>
      </c>
      <c r="Q6" s="2623" t="s">
        <v>2330</v>
      </c>
      <c r="R6" s="2606" t="s">
        <v>2331</v>
      </c>
      <c r="S6" s="2589"/>
      <c r="T6" s="2589" t="s">
        <v>2332</v>
      </c>
      <c r="U6" s="2589"/>
      <c r="V6" s="2597"/>
    </row>
    <row r="7" spans="1:22" s="2601" customFormat="1" ht="13.15" customHeight="1">
      <c r="A7" s="2624" t="s">
        <v>2333</v>
      </c>
      <c r="B7" s="2625"/>
      <c r="C7" s="2626"/>
      <c r="D7" s="2627">
        <f>SUM(D9,D10,D11,D17,0)</f>
        <v>0</v>
      </c>
      <c r="E7" s="2628" t="e">
        <f>E9+E10+E11+E17</f>
        <v>#DIV/0!</v>
      </c>
      <c r="F7" s="2629"/>
      <c r="G7" s="2630"/>
      <c r="H7" s="2596"/>
      <c r="I7" s="2597"/>
      <c r="J7" s="3424"/>
      <c r="K7" s="3426"/>
      <c r="L7" s="2631" t="s">
        <v>2334</v>
      </c>
      <c r="M7" s="2632"/>
      <c r="N7" s="2608"/>
      <c r="O7" s="2633"/>
      <c r="P7" s="2633"/>
      <c r="Q7" s="2634">
        <v>365</v>
      </c>
      <c r="R7" s="2635">
        <f>ROUND(M7*N7*O7*P7*Q7/10000,0)</f>
        <v>0</v>
      </c>
      <c r="S7" s="2589"/>
      <c r="T7" s="2589" t="s">
        <v>2335</v>
      </c>
      <c r="U7" s="2589"/>
      <c r="V7" s="2597"/>
    </row>
    <row r="8" spans="1:22" s="2601" customFormat="1" ht="13.15" customHeight="1">
      <c r="A8" s="2636" t="s">
        <v>2336</v>
      </c>
      <c r="B8" s="3441" t="s">
        <v>2337</v>
      </c>
      <c r="C8" s="3442"/>
      <c r="D8" s="2637" t="s">
        <v>2338</v>
      </c>
      <c r="E8" s="2638" t="s">
        <v>2339</v>
      </c>
      <c r="F8" s="2639" t="s">
        <v>2340</v>
      </c>
      <c r="G8" s="2640"/>
      <c r="H8" s="2596"/>
      <c r="I8" s="2597"/>
      <c r="J8" s="3424"/>
      <c r="K8" s="3426"/>
      <c r="L8" s="2631" t="s">
        <v>2341</v>
      </c>
      <c r="M8" s="2632"/>
      <c r="N8" s="2608"/>
      <c r="O8" s="2633"/>
      <c r="P8" s="2633"/>
      <c r="Q8" s="2634">
        <v>365</v>
      </c>
      <c r="R8" s="2635">
        <f t="shared" ref="R8:R13" si="0">ROUND(M8*N8*O8*P8*Q8/10000,0)</f>
        <v>0</v>
      </c>
      <c r="S8" s="2589"/>
      <c r="T8" s="2589" t="s">
        <v>2342</v>
      </c>
      <c r="U8" s="2589"/>
      <c r="V8" s="2597"/>
    </row>
    <row r="9" spans="1:22" s="2601" customFormat="1" ht="13.15" customHeight="1">
      <c r="A9" s="2636">
        <v>1</v>
      </c>
      <c r="B9" s="3441" t="s">
        <v>2343</v>
      </c>
      <c r="C9" s="3442"/>
      <c r="D9" s="2637">
        <f>ROUND(D6*E9,0)</f>
        <v>0</v>
      </c>
      <c r="E9" s="2641"/>
      <c r="F9" s="2642" t="s">
        <v>2344</v>
      </c>
      <c r="G9" s="2621"/>
      <c r="H9" s="2596"/>
      <c r="I9" s="2597"/>
      <c r="J9" s="3424"/>
      <c r="K9" s="3426"/>
      <c r="L9" s="2631" t="s">
        <v>2345</v>
      </c>
      <c r="M9" s="2632"/>
      <c r="N9" s="2608"/>
      <c r="O9" s="2633"/>
      <c r="P9" s="2633"/>
      <c r="Q9" s="2634">
        <v>365</v>
      </c>
      <c r="R9" s="2635">
        <f t="shared" si="0"/>
        <v>0</v>
      </c>
      <c r="S9" s="2589"/>
      <c r="T9" s="2589"/>
      <c r="U9" s="2589"/>
      <c r="V9" s="2597"/>
    </row>
    <row r="10" spans="1:22" s="2601" customFormat="1" ht="13.15" customHeight="1">
      <c r="A10" s="2636">
        <v>2</v>
      </c>
      <c r="B10" s="3441" t="s">
        <v>2346</v>
      </c>
      <c r="C10" s="3442"/>
      <c r="D10" s="2637">
        <f>ROUND(D6*E10,0)</f>
        <v>0</v>
      </c>
      <c r="E10" s="2641"/>
      <c r="F10" s="2642" t="s">
        <v>2347</v>
      </c>
      <c r="G10" s="2621"/>
      <c r="H10" s="2596"/>
      <c r="I10" s="2597"/>
      <c r="J10" s="3424"/>
      <c r="K10" s="3426"/>
      <c r="L10" s="2631" t="s">
        <v>2348</v>
      </c>
      <c r="M10" s="2632"/>
      <c r="N10" s="2608"/>
      <c r="O10" s="2633"/>
      <c r="P10" s="2633"/>
      <c r="Q10" s="2634">
        <v>365</v>
      </c>
      <c r="R10" s="2635">
        <f t="shared" si="0"/>
        <v>0</v>
      </c>
      <c r="S10" s="2589"/>
      <c r="T10" s="2589"/>
      <c r="U10" s="2589"/>
      <c r="V10" s="2597"/>
    </row>
    <row r="11" spans="1:22" s="2601" customFormat="1" ht="13.15" customHeight="1">
      <c r="A11" s="2636">
        <v>3</v>
      </c>
      <c r="B11" s="3441" t="s">
        <v>2349</v>
      </c>
      <c r="C11" s="3442"/>
      <c r="D11" s="2637">
        <f>D12+D14+D15+D16</f>
        <v>0</v>
      </c>
      <c r="E11" s="2643" t="e">
        <f>D11/D6</f>
        <v>#DIV/0!</v>
      </c>
      <c r="F11" s="2639"/>
      <c r="G11" s="2640"/>
      <c r="H11" s="2596"/>
      <c r="I11" s="2597"/>
      <c r="J11" s="3424"/>
      <c r="K11" s="3426"/>
      <c r="L11" s="2631" t="s">
        <v>2350</v>
      </c>
      <c r="M11" s="2632"/>
      <c r="N11" s="2608"/>
      <c r="O11" s="2633"/>
      <c r="P11" s="2633"/>
      <c r="Q11" s="2634">
        <v>365</v>
      </c>
      <c r="R11" s="2635">
        <f t="shared" si="0"/>
        <v>0</v>
      </c>
      <c r="S11" s="2589"/>
      <c r="T11" s="2589"/>
      <c r="U11" s="2589"/>
      <c r="V11" s="2597"/>
    </row>
    <row r="12" spans="1:22" s="2601" customFormat="1" ht="13.15" customHeight="1">
      <c r="A12" s="2644" t="s">
        <v>2351</v>
      </c>
      <c r="B12" s="3434" t="s">
        <v>2352</v>
      </c>
      <c r="C12" s="3435"/>
      <c r="D12" s="2645">
        <f>ROUND(D13*1.2%*(1-30%),0)</f>
        <v>0</v>
      </c>
      <c r="E12" s="2646">
        <v>1.2E-2</v>
      </c>
      <c r="F12" s="2639" t="s">
        <v>2353</v>
      </c>
      <c r="G12" s="2640"/>
      <c r="H12" s="2596"/>
      <c r="I12" s="2597"/>
      <c r="J12" s="3424"/>
      <c r="K12" s="3426"/>
      <c r="L12" s="2631" t="s">
        <v>2354</v>
      </c>
      <c r="M12" s="2632"/>
      <c r="N12" s="2608"/>
      <c r="O12" s="2633"/>
      <c r="P12" s="2633"/>
      <c r="Q12" s="2634">
        <v>365</v>
      </c>
      <c r="R12" s="2635">
        <f t="shared" si="0"/>
        <v>0</v>
      </c>
      <c r="S12" s="2589"/>
      <c r="T12" s="2589"/>
      <c r="U12" s="2589"/>
      <c r="V12" s="2597"/>
    </row>
    <row r="13" spans="1:22" s="2601" customFormat="1" ht="13.15" customHeight="1">
      <c r="A13" s="2644"/>
      <c r="B13" s="2647"/>
      <c r="C13" s="2648" t="s">
        <v>2355</v>
      </c>
      <c r="D13" s="2649"/>
      <c r="E13" s="2650"/>
      <c r="F13" s="2639"/>
      <c r="G13" s="2640"/>
      <c r="H13" s="2596"/>
      <c r="I13" s="2597"/>
      <c r="J13" s="3424"/>
      <c r="K13" s="3426"/>
      <c r="L13" s="2631" t="s">
        <v>2356</v>
      </c>
      <c r="M13" s="2632"/>
      <c r="N13" s="2608"/>
      <c r="O13" s="2633"/>
      <c r="P13" s="2633"/>
      <c r="Q13" s="2634">
        <v>365</v>
      </c>
      <c r="R13" s="2635">
        <f t="shared" si="0"/>
        <v>0</v>
      </c>
      <c r="S13" s="2589"/>
      <c r="T13" s="2589"/>
      <c r="U13" s="2589"/>
      <c r="V13" s="2597"/>
    </row>
    <row r="14" spans="1:22" s="2601" customFormat="1" ht="13.15" customHeight="1">
      <c r="A14" s="2644" t="s">
        <v>2357</v>
      </c>
      <c r="B14" s="3434" t="s">
        <v>2358</v>
      </c>
      <c r="C14" s="3435"/>
      <c r="D14" s="2645">
        <f>ROUND(E14*B5/10000,0)</f>
        <v>0</v>
      </c>
      <c r="E14" s="2634"/>
      <c r="F14" s="2639" t="s">
        <v>2359</v>
      </c>
      <c r="G14" s="2640"/>
      <c r="H14" s="2596"/>
      <c r="I14" s="2597"/>
      <c r="J14" s="3424"/>
      <c r="K14" s="3427"/>
      <c r="L14" s="2651" t="s">
        <v>2360</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2361</v>
      </c>
      <c r="B15" s="3434" t="s">
        <v>2362</v>
      </c>
      <c r="C15" s="3435"/>
      <c r="D15" s="2645">
        <f>ROUND(D6*E15,0)</f>
        <v>0</v>
      </c>
      <c r="E15" s="2646">
        <v>5.5E-2</v>
      </c>
      <c r="F15" s="2639" t="s">
        <v>2363</v>
      </c>
      <c r="G15" s="2621"/>
      <c r="H15" s="2596"/>
      <c r="I15" s="2597"/>
      <c r="J15" s="3424">
        <v>2</v>
      </c>
      <c r="K15" s="3425" t="s">
        <v>2364</v>
      </c>
      <c r="L15" s="2631" t="s">
        <v>2365</v>
      </c>
      <c r="M15" s="2632" t="s">
        <v>2366</v>
      </c>
      <c r="N15" s="2632" t="s">
        <v>2367</v>
      </c>
      <c r="O15" s="2633" t="s">
        <v>2368</v>
      </c>
      <c r="P15" s="2633" t="s">
        <v>2330</v>
      </c>
      <c r="Q15" s="2608" t="s">
        <v>2369</v>
      </c>
      <c r="R15" s="2655" t="s">
        <v>2331</v>
      </c>
      <c r="S15" s="2589"/>
      <c r="T15" s="2589"/>
      <c r="U15" s="2589"/>
      <c r="V15" s="2597"/>
    </row>
    <row r="16" spans="1:22" s="2601" customFormat="1" ht="13.15" customHeight="1">
      <c r="A16" s="2644" t="s">
        <v>2370</v>
      </c>
      <c r="B16" s="3434" t="s">
        <v>2371</v>
      </c>
      <c r="C16" s="3435"/>
      <c r="D16" s="2656">
        <f>D6*E16</f>
        <v>0</v>
      </c>
      <c r="E16" s="2657"/>
      <c r="F16" s="2642" t="s">
        <v>2372</v>
      </c>
      <c r="G16" s="2621"/>
      <c r="H16" s="2596"/>
      <c r="I16" s="2597"/>
      <c r="J16" s="3424"/>
      <c r="K16" s="3426"/>
      <c r="L16" s="2631" t="s">
        <v>2373</v>
      </c>
      <c r="M16" s="2632"/>
      <c r="N16" s="2632"/>
      <c r="O16" s="2633"/>
      <c r="P16" s="2634">
        <v>365</v>
      </c>
      <c r="Q16" s="2608"/>
      <c r="R16" s="2655">
        <f>ROUND(M16*N16*O16*P16/10000,0)</f>
        <v>0</v>
      </c>
      <c r="S16" s="2589"/>
      <c r="T16" s="2589"/>
      <c r="U16" s="2589"/>
      <c r="V16" s="2597"/>
    </row>
    <row r="17" spans="1:22" s="2601" customFormat="1" ht="13.15" customHeight="1" thickBot="1">
      <c r="A17" s="2658">
        <v>4</v>
      </c>
      <c r="B17" s="3436" t="s">
        <v>2374</v>
      </c>
      <c r="C17" s="3437"/>
      <c r="D17" s="2659">
        <f>ROUND(D6*E17,0)</f>
        <v>0</v>
      </c>
      <c r="E17" s="2660"/>
      <c r="F17" s="2661" t="s">
        <v>2375</v>
      </c>
      <c r="G17" s="2621"/>
      <c r="H17" s="2596"/>
      <c r="I17" s="2597"/>
      <c r="J17" s="3424"/>
      <c r="K17" s="3426"/>
      <c r="L17" s="2631" t="s">
        <v>2376</v>
      </c>
      <c r="M17" s="2632"/>
      <c r="N17" s="2632"/>
      <c r="O17" s="2633"/>
      <c r="P17" s="2634">
        <v>365</v>
      </c>
      <c r="Q17" s="2608"/>
      <c r="R17" s="2655">
        <f>ROUND(M17*N17*O17*P17/10000,0)</f>
        <v>0</v>
      </c>
      <c r="S17" s="2589"/>
      <c r="T17" s="2589"/>
      <c r="U17" s="2589"/>
      <c r="V17" s="2597"/>
    </row>
    <row r="18" spans="1:22" s="2601" customFormat="1" ht="13.15" customHeight="1" thickBot="1">
      <c r="A18" s="2624" t="s">
        <v>2377</v>
      </c>
      <c r="B18" s="2625"/>
      <c r="C18" s="2625"/>
      <c r="D18" s="2662">
        <f>ROUND(D6*E18,0)</f>
        <v>0</v>
      </c>
      <c r="E18" s="2663"/>
      <c r="F18" s="2664" t="s">
        <v>2378</v>
      </c>
      <c r="G18" s="2621"/>
      <c r="H18" s="2596"/>
      <c r="I18" s="2597"/>
      <c r="J18" s="3424"/>
      <c r="K18" s="3426"/>
      <c r="L18" s="2631" t="s">
        <v>2379</v>
      </c>
      <c r="M18" s="2632"/>
      <c r="N18" s="2632"/>
      <c r="O18" s="2633"/>
      <c r="P18" s="2634">
        <v>365</v>
      </c>
      <c r="Q18" s="2608"/>
      <c r="R18" s="2655">
        <f>ROUND(M18*N18*O18*P18/10000,0)</f>
        <v>0</v>
      </c>
      <c r="S18" s="2589"/>
      <c r="T18" s="2589"/>
      <c r="U18" s="2589"/>
      <c r="V18" s="2597"/>
    </row>
    <row r="19" spans="1:22" s="2601" customFormat="1" ht="13.15" customHeight="1" thickBot="1">
      <c r="A19" s="2665" t="s">
        <v>2380</v>
      </c>
      <c r="B19" s="2619"/>
      <c r="C19" s="2619"/>
      <c r="D19" s="2619"/>
      <c r="E19" s="2619"/>
      <c r="F19" s="2620"/>
      <c r="G19" s="2640"/>
      <c r="H19" s="2596"/>
      <c r="I19" s="2597"/>
      <c r="J19" s="3424"/>
      <c r="K19" s="3427"/>
      <c r="L19" s="2651" t="s">
        <v>2360</v>
      </c>
      <c r="M19" s="2652"/>
      <c r="N19" s="2652">
        <f>SUM(N16:N18)</f>
        <v>0</v>
      </c>
      <c r="O19" s="2653"/>
      <c r="P19" s="2666" t="s">
        <v>2424</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24">
        <v>3</v>
      </c>
      <c r="K20" s="3425" t="s">
        <v>2381</v>
      </c>
      <c r="L20" s="2631" t="s">
        <v>2382</v>
      </c>
      <c r="M20" s="2632" t="s">
        <v>2383</v>
      </c>
      <c r="N20" s="2669" t="s">
        <v>2384</v>
      </c>
      <c r="O20" s="2633" t="s">
        <v>2385</v>
      </c>
      <c r="P20" s="2634" t="s">
        <v>2386</v>
      </c>
      <c r="Q20" s="2608" t="s">
        <v>2387</v>
      </c>
      <c r="R20" s="2655" t="s">
        <v>2388</v>
      </c>
      <c r="S20" s="2589"/>
      <c r="T20" s="2589"/>
      <c r="U20" s="2589"/>
      <c r="V20" s="2597"/>
    </row>
    <row r="21" spans="1:22" s="2601" customFormat="1" ht="13.15" customHeight="1">
      <c r="A21" s="2624"/>
      <c r="B21" s="2625"/>
      <c r="C21" s="2670" t="s">
        <v>2389</v>
      </c>
      <c r="D21" s="2671" t="s">
        <v>2390</v>
      </c>
      <c r="E21" s="2672" t="s">
        <v>2391</v>
      </c>
      <c r="F21" s="2668"/>
      <c r="G21" s="2640"/>
      <c r="H21" s="2596"/>
      <c r="I21" s="2597"/>
      <c r="J21" s="3424"/>
      <c r="K21" s="3426"/>
      <c r="L21" s="2631" t="s">
        <v>2392</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2393</v>
      </c>
      <c r="D22" s="2675" t="s">
        <v>2394</v>
      </c>
      <c r="E22" s="2676" t="s">
        <v>2395</v>
      </c>
      <c r="F22" s="2668"/>
      <c r="G22" s="2589"/>
      <c r="H22" s="2596"/>
      <c r="I22" s="2597"/>
      <c r="J22" s="3424"/>
      <c r="K22" s="3426"/>
      <c r="L22" s="2631" t="s">
        <v>2396</v>
      </c>
      <c r="M22" s="2632"/>
      <c r="N22" s="2632"/>
      <c r="O22" s="2633"/>
      <c r="P22" s="2634">
        <v>365</v>
      </c>
      <c r="Q22" s="2608"/>
      <c r="R22" s="2673">
        <f>ROUND(M22*N22*O22*P22/10000,0)</f>
        <v>0</v>
      </c>
      <c r="S22" s="2589"/>
      <c r="T22" s="2589"/>
      <c r="U22" s="2589"/>
      <c r="V22" s="2597"/>
    </row>
    <row r="23" spans="1:22" s="2601" customFormat="1" ht="13.15" customHeight="1">
      <c r="A23" s="2677">
        <v>1</v>
      </c>
      <c r="B23" s="2678" t="s">
        <v>2397</v>
      </c>
      <c r="C23" s="2679">
        <f>D6</f>
        <v>0</v>
      </c>
      <c r="D23" s="2680">
        <f>C23*(1+D24)</f>
        <v>0</v>
      </c>
      <c r="E23" s="2681">
        <f>D23*(1+E24)</f>
        <v>0</v>
      </c>
      <c r="F23" s="2682"/>
      <c r="G23" s="2683"/>
      <c r="H23" s="2596"/>
      <c r="I23" s="2597"/>
      <c r="J23" s="3424"/>
      <c r="K23" s="3426"/>
      <c r="L23" s="2631" t="s">
        <v>2398</v>
      </c>
      <c r="M23" s="2632"/>
      <c r="N23" s="2632"/>
      <c r="O23" s="2633"/>
      <c r="P23" s="2634">
        <v>365</v>
      </c>
      <c r="Q23" s="2608"/>
      <c r="R23" s="2673">
        <f>ROUND(M23*N23*O23*P23/10000,0)</f>
        <v>0</v>
      </c>
      <c r="S23" s="2589"/>
      <c r="T23" s="2589"/>
      <c r="U23" s="2589"/>
      <c r="V23" s="2597"/>
    </row>
    <row r="24" spans="1:22" s="2601" customFormat="1" ht="13.15" customHeight="1">
      <c r="A24" s="2684"/>
      <c r="B24" s="2685" t="s">
        <v>2399</v>
      </c>
      <c r="C24" s="2686"/>
      <c r="D24" s="2687"/>
      <c r="E24" s="2688"/>
      <c r="F24" s="2689"/>
      <c r="G24" s="2683"/>
      <c r="H24" s="2596"/>
      <c r="I24" s="2597"/>
      <c r="J24" s="3424"/>
      <c r="K24" s="3427"/>
      <c r="L24" s="2651" t="s">
        <v>2360</v>
      </c>
      <c r="M24" s="2652">
        <f>SUM(M21:M23)</f>
        <v>0</v>
      </c>
      <c r="N24" s="2652"/>
      <c r="O24" s="2653"/>
      <c r="P24" s="2666" t="s">
        <v>2424</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2400</v>
      </c>
      <c r="L25" s="2692"/>
      <c r="M25" s="2692"/>
      <c r="N25" s="2692"/>
      <c r="O25" s="2692"/>
      <c r="P25" s="2693"/>
      <c r="Q25" s="2694">
        <v>0</v>
      </c>
      <c r="R25" s="2667">
        <f>ROUND(R14*Q25,0)</f>
        <v>0</v>
      </c>
      <c r="S25" s="2589"/>
      <c r="T25" s="2589"/>
      <c r="U25" s="2589"/>
      <c r="V25" s="2695"/>
    </row>
    <row r="26" spans="1:22" s="2696" customFormat="1" ht="13.15" customHeight="1">
      <c r="A26" s="2677">
        <v>2</v>
      </c>
      <c r="B26" s="2678" t="s">
        <v>2401</v>
      </c>
      <c r="C26" s="2679">
        <f>D7</f>
        <v>0</v>
      </c>
      <c r="D26" s="2680">
        <f>D23*D27</f>
        <v>0</v>
      </c>
      <c r="E26" s="2681">
        <f>E23*E27</f>
        <v>0</v>
      </c>
      <c r="F26" s="2682"/>
      <c r="G26" s="2683"/>
      <c r="H26" s="2596"/>
      <c r="I26" s="2597"/>
      <c r="J26" s="3428">
        <v>5</v>
      </c>
      <c r="K26" s="2697" t="s">
        <v>2402</v>
      </c>
      <c r="L26" s="2698"/>
      <c r="M26" s="2699"/>
      <c r="N26" s="2700" t="s">
        <v>2403</v>
      </c>
      <c r="O26" s="2700" t="s">
        <v>2404</v>
      </c>
      <c r="P26" s="2701" t="s">
        <v>2405</v>
      </c>
      <c r="Q26" s="2701" t="s">
        <v>2406</v>
      </c>
      <c r="R26" s="2606" t="s">
        <v>2331</v>
      </c>
      <c r="S26" s="2640"/>
      <c r="T26" s="2640"/>
      <c r="U26" s="2640"/>
      <c r="V26" s="2695"/>
    </row>
    <row r="27" spans="1:22" s="2601" customFormat="1" ht="13.15" customHeight="1">
      <c r="A27" s="2684"/>
      <c r="B27" s="2685" t="s">
        <v>2407</v>
      </c>
      <c r="C27" s="2702" t="e">
        <f>E7</f>
        <v>#DIV/0!</v>
      </c>
      <c r="D27" s="2687"/>
      <c r="E27" s="2688"/>
      <c r="F27" s="2689"/>
      <c r="G27" s="2683"/>
      <c r="H27" s="2703"/>
      <c r="I27" s="2695"/>
      <c r="J27" s="3429"/>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2408</v>
      </c>
      <c r="F28" s="2689"/>
      <c r="G28" s="2589"/>
      <c r="H28" s="2703"/>
      <c r="I28" s="2695"/>
      <c r="J28" s="2709">
        <v>6</v>
      </c>
      <c r="K28" s="2710" t="s">
        <v>2409</v>
      </c>
      <c r="L28" s="2711" t="s">
        <v>2410</v>
      </c>
      <c r="M28" s="2712"/>
      <c r="N28" s="2711" t="s">
        <v>2411</v>
      </c>
      <c r="O28" s="2713"/>
      <c r="P28" s="2711" t="s">
        <v>2412</v>
      </c>
      <c r="Q28" s="2714">
        <v>1.4999999999999999E-2</v>
      </c>
      <c r="R28" s="2715"/>
      <c r="S28" s="2589"/>
      <c r="T28" s="2589"/>
      <c r="U28" s="2589"/>
      <c r="V28" s="2695"/>
    </row>
    <row r="29" spans="1:22" s="2696" customFormat="1" ht="13.15" customHeight="1">
      <c r="A29" s="2677">
        <v>3</v>
      </c>
      <c r="B29" s="2678" t="s">
        <v>2413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2407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2414</v>
      </c>
      <c r="K31" s="2587"/>
      <c r="L31" s="2587"/>
      <c r="M31" s="2587"/>
      <c r="N31" s="2587"/>
      <c r="O31" s="2587"/>
      <c r="P31" s="2587"/>
      <c r="Q31" s="2587"/>
      <c r="R31" s="2588"/>
      <c r="S31" s="2589"/>
      <c r="T31" s="2589"/>
      <c r="U31" s="2589"/>
      <c r="V31" s="2695"/>
    </row>
    <row r="32" spans="1:22" s="2696" customFormat="1" ht="13.15" customHeight="1">
      <c r="A32" s="2677">
        <v>4</v>
      </c>
      <c r="B32" s="2678" t="s">
        <v>2415</v>
      </c>
      <c r="C32" s="2679">
        <f>C23-C26-C29</f>
        <v>0</v>
      </c>
      <c r="D32" s="2680">
        <f>D23-D26-D29</f>
        <v>0</v>
      </c>
      <c r="E32" s="2681">
        <f>E23-E26-E29</f>
        <v>0</v>
      </c>
      <c r="F32" s="2682"/>
      <c r="G32" s="2589"/>
      <c r="H32" s="2596"/>
      <c r="I32" s="2597"/>
      <c r="J32" s="3430" t="s">
        <v>2307</v>
      </c>
      <c r="K32" s="3431"/>
      <c r="L32" s="2598" t="s">
        <v>2308</v>
      </c>
      <c r="M32" s="2598" t="s">
        <v>2309</v>
      </c>
      <c r="N32" s="2598" t="s">
        <v>2310</v>
      </c>
      <c r="O32" s="2598" t="s">
        <v>2311</v>
      </c>
      <c r="P32" s="2598" t="s">
        <v>2312</v>
      </c>
      <c r="Q32" s="2599" t="s">
        <v>2313</v>
      </c>
      <c r="R32" s="2718" t="s">
        <v>2314</v>
      </c>
      <c r="S32" s="2589"/>
      <c r="T32" s="2589"/>
      <c r="U32" s="2589"/>
      <c r="V32" s="2695"/>
    </row>
    <row r="33" spans="1:23" s="2601" customFormat="1" ht="13.15" customHeight="1">
      <c r="A33" s="2677"/>
      <c r="B33" s="2678"/>
      <c r="C33" s="2679"/>
      <c r="D33" s="2719"/>
      <c r="E33" s="2720"/>
      <c r="F33" s="2682"/>
      <c r="G33" s="2589"/>
      <c r="H33" s="2703"/>
      <c r="I33" s="2695"/>
      <c r="J33" s="3432" t="s">
        <v>2317</v>
      </c>
      <c r="K33" s="3433"/>
      <c r="L33" s="2604"/>
      <c r="M33" s="2604"/>
      <c r="N33" s="2604"/>
      <c r="O33" s="2604"/>
      <c r="P33" s="2604"/>
      <c r="Q33" s="2605"/>
      <c r="R33" s="2721">
        <f>SUM(L33:Q33)</f>
        <v>0</v>
      </c>
      <c r="S33" s="2589"/>
      <c r="T33" s="2589"/>
      <c r="U33" s="2589"/>
      <c r="V33" s="2597"/>
    </row>
    <row r="34" spans="1:23" s="2601" customFormat="1" ht="13.15" customHeight="1">
      <c r="A34" s="2677">
        <v>5</v>
      </c>
      <c r="B34" s="2678" t="s">
        <v>2416</v>
      </c>
      <c r="C34" s="2722"/>
      <c r="D34" s="2723"/>
      <c r="E34" s="2724"/>
      <c r="F34" s="2682"/>
      <c r="G34" s="2589"/>
      <c r="H34" s="2703"/>
      <c r="I34" s="2695"/>
      <c r="J34" s="3432" t="s">
        <v>2319</v>
      </c>
      <c r="K34" s="3433"/>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2417</v>
      </c>
      <c r="C35" s="2726"/>
      <c r="D35" s="2727"/>
      <c r="E35" s="2728"/>
      <c r="F35" s="2682"/>
      <c r="G35" s="2729"/>
      <c r="H35" s="2596"/>
      <c r="I35" s="2695"/>
      <c r="J35" s="2615" t="s">
        <v>2321</v>
      </c>
      <c r="K35" s="2616"/>
      <c r="L35" s="2616"/>
      <c r="M35" s="2617"/>
      <c r="N35" s="2617"/>
      <c r="O35" s="2617"/>
      <c r="P35" s="2617"/>
      <c r="Q35" s="2617"/>
      <c r="R35" s="2730">
        <f>R40+R41+R43</f>
        <v>0</v>
      </c>
      <c r="S35" s="2589"/>
      <c r="T35" s="2589" t="s">
        <v>2322</v>
      </c>
      <c r="U35" s="2589"/>
      <c r="V35" s="2597"/>
    </row>
    <row r="36" spans="1:23" s="2601" customFormat="1" ht="13.15" customHeight="1" thickBot="1">
      <c r="A36" s="2677">
        <v>7</v>
      </c>
      <c r="B36" s="2731" t="s">
        <v>2418</v>
      </c>
      <c r="C36" s="2732"/>
      <c r="D36" s="2733"/>
      <c r="E36" s="2734"/>
      <c r="F36" s="2735">
        <f>C36+D36+E36</f>
        <v>0</v>
      </c>
      <c r="G36" s="2589"/>
      <c r="H36" s="2596"/>
      <c r="I36" s="2597"/>
      <c r="J36" s="3424">
        <v>1</v>
      </c>
      <c r="K36" s="3425" t="s">
        <v>2419</v>
      </c>
      <c r="L36" s="2622"/>
      <c r="M36" s="2623"/>
      <c r="N36" s="2623"/>
      <c r="O36" s="2623"/>
      <c r="P36" s="2623"/>
      <c r="Q36" s="2623"/>
      <c r="R36" s="2606" t="s">
        <v>2331</v>
      </c>
      <c r="S36" s="2589"/>
      <c r="T36" s="2589" t="s">
        <v>2332</v>
      </c>
      <c r="U36" s="2589"/>
      <c r="V36" s="2597"/>
    </row>
    <row r="37" spans="1:23" s="2601" customFormat="1" ht="13.15" customHeight="1">
      <c r="A37" s="2677"/>
      <c r="B37" s="2678"/>
      <c r="C37" s="2678"/>
      <c r="D37" s="2678"/>
      <c r="E37" s="2678"/>
      <c r="F37" s="2682"/>
      <c r="G37" s="2589"/>
      <c r="H37" s="2596"/>
      <c r="I37" s="2597"/>
      <c r="J37" s="3424"/>
      <c r="K37" s="3426"/>
      <c r="L37" s="2631"/>
      <c r="M37" s="2632"/>
      <c r="N37" s="2608"/>
      <c r="O37" s="2633"/>
      <c r="P37" s="2633"/>
      <c r="Q37" s="2634"/>
      <c r="R37" s="2635"/>
      <c r="S37" s="2589"/>
      <c r="T37" s="2589" t="s">
        <v>2335</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24"/>
      <c r="K38" s="3426"/>
      <c r="L38" s="2631"/>
      <c r="M38" s="2632"/>
      <c r="N38" s="2608"/>
      <c r="O38" s="2633"/>
      <c r="P38" s="2633"/>
      <c r="Q38" s="2634"/>
      <c r="R38" s="2635"/>
      <c r="S38" s="2589"/>
      <c r="T38" s="2589" t="s">
        <v>2342</v>
      </c>
      <c r="U38" s="2589"/>
      <c r="V38" s="2597"/>
    </row>
    <row r="39" spans="1:23" s="2601" customFormat="1" ht="13.15" customHeight="1">
      <c r="A39" s="2677">
        <v>9</v>
      </c>
      <c r="B39" s="2678" t="s">
        <v>2420</v>
      </c>
      <c r="C39" s="2645" t="e">
        <f>C38</f>
        <v>#DIV/0!</v>
      </c>
      <c r="D39" s="2678">
        <f>D38/(1+D34)^C36</f>
        <v>0</v>
      </c>
      <c r="E39" s="2678">
        <f>E38/(1+E34)^(C36+D36)</f>
        <v>0</v>
      </c>
      <c r="F39" s="2682"/>
      <c r="G39" s="2597"/>
      <c r="H39" s="2596"/>
      <c r="I39" s="2597"/>
      <c r="J39" s="3424"/>
      <c r="K39" s="3426"/>
      <c r="L39" s="2631"/>
      <c r="M39" s="2632"/>
      <c r="N39" s="2608"/>
      <c r="O39" s="2633"/>
      <c r="P39" s="2633"/>
      <c r="Q39" s="2634"/>
      <c r="R39" s="2635"/>
      <c r="S39" s="2589"/>
      <c r="T39" s="2589"/>
      <c r="U39" s="2589"/>
      <c r="V39" s="2597"/>
    </row>
    <row r="40" spans="1:23" s="2601" customFormat="1" ht="13.15" customHeight="1">
      <c r="A40" s="2736">
        <v>10</v>
      </c>
      <c r="B40" s="2678" t="s">
        <v>2421</v>
      </c>
      <c r="C40" s="2737" t="e">
        <f>C39+D39+E39</f>
        <v>#DIV/0!</v>
      </c>
      <c r="D40" s="2738"/>
      <c r="E40" s="2738"/>
      <c r="F40" s="2739"/>
      <c r="G40" s="2589"/>
      <c r="H40" s="2596"/>
      <c r="I40" s="2597"/>
      <c r="J40" s="3424"/>
      <c r="K40" s="3427"/>
      <c r="L40" s="2651" t="s">
        <v>2360</v>
      </c>
      <c r="M40" s="2652"/>
      <c r="N40" s="2652"/>
      <c r="O40" s="2653"/>
      <c r="P40" s="2653"/>
      <c r="Q40" s="2654"/>
      <c r="R40" s="2600">
        <f>SUM(R37:R39)</f>
        <v>0</v>
      </c>
      <c r="S40" s="2589"/>
      <c r="T40" s="2589"/>
      <c r="U40" s="2589"/>
      <c r="V40" s="2597"/>
    </row>
    <row r="41" spans="1:23" s="2601" customFormat="1" ht="13.15" customHeight="1" thickBot="1">
      <c r="A41" s="2740">
        <v>11</v>
      </c>
      <c r="B41" s="2741" t="s">
        <v>2422</v>
      </c>
      <c r="C41" s="2741" t="e">
        <f>ROUND(C40*10000/B4,0)</f>
        <v>#DIV/0!</v>
      </c>
      <c r="D41" s="2742"/>
      <c r="E41" s="2742"/>
      <c r="F41" s="2743"/>
      <c r="G41" s="2596"/>
      <c r="H41" s="2596"/>
      <c r="I41" s="2597"/>
      <c r="J41" s="2690">
        <v>2</v>
      </c>
      <c r="K41" s="2691" t="s">
        <v>2400</v>
      </c>
      <c r="L41" s="2692"/>
      <c r="M41" s="2692"/>
      <c r="N41" s="2692"/>
      <c r="O41" s="2692"/>
      <c r="P41" s="2693"/>
      <c r="Q41" s="2694"/>
      <c r="R41" s="2667">
        <f>ROUND(R40*Q41,0)</f>
        <v>0</v>
      </c>
      <c r="S41" s="2589"/>
      <c r="T41" s="2589"/>
      <c r="U41" s="2640"/>
      <c r="V41" s="2597"/>
    </row>
    <row r="42" spans="1:23" s="2601" customFormat="1" ht="13.15" customHeight="1">
      <c r="G42" s="2596"/>
      <c r="H42" s="2596"/>
      <c r="I42" s="2597"/>
      <c r="J42" s="3428">
        <v>3</v>
      </c>
      <c r="K42" s="2697" t="s">
        <v>2402</v>
      </c>
      <c r="L42" s="2698"/>
      <c r="M42" s="2699"/>
      <c r="N42" s="2700" t="s">
        <v>2403</v>
      </c>
      <c r="O42" s="2700" t="s">
        <v>2404</v>
      </c>
      <c r="P42" s="2701" t="s">
        <v>2405</v>
      </c>
      <c r="Q42" s="2701" t="s">
        <v>2406</v>
      </c>
      <c r="R42" s="2606" t="s">
        <v>2331</v>
      </c>
      <c r="S42" s="2640"/>
      <c r="T42" s="2640"/>
      <c r="U42" s="2589"/>
      <c r="V42" s="2597"/>
    </row>
    <row r="43" spans="1:23" ht="13.15" customHeight="1">
      <c r="A43" s="2601"/>
      <c r="B43" s="2601"/>
      <c r="C43" s="2601"/>
      <c r="D43" s="2601"/>
      <c r="E43" s="2601"/>
      <c r="F43" s="2601"/>
      <c r="I43" s="2584"/>
      <c r="J43" s="3429"/>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2409</v>
      </c>
      <c r="L44" s="2746" t="s">
        <v>2410</v>
      </c>
      <c r="M44" s="2712"/>
      <c r="N44" s="2746" t="s">
        <v>2411</v>
      </c>
      <c r="O44" s="2712"/>
      <c r="P44" s="2746" t="s">
        <v>2412</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1" t="s">
        <v>1658</v>
      </c>
      <c r="B1" s="1722"/>
      <c r="C1" s="1722"/>
      <c r="D1" s="1722"/>
      <c r="E1" s="1723"/>
      <c r="F1" s="2476"/>
      <c r="G1" s="457"/>
      <c r="H1" s="457"/>
      <c r="I1" s="457"/>
      <c r="J1" s="457"/>
      <c r="K1" s="457"/>
      <c r="L1" s="457"/>
      <c r="M1" s="457"/>
      <c r="N1" s="457"/>
      <c r="O1" s="457"/>
      <c r="P1" s="457"/>
      <c r="Q1" s="457"/>
      <c r="R1" s="457"/>
      <c r="S1" s="457"/>
    </row>
    <row r="2" spans="1:22" ht="15.75">
      <c r="A2" s="1724" t="s">
        <v>1462</v>
      </c>
      <c r="B2" s="807">
        <f ca="1">SUMIF(B6:B13,"&lt;&gt;#ref!",B6:B13)</f>
        <v>515.26350000000002</v>
      </c>
      <c r="C2" s="1725" t="s">
        <v>1651</v>
      </c>
      <c r="D2" s="1726" t="s">
        <v>1652</v>
      </c>
      <c r="E2" s="2389">
        <f>SUM(E6:E13)</f>
        <v>522.33999999999992</v>
      </c>
      <c r="F2" s="2476"/>
      <c r="G2" s="457"/>
      <c r="H2" s="457"/>
      <c r="I2" s="457"/>
      <c r="J2" s="457"/>
      <c r="K2" s="457"/>
      <c r="L2" s="457"/>
      <c r="M2" s="457"/>
      <c r="N2" s="457"/>
      <c r="O2" s="457"/>
      <c r="P2" s="457"/>
      <c r="Q2" s="457"/>
      <c r="R2" s="457"/>
      <c r="S2" s="457"/>
    </row>
    <row r="3" spans="1:22" ht="15.75">
      <c r="A3" s="1724" t="s">
        <v>686</v>
      </c>
      <c r="B3" s="2383">
        <f ca="1">ROUND(B2*10000/E2,0)</f>
        <v>9865</v>
      </c>
      <c r="C3" s="1725" t="s">
        <v>1659</v>
      </c>
      <c r="D3" s="2476"/>
      <c r="E3" s="2479"/>
      <c r="F3" s="2476"/>
      <c r="G3" s="457"/>
      <c r="H3" s="457"/>
      <c r="I3" s="457"/>
      <c r="J3" s="457"/>
      <c r="K3" s="457"/>
      <c r="L3" s="457"/>
      <c r="M3" s="457"/>
      <c r="N3" s="457"/>
      <c r="O3" s="457"/>
      <c r="P3" s="457"/>
      <c r="Q3" s="457"/>
      <c r="R3" s="457"/>
      <c r="S3" s="457"/>
    </row>
    <row r="4" spans="1:22" ht="15.75">
      <c r="A4" s="2480"/>
      <c r="B4" s="2476"/>
      <c r="C4" s="2476"/>
      <c r="D4" s="2476"/>
      <c r="E4" s="2479"/>
      <c r="F4" s="2476"/>
      <c r="G4" s="457"/>
      <c r="H4" s="457"/>
      <c r="I4" s="457"/>
      <c r="J4" s="457"/>
      <c r="K4" s="457"/>
      <c r="L4" s="457"/>
      <c r="M4" s="457"/>
      <c r="N4" s="457"/>
      <c r="O4" s="457"/>
      <c r="P4" s="457"/>
      <c r="Q4" s="457"/>
      <c r="R4" s="457"/>
      <c r="S4" s="457"/>
    </row>
    <row r="5" spans="1:22" ht="15">
      <c r="A5" s="2385" t="s">
        <v>1653</v>
      </c>
      <c r="B5" s="3443" t="s">
        <v>1654</v>
      </c>
      <c r="C5" s="3444"/>
      <c r="D5" s="2477"/>
      <c r="E5" s="1727" t="s">
        <v>1655</v>
      </c>
      <c r="F5" s="127" t="s">
        <v>1656</v>
      </c>
      <c r="G5" s="457"/>
      <c r="H5" s="457"/>
      <c r="I5" s="457"/>
      <c r="J5" s="457"/>
      <c r="K5" s="457"/>
      <c r="L5" s="457"/>
      <c r="M5" s="457"/>
      <c r="N5" s="457"/>
      <c r="O5" s="457"/>
      <c r="P5" s="457"/>
      <c r="Q5" s="457"/>
      <c r="R5" s="457"/>
      <c r="S5" s="457"/>
    </row>
    <row r="6" spans="1:22">
      <c r="A6" s="2386">
        <f>'数据-取费表'!AN6</f>
        <v>0</v>
      </c>
      <c r="B6" s="2384" t="e">
        <f ca="1">IF(F6="是",'数据-取费表'!AO6,0)</f>
        <v>#REF!</v>
      </c>
      <c r="C6" s="1725" t="s">
        <v>1651</v>
      </c>
      <c r="D6" s="2476"/>
      <c r="E6" s="2388">
        <f>IF(OR(A6=0,F6="否"),0,'数据-取费表'!K6+'数据-取费表'!S6)</f>
        <v>0</v>
      </c>
      <c r="F6" s="1728" t="s">
        <v>1657</v>
      </c>
      <c r="G6" s="457"/>
      <c r="H6" s="457"/>
      <c r="I6" s="457"/>
      <c r="J6" s="457"/>
      <c r="K6" s="457"/>
      <c r="L6" s="457"/>
      <c r="M6" s="457"/>
      <c r="N6" s="457"/>
      <c r="O6" s="457"/>
      <c r="P6" s="457"/>
      <c r="Q6" s="457"/>
      <c r="R6" s="457"/>
      <c r="S6" s="457"/>
    </row>
    <row r="7" spans="1:22">
      <c r="A7" s="2386" t="str">
        <f>'数据-取费表'!AN7</f>
        <v>收益法 (元)</v>
      </c>
      <c r="B7" s="2384">
        <f ca="1">IF(F7="是",'数据-取费表'!AO7,0)</f>
        <v>515.26350000000002</v>
      </c>
      <c r="C7" s="1725" t="s">
        <v>1651</v>
      </c>
      <c r="D7" s="2476"/>
      <c r="E7" s="2388">
        <f>IF(OR(A7=0,F7="否"),0,'数据-取费表'!K7+'数据-取费表'!S7)</f>
        <v>522.33999999999992</v>
      </c>
      <c r="F7" s="1728" t="s">
        <v>1657</v>
      </c>
      <c r="G7" s="457"/>
      <c r="H7" s="457"/>
      <c r="I7" s="457"/>
      <c r="J7" s="457"/>
      <c r="K7" s="457"/>
      <c r="L7" s="457"/>
      <c r="M7" s="457"/>
      <c r="N7" s="457"/>
      <c r="O7" s="457"/>
      <c r="P7" s="457"/>
      <c r="Q7" s="457"/>
      <c r="R7" s="457"/>
      <c r="S7" s="457"/>
    </row>
    <row r="8" spans="1:22">
      <c r="A8" s="2386">
        <f>'数据-取费表'!AN8</f>
        <v>0</v>
      </c>
      <c r="B8" s="2384" t="e">
        <f ca="1">IF(F8="是",'数据-取费表'!AO8,0)</f>
        <v>#REF!</v>
      </c>
      <c r="C8" s="1725" t="s">
        <v>1651</v>
      </c>
      <c r="D8" s="2476"/>
      <c r="E8" s="2388">
        <f>IF(OR(A8=0,F8="否"),0,'数据-取费表'!K8+'数据-取费表'!S8)</f>
        <v>0</v>
      </c>
      <c r="F8" s="1728" t="s">
        <v>1657</v>
      </c>
      <c r="G8" s="457"/>
      <c r="H8" s="457"/>
      <c r="I8" s="457"/>
      <c r="J8" s="457"/>
      <c r="K8" s="457"/>
      <c r="L8" s="457"/>
      <c r="M8" s="457"/>
      <c r="N8" s="457"/>
      <c r="O8" s="457"/>
      <c r="P8" s="457"/>
      <c r="Q8" s="457"/>
      <c r="R8" s="457"/>
      <c r="S8" s="457"/>
    </row>
    <row r="9" spans="1:22">
      <c r="A9" s="2386">
        <f>'数据-取费表'!AN9</f>
        <v>0</v>
      </c>
      <c r="B9" s="2384" t="e">
        <f ca="1">IF(F9="是",'数据-取费表'!AO9,0)</f>
        <v>#REF!</v>
      </c>
      <c r="C9" s="1725" t="s">
        <v>1651</v>
      </c>
      <c r="D9" s="2476"/>
      <c r="E9" s="2388">
        <f>IF(OR(A9=0,F9="否"),0,'数据-取费表'!K9+'数据-取费表'!S9)</f>
        <v>0</v>
      </c>
      <c r="F9" s="1728" t="s">
        <v>1657</v>
      </c>
      <c r="G9" s="457"/>
      <c r="H9" s="457"/>
      <c r="I9" s="457"/>
      <c r="J9" s="457"/>
      <c r="K9" s="457"/>
      <c r="L9" s="457"/>
      <c r="M9" s="457"/>
      <c r="N9" s="457"/>
      <c r="O9" s="457"/>
      <c r="P9" s="457"/>
      <c r="Q9" s="457"/>
      <c r="R9" s="457"/>
      <c r="S9" s="457"/>
    </row>
    <row r="10" spans="1:22">
      <c r="A10" s="2386">
        <f>'数据-取费表'!AN10</f>
        <v>0</v>
      </c>
      <c r="B10" s="2384" t="e">
        <f ca="1">IF(F10="是",'数据-取费表'!AO10,0)</f>
        <v>#REF!</v>
      </c>
      <c r="C10" s="1725" t="s">
        <v>1651</v>
      </c>
      <c r="D10" s="2476"/>
      <c r="E10" s="2388">
        <f>IF(OR(A10=0,F10="否"),0,'数据-取费表'!K10+'数据-取费表'!S10)</f>
        <v>0</v>
      </c>
      <c r="F10" s="1728" t="s">
        <v>1657</v>
      </c>
      <c r="G10" s="457"/>
      <c r="H10" s="457"/>
      <c r="I10" s="457"/>
      <c r="J10" s="457"/>
      <c r="K10" s="457"/>
      <c r="L10" s="457"/>
      <c r="M10" s="457"/>
      <c r="N10" s="457"/>
      <c r="O10" s="457"/>
      <c r="P10" s="457"/>
      <c r="Q10" s="457"/>
      <c r="R10" s="457"/>
      <c r="S10" s="457"/>
    </row>
    <row r="11" spans="1:22">
      <c r="A11" s="2386">
        <f>'数据-取费表'!AN11</f>
        <v>0</v>
      </c>
      <c r="B11" s="2384" t="e">
        <f ca="1">IF(F11="是",'数据-取费表'!AO11,0)</f>
        <v>#REF!</v>
      </c>
      <c r="C11" s="1725" t="s">
        <v>1651</v>
      </c>
      <c r="D11" s="2476"/>
      <c r="E11" s="2388">
        <f>IF(OR(A11=0,F11="否"),0,'数据-取费表'!K11+'数据-取费表'!S11)</f>
        <v>0</v>
      </c>
      <c r="F11" s="1728" t="s">
        <v>1657</v>
      </c>
      <c r="G11" s="457"/>
      <c r="H11" s="457"/>
      <c r="I11" s="457"/>
      <c r="J11" s="457"/>
      <c r="K11" s="457"/>
      <c r="L11" s="457"/>
      <c r="M11" s="457"/>
      <c r="N11" s="457"/>
      <c r="O11" s="457"/>
      <c r="P11" s="457"/>
      <c r="Q11" s="457"/>
      <c r="R11" s="457"/>
      <c r="S11" s="457"/>
    </row>
    <row r="12" spans="1:22">
      <c r="A12" s="2386">
        <f>'数据-取费表'!AN12</f>
        <v>0</v>
      </c>
      <c r="B12" s="2384" t="e">
        <f ca="1">IF(F12="是",'数据-取费表'!AO12,0)</f>
        <v>#REF!</v>
      </c>
      <c r="C12" s="1725" t="s">
        <v>1651</v>
      </c>
      <c r="D12" s="2476"/>
      <c r="E12" s="2388">
        <f>IF(OR(A12=0,F12="否"),0,'数据-取费表'!K12+'数据-取费表'!S12)</f>
        <v>0</v>
      </c>
      <c r="F12" s="1728"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29" t="s">
        <v>1651</v>
      </c>
      <c r="D13" s="2478"/>
      <c r="E13" s="2388">
        <f>IF(OR(A13=0,F13="否"),0,'数据-取费表'!K13+'数据-取费表'!S13)</f>
        <v>0</v>
      </c>
      <c r="F13" s="1728"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6" customFormat="1" ht="28.5" customHeight="1" thickBot="1">
      <c r="A1" s="1135" t="s">
        <v>1660</v>
      </c>
      <c r="B1" s="1730" t="s">
        <v>1661</v>
      </c>
      <c r="C1" s="1151" t="s">
        <v>1662</v>
      </c>
      <c r="D1" s="1138"/>
      <c r="E1" s="3121"/>
      <c r="F1" s="1731"/>
      <c r="G1" s="1148" t="s">
        <v>1663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6" customFormat="1" ht="28.5" customHeight="1" thickTop="1">
      <c r="A2" s="1134" t="s">
        <v>685</v>
      </c>
      <c r="B2" s="3122"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1664</v>
      </c>
      <c r="F2" s="1735"/>
      <c r="G2" s="850"/>
      <c r="H2" s="850"/>
      <c r="I2" s="850"/>
      <c r="J2" s="850"/>
      <c r="K2" s="1736"/>
      <c r="L2" s="2481"/>
      <c r="M2" s="2482"/>
      <c r="N2" s="2482"/>
      <c r="O2" s="2482"/>
      <c r="P2" s="1737"/>
      <c r="Q2" s="1738"/>
      <c r="R2" s="1738"/>
      <c r="S2" s="1738"/>
      <c r="T2" s="1738"/>
      <c r="U2" s="1738"/>
      <c r="V2" s="1738"/>
      <c r="W2" s="1738"/>
      <c r="X2" s="1738"/>
      <c r="Y2" s="1738"/>
      <c r="Z2" s="1738"/>
      <c r="AA2" s="1738"/>
      <c r="AB2" s="1738"/>
      <c r="AC2" s="994"/>
    </row>
    <row r="3" spans="1:29" s="336" customFormat="1" ht="28.5" customHeight="1" thickBot="1">
      <c r="A3" s="193" t="s">
        <v>686</v>
      </c>
      <c r="B3" s="341">
        <f>IF(C2="——",C49,ROUND(B2*10000/D3,0))</f>
        <v>0</v>
      </c>
      <c r="C3" s="342" t="s">
        <v>1665</v>
      </c>
      <c r="D3" s="341">
        <f>IF(D1="",'数据-汇总表'!E3,SUMIF('数据-汇总表'!$C19:$C33,D1,'数据-汇总表'!$E19:$E33))</f>
        <v>74353.649999999776</v>
      </c>
      <c r="E3" s="850"/>
      <c r="F3" s="1739"/>
      <c r="G3" s="850"/>
      <c r="H3" s="850"/>
      <c r="I3" s="850"/>
      <c r="J3" s="850"/>
      <c r="K3" s="1736"/>
      <c r="L3" s="2481"/>
      <c r="M3" s="2482"/>
      <c r="N3" s="2482"/>
      <c r="O3" s="2482"/>
      <c r="P3" s="1737"/>
      <c r="Q3" s="1738"/>
      <c r="R3" s="1738"/>
      <c r="S3" s="1738"/>
      <c r="T3" s="1738"/>
      <c r="U3" s="1738"/>
      <c r="V3" s="1738"/>
      <c r="W3" s="1738"/>
      <c r="X3" s="1738"/>
      <c r="Y3" s="1738"/>
      <c r="Z3" s="1738"/>
      <c r="AA3" s="1738"/>
      <c r="AB3" s="1738"/>
      <c r="AC3" s="994"/>
    </row>
    <row r="4" spans="1:29" ht="15">
      <c r="A4" s="343" t="s">
        <v>1666</v>
      </c>
      <c r="B4" s="344"/>
      <c r="C4" s="3378" t="s">
        <v>1667</v>
      </c>
      <c r="D4" s="3390"/>
      <c r="E4" s="3391" t="s">
        <v>1668</v>
      </c>
      <c r="F4" s="3392"/>
      <c r="G4" s="3378" t="s">
        <v>1669</v>
      </c>
      <c r="H4" s="3390"/>
      <c r="I4" s="3378" t="s">
        <v>1670</v>
      </c>
      <c r="J4" s="3390"/>
      <c r="K4" s="1740" t="s">
        <v>1671</v>
      </c>
      <c r="L4" s="2483"/>
      <c r="M4" s="2484"/>
      <c r="N4" s="2484"/>
      <c r="O4" s="2484"/>
      <c r="P4" s="3393" t="s">
        <v>1672</v>
      </c>
      <c r="Q4" s="3394"/>
      <c r="R4" s="3399" t="s">
        <v>1668</v>
      </c>
      <c r="S4" s="3400"/>
      <c r="T4" s="3399" t="s">
        <v>1669</v>
      </c>
      <c r="U4" s="3400"/>
      <c r="V4" s="3386" t="s">
        <v>1670</v>
      </c>
      <c r="W4" s="3386"/>
      <c r="X4" s="1261"/>
      <c r="Y4" s="3399" t="s">
        <v>1672</v>
      </c>
      <c r="Z4" s="3400"/>
      <c r="AA4" s="3387" t="s">
        <v>1668</v>
      </c>
      <c r="AB4" s="3387" t="s">
        <v>1669</v>
      </c>
      <c r="AC4" s="3387" t="s">
        <v>1670</v>
      </c>
    </row>
    <row r="5" spans="1:29" ht="15">
      <c r="A5" s="346"/>
      <c r="B5" s="347"/>
      <c r="C5" s="3412" t="s">
        <v>1673</v>
      </c>
      <c r="D5" s="3408"/>
      <c r="E5" s="3452" t="s">
        <v>1674</v>
      </c>
      <c r="F5" s="3416"/>
      <c r="G5" s="3412" t="s">
        <v>1675</v>
      </c>
      <c r="H5" s="3408"/>
      <c r="I5" s="3412" t="s">
        <v>1676</v>
      </c>
      <c r="J5" s="3408"/>
      <c r="K5" s="1741"/>
      <c r="L5" s="2483"/>
      <c r="M5" s="2484"/>
      <c r="N5" s="2484"/>
      <c r="O5" s="2484"/>
      <c r="P5" s="3395"/>
      <c r="Q5" s="3396"/>
      <c r="R5" s="3401"/>
      <c r="S5" s="3402"/>
      <c r="T5" s="3401"/>
      <c r="U5" s="3402"/>
      <c r="V5" s="3386"/>
      <c r="W5" s="3386"/>
      <c r="X5" s="1261"/>
      <c r="Y5" s="3401"/>
      <c r="Z5" s="3402"/>
      <c r="AA5" s="3388"/>
      <c r="AB5" s="3388"/>
      <c r="AC5" s="3388"/>
    </row>
    <row r="6" spans="1:29" ht="15.75" thickBot="1">
      <c r="A6" s="348"/>
      <c r="B6" s="349"/>
      <c r="C6" s="3405" t="s">
        <v>1677</v>
      </c>
      <c r="D6" s="3406"/>
      <c r="E6" s="3413" t="s">
        <v>1677</v>
      </c>
      <c r="F6" s="3414"/>
      <c r="G6" s="3405" t="s">
        <v>1677</v>
      </c>
      <c r="H6" s="3406"/>
      <c r="I6" s="3405" t="s">
        <v>1677</v>
      </c>
      <c r="J6" s="3406"/>
      <c r="K6" s="1741" t="s">
        <v>1678</v>
      </c>
      <c r="L6" s="2483"/>
      <c r="M6" s="2484"/>
      <c r="N6" s="2484"/>
      <c r="O6" s="2484"/>
      <c r="P6" s="3397"/>
      <c r="Q6" s="3398"/>
      <c r="R6" s="3401"/>
      <c r="S6" s="3402"/>
      <c r="T6" s="3403"/>
      <c r="U6" s="3404"/>
      <c r="V6" s="3386"/>
      <c r="W6" s="3386"/>
      <c r="X6" s="1261"/>
      <c r="Y6" s="3403"/>
      <c r="Z6" s="3404"/>
      <c r="AA6" s="3389"/>
      <c r="AB6" s="3389"/>
      <c r="AC6" s="3389"/>
    </row>
    <row r="7" spans="1:29" s="100" customFormat="1" ht="15.75" thickBot="1">
      <c r="A7" s="350" t="s">
        <v>1679</v>
      </c>
      <c r="B7" s="351"/>
      <c r="C7" s="352">
        <f>'数据-取费表'!B2</f>
        <v>45924</v>
      </c>
      <c r="D7" s="353">
        <v>100</v>
      </c>
      <c r="E7" s="354"/>
      <c r="F7" s="355">
        <f>SUMIF(58:58,YEAR(E7)&amp;"-"&amp;MONTH(E7),59:59)</f>
        <v>0</v>
      </c>
      <c r="G7" s="354"/>
      <c r="H7" s="353">
        <f>SUMIF(58:58,YEAR(G7)&amp;"-"&amp;MONTH(G7),59:59)</f>
        <v>0</v>
      </c>
      <c r="I7" s="354"/>
      <c r="J7" s="353">
        <f>SUMIF(58:58,YEAR(I7)&amp;"-"&amp;MONTH(I7),59:59)</f>
        <v>0</v>
      </c>
      <c r="K7" s="1742"/>
      <c r="L7" s="2485"/>
      <c r="M7" s="2436"/>
      <c r="N7" s="2436"/>
      <c r="O7" s="2436"/>
      <c r="P7" s="3409" t="s">
        <v>1680</v>
      </c>
      <c r="Q7" s="3411"/>
      <c r="R7" s="662" t="s">
        <v>20</v>
      </c>
      <c r="S7" s="663">
        <f t="shared" ref="S7:S15" si="0">F7</f>
        <v>0</v>
      </c>
      <c r="T7" s="662" t="s">
        <v>20</v>
      </c>
      <c r="U7" s="663">
        <f t="shared" ref="U7:U15" si="1">H7</f>
        <v>0</v>
      </c>
      <c r="V7" s="662" t="s">
        <v>20</v>
      </c>
      <c r="W7" s="663">
        <f t="shared" ref="W7:W15" si="2">J7</f>
        <v>0</v>
      </c>
      <c r="X7" s="664"/>
      <c r="Y7" s="3409" t="s">
        <v>1680</v>
      </c>
      <c r="Z7" s="3410"/>
      <c r="AA7" s="50" t="e">
        <f>D7/F7</f>
        <v>#DIV/0!</v>
      </c>
      <c r="AB7" s="50" t="e">
        <f>D7/H7</f>
        <v>#DIV/0!</v>
      </c>
      <c r="AC7" s="50" t="e">
        <f>D7/J7</f>
        <v>#DIV/0!</v>
      </c>
    </row>
    <row r="8" spans="1:29" s="100" customFormat="1" ht="15.75" thickBot="1">
      <c r="A8" s="350" t="s">
        <v>1681</v>
      </c>
      <c r="B8" s="351"/>
      <c r="C8" s="356"/>
      <c r="D8" s="353">
        <v>100</v>
      </c>
      <c r="E8" s="1743"/>
      <c r="F8" s="355">
        <f>SUMIF(61:61,E8,62:62)-SUMIF(61:61,C8,62:62)+100</f>
        <v>100</v>
      </c>
      <c r="G8" s="356"/>
      <c r="H8" s="353">
        <f>SUMIF(61:61,G8,62:62)-SUMIF(61:61,C8,62:62)+100</f>
        <v>100</v>
      </c>
      <c r="I8" s="1743"/>
      <c r="J8" s="353">
        <f>SUMIF(61:61,I8,62:62)-SUMIF(61:61,C8,62:62)+100</f>
        <v>100</v>
      </c>
      <c r="K8" s="1742"/>
      <c r="L8" s="2485"/>
      <c r="M8" s="2436"/>
      <c r="N8" s="2436"/>
      <c r="O8" s="2436"/>
      <c r="P8" s="3409" t="s">
        <v>1683</v>
      </c>
      <c r="Q8" s="3410"/>
      <c r="R8" s="662" t="s">
        <v>20</v>
      </c>
      <c r="S8" s="663">
        <f t="shared" si="0"/>
        <v>100</v>
      </c>
      <c r="T8" s="662" t="s">
        <v>20</v>
      </c>
      <c r="U8" s="663">
        <f t="shared" si="1"/>
        <v>100</v>
      </c>
      <c r="V8" s="662" t="s">
        <v>20</v>
      </c>
      <c r="W8" s="663">
        <f t="shared" si="2"/>
        <v>100</v>
      </c>
      <c r="X8" s="664"/>
      <c r="Y8" s="3409" t="s">
        <v>1683</v>
      </c>
      <c r="Z8" s="3410"/>
      <c r="AA8" s="50">
        <f t="shared" ref="AA8:AA19" si="3">D8/F8</f>
        <v>1</v>
      </c>
      <c r="AB8" s="50">
        <f t="shared" ref="AB8:AB19" si="4">D8/H8</f>
        <v>1</v>
      </c>
      <c r="AC8" s="50">
        <f t="shared" ref="AC8:AC19" si="5">D8/J8</f>
        <v>1</v>
      </c>
    </row>
    <row r="9" spans="1:29" s="100" customFormat="1">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2"/>
      <c r="L9" s="2485"/>
      <c r="M9" s="2436"/>
      <c r="N9" s="2436"/>
      <c r="O9" s="2436"/>
      <c r="P9" s="3380" t="s">
        <v>1686</v>
      </c>
      <c r="Q9" s="528"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4" customFormat="1" ht="27">
      <c r="A10" s="361"/>
      <c r="B10" s="362" t="s">
        <v>1688</v>
      </c>
      <c r="C10" s="3129"/>
      <c r="D10" s="117">
        <v>100</v>
      </c>
      <c r="E10" s="3130"/>
      <c r="F10" s="362">
        <f>SUMIF(65:65,E10,66:66)-SUMIF(65:65,C10,66:66)+100</f>
        <v>100</v>
      </c>
      <c r="G10" s="3129"/>
      <c r="H10" s="117">
        <f>SUMIF(65:65,G10,66:66)-SUMIF(65:65,C10,66:66)+100</f>
        <v>100</v>
      </c>
      <c r="I10" s="3129"/>
      <c r="J10" s="117">
        <f>SUMIF(65:65,I10,66:66)-SUMIF(65:65,C10,66:66)+100</f>
        <v>100</v>
      </c>
      <c r="K10" s="1742"/>
      <c r="L10" s="2486"/>
      <c r="M10" s="2487"/>
      <c r="N10" s="2487"/>
      <c r="O10" s="2487"/>
      <c r="P10" s="3380"/>
      <c r="Q10" s="528"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8"/>
      <c r="M11" s="2484"/>
      <c r="N11" s="2484"/>
      <c r="O11" s="2484"/>
      <c r="P11" s="3380"/>
      <c r="Q11" s="528" t="str">
        <f t="shared" si="6"/>
        <v>容积率</v>
      </c>
      <c r="R11" s="662" t="s">
        <v>18</v>
      </c>
      <c r="S11" s="663" t="e">
        <f t="shared" si="0"/>
        <v>#N/A</v>
      </c>
      <c r="T11" s="662" t="s">
        <v>18</v>
      </c>
      <c r="U11" s="663" t="e">
        <f t="shared" si="1"/>
        <v>#N/A</v>
      </c>
      <c r="V11" s="662" t="s">
        <v>18</v>
      </c>
      <c r="W11" s="663" t="e">
        <f t="shared" si="2"/>
        <v>#N/A</v>
      </c>
      <c r="X11" s="664"/>
      <c r="Y11" s="3278"/>
      <c r="Z11" s="50" t="str">
        <f t="shared" si="7"/>
        <v>容积率</v>
      </c>
      <c r="AA11" s="50" t="e">
        <f t="shared" si="3"/>
        <v>#N/A</v>
      </c>
      <c r="AB11" s="50" t="e">
        <f t="shared" si="4"/>
        <v>#N/A</v>
      </c>
      <c r="AC11" s="50" t="e">
        <f t="shared" si="5"/>
        <v>#N/A</v>
      </c>
    </row>
    <row r="12" spans="1:29" s="100"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5"/>
      <c r="M12" s="2436"/>
      <c r="N12" s="2436"/>
      <c r="O12" s="2436"/>
      <c r="P12" s="3380"/>
      <c r="Q12" s="528">
        <f t="shared" si="6"/>
        <v>111</v>
      </c>
      <c r="R12" s="662" t="s">
        <v>18</v>
      </c>
      <c r="S12" s="663">
        <f t="shared" si="0"/>
        <v>100</v>
      </c>
      <c r="T12" s="662" t="s">
        <v>18</v>
      </c>
      <c r="U12" s="663">
        <f t="shared" si="1"/>
        <v>100</v>
      </c>
      <c r="V12" s="662" t="s">
        <v>18</v>
      </c>
      <c r="W12" s="663">
        <f t="shared" si="2"/>
        <v>100</v>
      </c>
      <c r="X12" s="664"/>
      <c r="Y12" s="327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9"/>
      <c r="M13" s="2484"/>
      <c r="N13" s="2484"/>
      <c r="O13" s="2484"/>
      <c r="P13" s="3380"/>
      <c r="Q13" s="528">
        <f t="shared" si="6"/>
        <v>111</v>
      </c>
      <c r="R13" s="662" t="s">
        <v>18</v>
      </c>
      <c r="S13" s="663">
        <f t="shared" si="0"/>
        <v>100</v>
      </c>
      <c r="T13" s="662" t="s">
        <v>18</v>
      </c>
      <c r="U13" s="663">
        <f t="shared" si="1"/>
        <v>100</v>
      </c>
      <c r="V13" s="662" t="s">
        <v>18</v>
      </c>
      <c r="W13" s="663">
        <f t="shared" si="2"/>
        <v>100</v>
      </c>
      <c r="X13" s="664"/>
      <c r="Y13" s="3278"/>
      <c r="Z13" s="50">
        <f t="shared" si="7"/>
        <v>111</v>
      </c>
      <c r="AA13" s="50">
        <f t="shared" si="3"/>
        <v>1</v>
      </c>
      <c r="AB13" s="50">
        <f t="shared" si="4"/>
        <v>1</v>
      </c>
      <c r="AC13" s="50">
        <f t="shared" si="5"/>
        <v>1</v>
      </c>
    </row>
    <row r="14" spans="1:29" ht="15.75"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9"/>
      <c r="M14" s="2484"/>
      <c r="N14" s="2484"/>
      <c r="O14" s="2484"/>
      <c r="P14" s="3380"/>
      <c r="Q14" s="528">
        <f t="shared" si="6"/>
        <v>111</v>
      </c>
      <c r="R14" s="662" t="s">
        <v>18</v>
      </c>
      <c r="S14" s="663">
        <f t="shared" si="0"/>
        <v>100</v>
      </c>
      <c r="T14" s="662" t="s">
        <v>18</v>
      </c>
      <c r="U14" s="663">
        <f t="shared" si="1"/>
        <v>100</v>
      </c>
      <c r="V14" s="662" t="s">
        <v>18</v>
      </c>
      <c r="W14" s="663">
        <f t="shared" si="2"/>
        <v>100</v>
      </c>
      <c r="X14" s="664"/>
      <c r="Y14" s="3278"/>
      <c r="Z14" s="50">
        <f t="shared" si="7"/>
        <v>111</v>
      </c>
      <c r="AA14" s="50">
        <f t="shared" si="3"/>
        <v>1</v>
      </c>
      <c r="AB14" s="50">
        <f t="shared" si="4"/>
        <v>1</v>
      </c>
      <c r="AC14" s="50">
        <f t="shared" si="5"/>
        <v>1</v>
      </c>
    </row>
    <row r="15" spans="1:29" ht="15">
      <c r="A15" s="377" t="s">
        <v>1690</v>
      </c>
      <c r="B15" s="58" t="s">
        <v>1257</v>
      </c>
      <c r="C15" s="1746">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9"/>
      <c r="M15" s="2484"/>
      <c r="N15" s="2484"/>
      <c r="O15" s="2484"/>
      <c r="P15" s="3450" t="s">
        <v>1691</v>
      </c>
      <c r="Q15" s="1259" t="str">
        <f t="shared" si="6"/>
        <v>居住社区成熟度</v>
      </c>
      <c r="R15" s="665" t="s">
        <v>18</v>
      </c>
      <c r="S15" s="666">
        <f t="shared" si="0"/>
        <v>100</v>
      </c>
      <c r="T15" s="665" t="s">
        <v>18</v>
      </c>
      <c r="U15" s="666">
        <f t="shared" si="1"/>
        <v>100</v>
      </c>
      <c r="V15" s="665" t="s">
        <v>18</v>
      </c>
      <c r="W15" s="666">
        <f t="shared" si="2"/>
        <v>100</v>
      </c>
      <c r="X15" s="1261"/>
      <c r="Y15" s="3382" t="s">
        <v>1691</v>
      </c>
      <c r="Z15" s="1260" t="str">
        <f t="shared" si="7"/>
        <v>居住社区成熟度</v>
      </c>
      <c r="AA15" s="1260">
        <f t="shared" si="3"/>
        <v>1</v>
      </c>
      <c r="AB15" s="1260">
        <f t="shared" si="4"/>
        <v>1</v>
      </c>
      <c r="AC15" s="1260">
        <f t="shared" si="5"/>
        <v>1</v>
      </c>
    </row>
    <row r="16" spans="1:29" ht="15">
      <c r="A16" s="365"/>
      <c r="B16" s="383"/>
      <c r="C16" s="384"/>
      <c r="D16" s="385"/>
      <c r="E16" s="1747"/>
      <c r="F16" s="385"/>
      <c r="G16" s="1748"/>
      <c r="H16" s="387"/>
      <c r="I16" s="1748"/>
      <c r="J16" s="385"/>
      <c r="K16" s="1749"/>
      <c r="L16" s="2489"/>
      <c r="M16" s="2484"/>
      <c r="N16" s="2484"/>
      <c r="O16" s="2484"/>
      <c r="P16" s="3451"/>
      <c r="Q16" s="1259"/>
      <c r="R16" s="665"/>
      <c r="S16" s="666"/>
      <c r="T16" s="665"/>
      <c r="U16" s="666"/>
      <c r="V16" s="665"/>
      <c r="W16" s="666"/>
      <c r="X16" s="1261"/>
      <c r="Y16" s="3383"/>
      <c r="Z16" s="1260"/>
      <c r="AA16" s="1260">
        <v>1</v>
      </c>
      <c r="AB16" s="1260">
        <v>1</v>
      </c>
      <c r="AC16" s="1260">
        <v>1</v>
      </c>
    </row>
    <row r="17" spans="1:29" ht="15">
      <c r="A17" s="365"/>
      <c r="B17" s="388" t="s">
        <v>1259</v>
      </c>
      <c r="C17" s="1750">
        <f>估价对象房地状况!C6</f>
        <v>0</v>
      </c>
      <c r="D17" s="387">
        <v>100</v>
      </c>
      <c r="E17" s="391"/>
      <c r="F17" s="387">
        <f>SUMIF(78:78,E18,79:79)-SUMIF(78:78,C18,79:79)+100</f>
        <v>100</v>
      </c>
      <c r="G17" s="389"/>
      <c r="H17" s="392">
        <f>SUMIF(78:78,G18,79:79)-SUMIF(78:78,C18,79:79)+100</f>
        <v>100</v>
      </c>
      <c r="I17" s="389"/>
      <c r="J17" s="392">
        <f>SUMIF(78:78,I18,79:79)-SUMIF(78:78,C18,79:79)+100</f>
        <v>100</v>
      </c>
      <c r="K17" s="382"/>
      <c r="L17" s="2489"/>
      <c r="M17" s="2484"/>
      <c r="N17" s="2484"/>
      <c r="O17" s="2484"/>
      <c r="P17" s="3451"/>
      <c r="Q17" s="1259" t="str">
        <f>B17</f>
        <v>交通便捷度</v>
      </c>
      <c r="R17" s="665" t="s">
        <v>18</v>
      </c>
      <c r="S17" s="666">
        <f>F17</f>
        <v>100</v>
      </c>
      <c r="T17" s="665" t="s">
        <v>18</v>
      </c>
      <c r="U17" s="666">
        <f>H17</f>
        <v>100</v>
      </c>
      <c r="V17" s="665" t="s">
        <v>18</v>
      </c>
      <c r="W17" s="666">
        <f>J17</f>
        <v>100</v>
      </c>
      <c r="X17" s="1261"/>
      <c r="Y17" s="3383"/>
      <c r="Z17" s="1260" t="str">
        <f>Q17</f>
        <v>交通便捷度</v>
      </c>
      <c r="AA17" s="1260">
        <f t="shared" si="3"/>
        <v>1</v>
      </c>
      <c r="AB17" s="1260">
        <f t="shared" si="4"/>
        <v>1</v>
      </c>
      <c r="AC17" s="1260">
        <f t="shared" si="5"/>
        <v>1</v>
      </c>
    </row>
    <row r="18" spans="1:29" ht="15">
      <c r="A18" s="365"/>
      <c r="B18" s="393"/>
      <c r="C18" s="1751"/>
      <c r="D18" s="387"/>
      <c r="E18" s="1752"/>
      <c r="F18" s="387"/>
      <c r="G18" s="1753"/>
      <c r="H18" s="385"/>
      <c r="I18" s="1753"/>
      <c r="J18" s="385"/>
      <c r="K18" s="1749"/>
      <c r="L18" s="2489"/>
      <c r="M18" s="2484"/>
      <c r="N18" s="2484"/>
      <c r="O18" s="2484"/>
      <c r="P18" s="3451"/>
      <c r="Q18" s="1259"/>
      <c r="R18" s="665"/>
      <c r="S18" s="666"/>
      <c r="T18" s="665"/>
      <c r="U18" s="666"/>
      <c r="V18" s="665"/>
      <c r="W18" s="666"/>
      <c r="X18" s="1261"/>
      <c r="Y18" s="3383"/>
      <c r="Z18" s="1260"/>
      <c r="AA18" s="1260">
        <v>1</v>
      </c>
      <c r="AB18" s="1260">
        <v>1</v>
      </c>
      <c r="AC18" s="1260">
        <v>1</v>
      </c>
    </row>
    <row r="19" spans="1:29" ht="15">
      <c r="A19" s="365"/>
      <c r="B19" s="388" t="s">
        <v>1258</v>
      </c>
      <c r="C19" s="1750">
        <f>估价对象房地状况!C7</f>
        <v>0</v>
      </c>
      <c r="D19" s="392">
        <v>100</v>
      </c>
      <c r="E19" s="396"/>
      <c r="F19" s="392">
        <f>SUMIF(80:80,E20,81:81)-SUMIF(80:80,C20,81:81)+100</f>
        <v>100</v>
      </c>
      <c r="G19" s="394"/>
      <c r="H19" s="387">
        <f>SUMIF(80:80,G20,81:81)-SUMIF(80:80,C20,81:81)+100</f>
        <v>100</v>
      </c>
      <c r="I19" s="394"/>
      <c r="J19" s="387">
        <f>SUMIF(80:80,I20,81:81)-SUMIF(80:80,C20,81:81)+100</f>
        <v>100</v>
      </c>
      <c r="K19" s="382"/>
      <c r="L19" s="2489"/>
      <c r="M19" s="2484"/>
      <c r="N19" s="2484"/>
      <c r="O19" s="2484"/>
      <c r="P19" s="3451"/>
      <c r="Q19" s="1259" t="str">
        <f>B19</f>
        <v>公共配套设施</v>
      </c>
      <c r="R19" s="665" t="s">
        <v>18</v>
      </c>
      <c r="S19" s="666">
        <f>F19</f>
        <v>100</v>
      </c>
      <c r="T19" s="665" t="s">
        <v>18</v>
      </c>
      <c r="U19" s="666">
        <f>H19</f>
        <v>100</v>
      </c>
      <c r="V19" s="665" t="s">
        <v>18</v>
      </c>
      <c r="W19" s="666">
        <f>J19</f>
        <v>100</v>
      </c>
      <c r="X19" s="1261"/>
      <c r="Y19" s="3383"/>
      <c r="Z19" s="1260" t="str">
        <f>Q19</f>
        <v>公共配套设施</v>
      </c>
      <c r="AA19" s="1260">
        <f t="shared" si="3"/>
        <v>1</v>
      </c>
      <c r="AB19" s="1260">
        <f t="shared" si="4"/>
        <v>1</v>
      </c>
      <c r="AC19" s="1260">
        <f t="shared" si="5"/>
        <v>1</v>
      </c>
    </row>
    <row r="20" spans="1:29" ht="15">
      <c r="A20" s="365"/>
      <c r="B20" s="393"/>
      <c r="C20" s="384"/>
      <c r="D20" s="385"/>
      <c r="E20" s="1747"/>
      <c r="F20" s="385"/>
      <c r="G20" s="1748"/>
      <c r="H20" s="385"/>
      <c r="I20" s="1748"/>
      <c r="J20" s="385"/>
      <c r="K20" s="1749"/>
      <c r="L20" s="2489"/>
      <c r="M20" s="2484"/>
      <c r="N20" s="2484"/>
      <c r="O20" s="2484"/>
      <c r="P20" s="3451"/>
      <c r="Q20" s="1259"/>
      <c r="R20" s="665"/>
      <c r="S20" s="666"/>
      <c r="T20" s="665"/>
      <c r="U20" s="666"/>
      <c r="V20" s="665"/>
      <c r="W20" s="666"/>
      <c r="X20" s="1261"/>
      <c r="Y20" s="3383"/>
      <c r="Z20" s="1260"/>
      <c r="AA20" s="1260">
        <v>1</v>
      </c>
      <c r="AB20" s="1260">
        <v>1</v>
      </c>
      <c r="AC20" s="1260">
        <v>1</v>
      </c>
    </row>
    <row r="21" spans="1:29" ht="15">
      <c r="A21" s="365"/>
      <c r="B21" s="584" t="s">
        <v>1260</v>
      </c>
      <c r="C21" s="1750">
        <f>估价对象房地状况!C8</f>
        <v>0</v>
      </c>
      <c r="D21" s="387">
        <v>100</v>
      </c>
      <c r="E21" s="396"/>
      <c r="F21" s="392">
        <f>SUMIF(82:82,E22,83:83)-SUMIF(82:82,C22,83:83)+100</f>
        <v>100</v>
      </c>
      <c r="G21" s="394"/>
      <c r="H21" s="387">
        <f>SUMIF(82:82,G22,83:83)-SUMIF(82:82,C22,83:83)+100</f>
        <v>100</v>
      </c>
      <c r="I21" s="394"/>
      <c r="J21" s="387">
        <f>SUMIF(82:82,I22,83:83)-SUMIF(82:82,C22,83:83)+100</f>
        <v>100</v>
      </c>
      <c r="K21" s="382"/>
      <c r="L21" s="2489"/>
      <c r="M21" s="2484"/>
      <c r="N21" s="2484"/>
      <c r="O21" s="2484"/>
      <c r="P21" s="3451"/>
      <c r="Q21" s="1259" t="str">
        <f>B21</f>
        <v>基础设施水平</v>
      </c>
      <c r="R21" s="665" t="s">
        <v>14</v>
      </c>
      <c r="S21" s="666">
        <f>F21</f>
        <v>100</v>
      </c>
      <c r="T21" s="665" t="s">
        <v>14</v>
      </c>
      <c r="U21" s="666">
        <f>H21</f>
        <v>100</v>
      </c>
      <c r="V21" s="665" t="s">
        <v>14</v>
      </c>
      <c r="W21" s="666">
        <f>J21</f>
        <v>100</v>
      </c>
      <c r="X21" s="1261"/>
      <c r="Y21" s="3383"/>
      <c r="Z21" s="1260" t="str">
        <f>Q21</f>
        <v>基础设施水平</v>
      </c>
      <c r="AA21" s="1260">
        <f t="shared" ref="AA21" si="8">D21/F21</f>
        <v>1</v>
      </c>
      <c r="AB21" s="1260">
        <f t="shared" ref="AB21" si="9">D21/H21</f>
        <v>1</v>
      </c>
      <c r="AC21" s="1260">
        <f t="shared" ref="AC21" si="10">D21/J21</f>
        <v>1</v>
      </c>
    </row>
    <row r="22" spans="1:29" ht="15">
      <c r="A22" s="365"/>
      <c r="B22" s="584"/>
      <c r="C22" s="1751"/>
      <c r="D22" s="385"/>
      <c r="E22" s="384"/>
      <c r="F22" s="385"/>
      <c r="G22" s="1754"/>
      <c r="H22" s="385"/>
      <c r="I22" s="384"/>
      <c r="J22" s="385"/>
      <c r="K22" s="1755"/>
      <c r="L22" s="2489"/>
      <c r="M22" s="2484"/>
      <c r="N22" s="2484"/>
      <c r="O22" s="2484"/>
      <c r="P22" s="3451"/>
      <c r="Q22" s="1259"/>
      <c r="R22" s="665"/>
      <c r="S22" s="666"/>
      <c r="T22" s="665"/>
      <c r="U22" s="666"/>
      <c r="V22" s="665"/>
      <c r="W22" s="666"/>
      <c r="X22" s="1261"/>
      <c r="Y22" s="3383"/>
      <c r="Z22" s="1260"/>
      <c r="AA22" s="1260">
        <v>1</v>
      </c>
      <c r="AB22" s="1260">
        <v>1</v>
      </c>
      <c r="AC22" s="1260">
        <v>1</v>
      </c>
    </row>
    <row r="23" spans="1:29" ht="15">
      <c r="A23" s="365"/>
      <c r="B23" s="388" t="s">
        <v>1261</v>
      </c>
      <c r="C23" s="1750">
        <f>估价对象房地状况!C9</f>
        <v>0</v>
      </c>
      <c r="D23" s="387">
        <v>100</v>
      </c>
      <c r="E23" s="391"/>
      <c r="F23" s="387">
        <f>SUMIF(84:84,E24,85:85)-SUMIF(84:84,C24,85:85)+100</f>
        <v>100</v>
      </c>
      <c r="G23" s="389"/>
      <c r="H23" s="387">
        <f>SUMIF(84:84,G24,85:85)-SUMIF(84:84,C24,85:85)+100</f>
        <v>100</v>
      </c>
      <c r="I23" s="389"/>
      <c r="J23" s="387">
        <f>SUMIF(84:84,I24,85:85)-SUMIF(84:84,C24,85:85)+100</f>
        <v>100</v>
      </c>
      <c r="K23" s="382"/>
      <c r="L23" s="2489"/>
      <c r="M23" s="2484"/>
      <c r="N23" s="2484"/>
      <c r="O23" s="2484"/>
      <c r="P23" s="3451"/>
      <c r="Q23" s="1259" t="str">
        <f>B23</f>
        <v>自然及人文环境</v>
      </c>
      <c r="R23" s="665" t="s">
        <v>18</v>
      </c>
      <c r="S23" s="666">
        <f>F23</f>
        <v>100</v>
      </c>
      <c r="T23" s="665" t="s">
        <v>18</v>
      </c>
      <c r="U23" s="666">
        <f>H23</f>
        <v>100</v>
      </c>
      <c r="V23" s="665" t="s">
        <v>18</v>
      </c>
      <c r="W23" s="666">
        <f>J23</f>
        <v>100</v>
      </c>
      <c r="X23" s="1261"/>
      <c r="Y23" s="3383"/>
      <c r="Z23" s="1260" t="str">
        <f>Q23</f>
        <v>自然及人文环境</v>
      </c>
      <c r="AA23" s="1260">
        <f>D23/F23</f>
        <v>1</v>
      </c>
      <c r="AB23" s="1260">
        <f>D23/H23</f>
        <v>1</v>
      </c>
      <c r="AC23" s="1260">
        <f>D23/J23</f>
        <v>1</v>
      </c>
    </row>
    <row r="24" spans="1:29" ht="15">
      <c r="A24" s="365"/>
      <c r="B24" s="393"/>
      <c r="C24" s="384"/>
      <c r="D24" s="385"/>
      <c r="E24" s="1747"/>
      <c r="F24" s="385"/>
      <c r="G24" s="1748"/>
      <c r="H24" s="385"/>
      <c r="I24" s="1748"/>
      <c r="J24" s="385"/>
      <c r="K24" s="1749"/>
      <c r="L24" s="2489"/>
      <c r="M24" s="2484"/>
      <c r="N24" s="2484"/>
      <c r="O24" s="2484"/>
      <c r="P24" s="3451"/>
      <c r="Q24" s="1259"/>
      <c r="R24" s="665"/>
      <c r="S24" s="666"/>
      <c r="T24" s="665"/>
      <c r="U24" s="666"/>
      <c r="V24" s="665"/>
      <c r="W24" s="666"/>
      <c r="X24" s="1261"/>
      <c r="Y24" s="3383"/>
      <c r="Z24" s="1260"/>
      <c r="AA24" s="1260">
        <v>1</v>
      </c>
      <c r="AB24" s="1260">
        <v>1</v>
      </c>
      <c r="AC24" s="1260">
        <v>1</v>
      </c>
    </row>
    <row r="25" spans="1:29" ht="15">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9"/>
      <c r="M25" s="2484"/>
      <c r="N25" s="2484"/>
      <c r="O25" s="2484"/>
      <c r="P25" s="3451"/>
      <c r="Q25" s="1259" t="str">
        <f t="shared" ref="Q25:Q46" si="11">B25</f>
        <v>楼层-1</v>
      </c>
      <c r="R25" s="665" t="s">
        <v>18</v>
      </c>
      <c r="S25" s="666">
        <f t="shared" ref="S25:S46" si="12">F25</f>
        <v>100</v>
      </c>
      <c r="T25" s="665" t="s">
        <v>18</v>
      </c>
      <c r="U25" s="666">
        <f t="shared" ref="U25:U46" si="13">H25</f>
        <v>100</v>
      </c>
      <c r="V25" s="665" t="s">
        <v>18</v>
      </c>
      <c r="W25" s="666">
        <f t="shared" ref="W25:W46" si="14">J25</f>
        <v>100</v>
      </c>
      <c r="X25" s="1261"/>
      <c r="Y25" s="3383"/>
      <c r="Z25" s="1260" t="str">
        <f>Q25</f>
        <v>楼层-1</v>
      </c>
      <c r="AA25" s="1260">
        <f t="shared" ref="AA25:AA46" si="15">D25/F25</f>
        <v>1</v>
      </c>
      <c r="AB25" s="1260">
        <f t="shared" ref="AB25:AB46" si="16">D25/H25</f>
        <v>1</v>
      </c>
      <c r="AC25" s="1260">
        <f t="shared" ref="AC25:AC46" si="17">D25/J25</f>
        <v>1</v>
      </c>
    </row>
    <row r="26" spans="1:29" ht="15">
      <c r="A26" s="365"/>
      <c r="B26" s="362" t="s">
        <v>1693</v>
      </c>
      <c r="C26" s="397"/>
      <c r="D26" s="372">
        <v>100</v>
      </c>
      <c r="E26" s="1756"/>
      <c r="F26" s="372">
        <f>SUMIF(88:88,E26,89:89)-SUMIF(88:88,C26,89:89)+100</f>
        <v>100</v>
      </c>
      <c r="G26" s="1757"/>
      <c r="H26" s="372">
        <f>SUMIF(88:88,G26,89:89)-SUMIF(88:88,C26,89:89)+100</f>
        <v>100</v>
      </c>
      <c r="I26" s="1757"/>
      <c r="J26" s="372">
        <f>SUMIF(88:88,I26,89:89)-SUMIF(88:88,C26,89:89)+100</f>
        <v>100</v>
      </c>
      <c r="K26" s="363"/>
      <c r="L26" s="2489"/>
      <c r="M26" s="2484"/>
      <c r="N26" s="2484"/>
      <c r="O26" s="2484"/>
      <c r="P26" s="3451"/>
      <c r="Q26" s="1259" t="str">
        <f t="shared" si="11"/>
        <v>朝向</v>
      </c>
      <c r="R26" s="665" t="s">
        <v>18</v>
      </c>
      <c r="S26" s="666">
        <f t="shared" si="12"/>
        <v>100</v>
      </c>
      <c r="T26" s="665" t="s">
        <v>18</v>
      </c>
      <c r="U26" s="666">
        <f t="shared" si="13"/>
        <v>100</v>
      </c>
      <c r="V26" s="665" t="s">
        <v>18</v>
      </c>
      <c r="W26" s="666">
        <f t="shared" si="14"/>
        <v>100</v>
      </c>
      <c r="X26" s="1261"/>
      <c r="Y26" s="3383"/>
      <c r="Z26" s="1260" t="str">
        <f>Q26</f>
        <v>朝向</v>
      </c>
      <c r="AA26" s="1260">
        <f t="shared" si="15"/>
        <v>1</v>
      </c>
      <c r="AB26" s="1260">
        <f t="shared" si="16"/>
        <v>1</v>
      </c>
      <c r="AC26" s="1260">
        <f t="shared" si="17"/>
        <v>1</v>
      </c>
    </row>
    <row r="27" spans="1:29" s="100" customFormat="1" ht="15">
      <c r="A27" s="368"/>
      <c r="B27" s="1062">
        <v>111</v>
      </c>
      <c r="C27" s="369"/>
      <c r="D27" s="399">
        <v>100</v>
      </c>
      <c r="E27" s="401"/>
      <c r="F27" s="399">
        <f>SUMIF(90:90,E27,91:91)-SUMIF(90:90,C27,91:91)+100</f>
        <v>100</v>
      </c>
      <c r="G27" s="400"/>
      <c r="H27" s="399">
        <f>SUMIF(90:90,G27,91:91)-SUMIF(90:90,C27,91:91)+100</f>
        <v>100</v>
      </c>
      <c r="I27" s="400"/>
      <c r="J27" s="399">
        <f>SUMIF(90:90,I27,91:91)-SUMIF(90:90,C27,91:91)+100</f>
        <v>100</v>
      </c>
      <c r="K27" s="1744"/>
      <c r="L27" s="2485"/>
      <c r="M27" s="2436"/>
      <c r="N27" s="2436"/>
      <c r="O27" s="2436"/>
      <c r="P27" s="3451"/>
      <c r="Q27" s="528">
        <f t="shared" si="11"/>
        <v>111</v>
      </c>
      <c r="R27" s="662" t="s">
        <v>18</v>
      </c>
      <c r="S27" s="663">
        <f t="shared" si="12"/>
        <v>100</v>
      </c>
      <c r="T27" s="662" t="s">
        <v>18</v>
      </c>
      <c r="U27" s="663">
        <f t="shared" si="13"/>
        <v>100</v>
      </c>
      <c r="V27" s="662" t="s">
        <v>18</v>
      </c>
      <c r="W27" s="663">
        <f t="shared" si="14"/>
        <v>100</v>
      </c>
      <c r="X27" s="664"/>
      <c r="Y27" s="3383"/>
      <c r="Z27" s="50">
        <f>Q27</f>
        <v>111</v>
      </c>
      <c r="AA27" s="1260">
        <f t="shared" si="15"/>
        <v>1</v>
      </c>
      <c r="AB27" s="1260">
        <f t="shared" si="16"/>
        <v>1</v>
      </c>
      <c r="AC27" s="1260">
        <f t="shared" si="17"/>
        <v>1</v>
      </c>
    </row>
    <row r="28" spans="1:29" ht="15">
      <c r="A28" s="365"/>
      <c r="B28" s="1062">
        <v>111</v>
      </c>
      <c r="C28" s="371"/>
      <c r="D28" s="372">
        <v>100</v>
      </c>
      <c r="E28" s="371"/>
      <c r="F28" s="372">
        <f>SUMIF(92:92,E28,93:93)-SUMIF(92:92,C28,93:93)+100</f>
        <v>100</v>
      </c>
      <c r="G28" s="1758"/>
      <c r="H28" s="372">
        <f>SUMIF(92:92,G28,93:93)-SUMIF(92:92,C28,93:93)+100</f>
        <v>100</v>
      </c>
      <c r="I28" s="371"/>
      <c r="J28" s="372">
        <f>SUMIF(92:92,I28,93:93)-SUMIF(92:92,C28,93:93)+100</f>
        <v>100</v>
      </c>
      <c r="K28" s="1744"/>
      <c r="L28" s="2489"/>
      <c r="M28" s="2484"/>
      <c r="N28" s="2484"/>
      <c r="O28" s="2484"/>
      <c r="P28" s="3451"/>
      <c r="Q28" s="1259">
        <f t="shared" si="11"/>
        <v>111</v>
      </c>
      <c r="R28" s="665" t="s">
        <v>18</v>
      </c>
      <c r="S28" s="666">
        <f t="shared" si="12"/>
        <v>100</v>
      </c>
      <c r="T28" s="665" t="s">
        <v>18</v>
      </c>
      <c r="U28" s="666">
        <f t="shared" si="13"/>
        <v>100</v>
      </c>
      <c r="V28" s="665" t="s">
        <v>18</v>
      </c>
      <c r="W28" s="666">
        <f t="shared" si="14"/>
        <v>100</v>
      </c>
      <c r="X28" s="1261"/>
      <c r="Y28" s="3383"/>
      <c r="Z28" s="1260">
        <f t="shared" ref="Z28:Z46" si="18">Q28</f>
        <v>111</v>
      </c>
      <c r="AA28" s="1260">
        <f t="shared" si="15"/>
        <v>1</v>
      </c>
      <c r="AB28" s="1260">
        <f t="shared" si="16"/>
        <v>1</v>
      </c>
      <c r="AC28" s="1260">
        <f t="shared" si="17"/>
        <v>1</v>
      </c>
    </row>
    <row r="29" spans="1:29" ht="15">
      <c r="A29" s="365"/>
      <c r="B29" s="1062">
        <v>111</v>
      </c>
      <c r="C29" s="371"/>
      <c r="D29" s="372">
        <v>100</v>
      </c>
      <c r="E29" s="371"/>
      <c r="F29" s="372">
        <f>SUMIF(94:94,E29,95:95)-SUMIF(94:94,C29,95:95)+100</f>
        <v>100</v>
      </c>
      <c r="G29" s="1758"/>
      <c r="H29" s="372">
        <f>SUMIF(94:94,G29,95:95)-SUMIF(94:94,C29,95:95)+100</f>
        <v>100</v>
      </c>
      <c r="I29" s="371"/>
      <c r="J29" s="372">
        <f>SUMIF(94:94,I29,95:95)-SUMIF(94:94,C29,95:95)+100</f>
        <v>100</v>
      </c>
      <c r="K29" s="1744"/>
      <c r="L29" s="2489"/>
      <c r="M29" s="2484"/>
      <c r="N29" s="2484"/>
      <c r="O29" s="2484"/>
      <c r="P29" s="3451"/>
      <c r="Q29" s="1259">
        <f t="shared" si="11"/>
        <v>111</v>
      </c>
      <c r="R29" s="665" t="s">
        <v>18</v>
      </c>
      <c r="S29" s="666">
        <f t="shared" si="12"/>
        <v>100</v>
      </c>
      <c r="T29" s="665" t="s">
        <v>18</v>
      </c>
      <c r="U29" s="666">
        <f t="shared" si="13"/>
        <v>100</v>
      </c>
      <c r="V29" s="665" t="s">
        <v>18</v>
      </c>
      <c r="W29" s="666">
        <f t="shared" si="14"/>
        <v>100</v>
      </c>
      <c r="X29" s="1261"/>
      <c r="Y29" s="3383"/>
      <c r="Z29" s="1260">
        <f t="shared" si="18"/>
        <v>111</v>
      </c>
      <c r="AA29" s="1260">
        <f t="shared" si="15"/>
        <v>1</v>
      </c>
      <c r="AB29" s="1260">
        <f t="shared" si="16"/>
        <v>1</v>
      </c>
      <c r="AC29" s="1260">
        <f t="shared" si="17"/>
        <v>1</v>
      </c>
    </row>
    <row r="30" spans="1:29" ht="15">
      <c r="A30" s="365"/>
      <c r="B30" s="1062">
        <v>111</v>
      </c>
      <c r="C30" s="371"/>
      <c r="D30" s="372">
        <v>100</v>
      </c>
      <c r="E30" s="371"/>
      <c r="F30" s="372">
        <f>SUMIF(96:96,E30,97:97)-SUMIF(96:96,C30,97:97)+100</f>
        <v>100</v>
      </c>
      <c r="G30" s="1758"/>
      <c r="H30" s="372">
        <f>SUMIF(96:96,G30,97:97)-SUMIF(96:96,C30,97:97)+100</f>
        <v>100</v>
      </c>
      <c r="I30" s="371"/>
      <c r="J30" s="372">
        <f>SUMIF(96:96,I30,97:97)-SUMIF(96:96,C30,97:97)+100</f>
        <v>100</v>
      </c>
      <c r="K30" s="1744"/>
      <c r="L30" s="2489"/>
      <c r="M30" s="2484"/>
      <c r="N30" s="2484"/>
      <c r="O30" s="2484"/>
      <c r="P30" s="3451"/>
      <c r="Q30" s="1259">
        <f t="shared" si="11"/>
        <v>111</v>
      </c>
      <c r="R30" s="665" t="s">
        <v>18</v>
      </c>
      <c r="S30" s="666">
        <f t="shared" si="12"/>
        <v>100</v>
      </c>
      <c r="T30" s="665" t="s">
        <v>18</v>
      </c>
      <c r="U30" s="666">
        <f t="shared" si="13"/>
        <v>100</v>
      </c>
      <c r="V30" s="665" t="s">
        <v>18</v>
      </c>
      <c r="W30" s="666">
        <f t="shared" si="14"/>
        <v>100</v>
      </c>
      <c r="X30" s="1261"/>
      <c r="Y30" s="3383"/>
      <c r="Z30" s="1260">
        <f t="shared" si="18"/>
        <v>111</v>
      </c>
      <c r="AA30" s="1260">
        <f t="shared" si="15"/>
        <v>1</v>
      </c>
      <c r="AB30" s="1260">
        <f t="shared" si="16"/>
        <v>1</v>
      </c>
      <c r="AC30" s="1260">
        <f t="shared" si="17"/>
        <v>1</v>
      </c>
    </row>
    <row r="31" spans="1:29" ht="15.75" thickBot="1">
      <c r="A31" s="373"/>
      <c r="B31" s="1062">
        <v>111</v>
      </c>
      <c r="C31" s="374"/>
      <c r="D31" s="375">
        <v>100</v>
      </c>
      <c r="E31" s="374"/>
      <c r="F31" s="375">
        <f>SUMIF(98:98,E31,99:99)-SUMIF(98:98,C31,99:99)+100</f>
        <v>100</v>
      </c>
      <c r="G31" s="1759"/>
      <c r="H31" s="375">
        <f>SUMIF(98:98,G31,99:99)-SUMIF(98:98,C31,99:99)+100</f>
        <v>100</v>
      </c>
      <c r="I31" s="374"/>
      <c r="J31" s="375">
        <f>SUMIF(98:98,I31,99:99)-SUMIF(98:98,C31,99:99)+100</f>
        <v>100</v>
      </c>
      <c r="K31" s="1744"/>
      <c r="L31" s="2489"/>
      <c r="M31" s="2484"/>
      <c r="N31" s="2484"/>
      <c r="O31" s="2484"/>
      <c r="P31" s="3451"/>
      <c r="Q31" s="1259">
        <f t="shared" si="11"/>
        <v>111</v>
      </c>
      <c r="R31" s="665" t="s">
        <v>18</v>
      </c>
      <c r="S31" s="666">
        <f t="shared" si="12"/>
        <v>100</v>
      </c>
      <c r="T31" s="665" t="s">
        <v>18</v>
      </c>
      <c r="U31" s="666">
        <f t="shared" si="13"/>
        <v>100</v>
      </c>
      <c r="V31" s="665" t="s">
        <v>18</v>
      </c>
      <c r="W31" s="666">
        <f t="shared" si="14"/>
        <v>100</v>
      </c>
      <c r="X31" s="1261"/>
      <c r="Y31" s="3383"/>
      <c r="Z31" s="1260">
        <f t="shared" si="18"/>
        <v>111</v>
      </c>
      <c r="AA31" s="1260">
        <f t="shared" si="15"/>
        <v>1</v>
      </c>
      <c r="AB31" s="1260">
        <f t="shared" si="16"/>
        <v>1</v>
      </c>
      <c r="AC31" s="1260">
        <f t="shared" si="17"/>
        <v>1</v>
      </c>
    </row>
    <row r="32" spans="1:29" ht="15">
      <c r="A32" s="377" t="s">
        <v>1694</v>
      </c>
      <c r="B32" s="60" t="s">
        <v>1695</v>
      </c>
      <c r="C32" s="1760"/>
      <c r="D32" s="403">
        <v>100</v>
      </c>
      <c r="E32" s="1761"/>
      <c r="F32" s="398">
        <f>SUMIF(100:100,E32,101:101)-SUMIF(100:100,C32,101:101)+100</f>
        <v>100</v>
      </c>
      <c r="G32" s="1760"/>
      <c r="H32" s="403">
        <f>SUMIF(100:100,G32,101:101)-SUMIF(100:100,C32,101:101)+100</f>
        <v>100</v>
      </c>
      <c r="I32" s="1761"/>
      <c r="J32" s="372">
        <f>SUMIF(100:100,I32,101:101)-SUMIF(100:100,C32,101:101)+100</f>
        <v>100</v>
      </c>
      <c r="K32" s="363"/>
      <c r="L32" s="2489"/>
      <c r="M32" s="2484"/>
      <c r="N32" s="2484"/>
      <c r="O32" s="2484"/>
      <c r="P32" s="3446" t="s">
        <v>1696</v>
      </c>
      <c r="Q32" s="1259" t="str">
        <f t="shared" si="11"/>
        <v>建筑类型</v>
      </c>
      <c r="R32" s="665" t="s">
        <v>18</v>
      </c>
      <c r="S32" s="666">
        <f t="shared" si="12"/>
        <v>100</v>
      </c>
      <c r="T32" s="665" t="s">
        <v>18</v>
      </c>
      <c r="U32" s="666">
        <f t="shared" si="13"/>
        <v>100</v>
      </c>
      <c r="V32" s="665" t="s">
        <v>18</v>
      </c>
      <c r="W32" s="666">
        <f t="shared" si="14"/>
        <v>100</v>
      </c>
      <c r="X32" s="1261"/>
      <c r="Y32" s="3385" t="s">
        <v>1696</v>
      </c>
      <c r="Z32" s="1260" t="str">
        <f t="shared" si="18"/>
        <v>建筑类型</v>
      </c>
      <c r="AA32" s="1260">
        <f t="shared" si="15"/>
        <v>1</v>
      </c>
      <c r="AB32" s="1260">
        <f t="shared" si="16"/>
        <v>1</v>
      </c>
      <c r="AC32" s="1260">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4"/>
      <c r="L33" s="2488"/>
      <c r="M33" s="2490"/>
      <c r="N33" s="2490"/>
      <c r="O33" s="2490"/>
      <c r="P33" s="3447"/>
      <c r="Q33" s="529" t="str">
        <f t="shared" si="11"/>
        <v>项目建筑规模</v>
      </c>
      <c r="R33" s="667" t="s">
        <v>18</v>
      </c>
      <c r="S33" s="668" t="e">
        <f t="shared" si="12"/>
        <v>#N/A</v>
      </c>
      <c r="T33" s="667" t="s">
        <v>18</v>
      </c>
      <c r="U33" s="668" t="e">
        <f t="shared" si="13"/>
        <v>#N/A</v>
      </c>
      <c r="V33" s="667" t="s">
        <v>18</v>
      </c>
      <c r="W33" s="668" t="e">
        <f t="shared" si="14"/>
        <v>#N/A</v>
      </c>
      <c r="X33" s="669"/>
      <c r="Y33" s="3385"/>
      <c r="Z33" s="670" t="str">
        <f t="shared" si="18"/>
        <v>项目建筑规模</v>
      </c>
      <c r="AA33" s="1260" t="e">
        <f t="shared" si="15"/>
        <v>#N/A</v>
      </c>
      <c r="AB33" s="1260" t="e">
        <f t="shared" si="16"/>
        <v>#N/A</v>
      </c>
      <c r="AC33" s="1260" t="e">
        <f t="shared" si="17"/>
        <v>#N/A</v>
      </c>
    </row>
    <row r="34" spans="1:29" ht="15">
      <c r="A34" s="407"/>
      <c r="B34" s="362" t="s">
        <v>1698</v>
      </c>
      <c r="C34" s="397"/>
      <c r="D34" s="372">
        <v>100</v>
      </c>
      <c r="E34" s="1762"/>
      <c r="F34" s="398">
        <f>SUMIF(105:105,E34,106:106)-SUMIF(105:105,C34,106:106)+100</f>
        <v>100</v>
      </c>
      <c r="G34" s="397"/>
      <c r="H34" s="372">
        <f>SUMIF(105:105,G34,106:106)-SUMIF(105:105,C34,106:106)+100</f>
        <v>100</v>
      </c>
      <c r="I34" s="1762"/>
      <c r="J34" s="372">
        <f>SUMIF(105:105,I34,106:106)-SUMIF(105:105,C34,106:106)+100</f>
        <v>100</v>
      </c>
      <c r="K34" s="363"/>
      <c r="L34" s="2489"/>
      <c r="M34" s="2484"/>
      <c r="N34" s="2484"/>
      <c r="O34" s="2484"/>
      <c r="P34" s="3447"/>
      <c r="Q34" s="1259" t="str">
        <f t="shared" si="11"/>
        <v>建筑结构</v>
      </c>
      <c r="R34" s="665" t="s">
        <v>18</v>
      </c>
      <c r="S34" s="666">
        <f t="shared" si="12"/>
        <v>100</v>
      </c>
      <c r="T34" s="665" t="s">
        <v>18</v>
      </c>
      <c r="U34" s="666">
        <f t="shared" si="13"/>
        <v>100</v>
      </c>
      <c r="V34" s="665" t="s">
        <v>18</v>
      </c>
      <c r="W34" s="666">
        <f t="shared" si="14"/>
        <v>100</v>
      </c>
      <c r="X34" s="1261"/>
      <c r="Y34" s="3385"/>
      <c r="Z34" s="1260" t="str">
        <f t="shared" si="18"/>
        <v>建筑结构</v>
      </c>
      <c r="AA34" s="1260">
        <f t="shared" si="15"/>
        <v>1</v>
      </c>
      <c r="AB34" s="1260">
        <f t="shared" si="16"/>
        <v>1</v>
      </c>
      <c r="AC34" s="1260">
        <f t="shared" si="17"/>
        <v>1</v>
      </c>
    </row>
    <row r="35" spans="1:29" ht="15">
      <c r="A35" s="407"/>
      <c r="B35" s="362" t="s">
        <v>1699</v>
      </c>
      <c r="C35" s="1756"/>
      <c r="D35" s="372">
        <v>100</v>
      </c>
      <c r="E35" s="1757"/>
      <c r="F35" s="398">
        <f>SUMIF(107:107,E35,108:108)-SUMIF(107:107,C35,108:108)+100</f>
        <v>100</v>
      </c>
      <c r="G35" s="1756"/>
      <c r="H35" s="372">
        <f>SUMIF(107:107,G35,108:108)-SUMIF(107:107,C35,108:108)+100</f>
        <v>100</v>
      </c>
      <c r="I35" s="1757"/>
      <c r="J35" s="372">
        <f>SUMIF(107:107,I35,108:108)-SUMIF(107:107,C35,108:108)+100</f>
        <v>100</v>
      </c>
      <c r="K35" s="363"/>
      <c r="L35" s="2489"/>
      <c r="M35" s="2484"/>
      <c r="N35" s="2484"/>
      <c r="O35" s="2484"/>
      <c r="P35" s="3447"/>
      <c r="Q35" s="1259" t="str">
        <f t="shared" si="11"/>
        <v>建筑品质</v>
      </c>
      <c r="R35" s="665" t="s">
        <v>18</v>
      </c>
      <c r="S35" s="666">
        <f t="shared" si="12"/>
        <v>100</v>
      </c>
      <c r="T35" s="665" t="s">
        <v>18</v>
      </c>
      <c r="U35" s="666">
        <f t="shared" si="13"/>
        <v>100</v>
      </c>
      <c r="V35" s="665" t="s">
        <v>18</v>
      </c>
      <c r="W35" s="666">
        <f t="shared" si="14"/>
        <v>100</v>
      </c>
      <c r="X35" s="1261"/>
      <c r="Y35" s="3385"/>
      <c r="Z35" s="1260" t="str">
        <f t="shared" si="18"/>
        <v>建筑品质</v>
      </c>
      <c r="AA35" s="1260">
        <f t="shared" si="15"/>
        <v>1</v>
      </c>
      <c r="AB35" s="1260">
        <f t="shared" si="16"/>
        <v>1</v>
      </c>
      <c r="AC35" s="1260">
        <f t="shared" si="17"/>
        <v>1</v>
      </c>
    </row>
    <row r="36" spans="1:29" ht="15">
      <c r="A36" s="407"/>
      <c r="B36" s="362" t="s">
        <v>1700</v>
      </c>
      <c r="C36" s="1756"/>
      <c r="D36" s="372">
        <v>100</v>
      </c>
      <c r="E36" s="1757"/>
      <c r="F36" s="398">
        <f>SUMIF(109:109,E36,110:110)-SUMIF(109:109,C36,110:110)+100</f>
        <v>100</v>
      </c>
      <c r="G36" s="1756"/>
      <c r="H36" s="372">
        <f>SUMIF(109:109,G36,110:110)-SUMIF(109:109,C36,110:110)+100</f>
        <v>100</v>
      </c>
      <c r="I36" s="1757"/>
      <c r="J36" s="372">
        <f>SUMIF(109:109,I36,110:110)-SUMIF(109:109,C36,110:110)+100</f>
        <v>100</v>
      </c>
      <c r="K36" s="363"/>
      <c r="L36" s="2489"/>
      <c r="M36" s="2484"/>
      <c r="N36" s="2484"/>
      <c r="O36" s="2484"/>
      <c r="P36" s="3447"/>
      <c r="Q36" s="1259" t="str">
        <f t="shared" si="11"/>
        <v>公共部分装修</v>
      </c>
      <c r="R36" s="665" t="s">
        <v>18</v>
      </c>
      <c r="S36" s="666">
        <f t="shared" si="12"/>
        <v>100</v>
      </c>
      <c r="T36" s="665" t="s">
        <v>18</v>
      </c>
      <c r="U36" s="666">
        <f t="shared" si="13"/>
        <v>100</v>
      </c>
      <c r="V36" s="665" t="s">
        <v>18</v>
      </c>
      <c r="W36" s="666">
        <f t="shared" si="14"/>
        <v>100</v>
      </c>
      <c r="X36" s="1261"/>
      <c r="Y36" s="3385"/>
      <c r="Z36" s="1260" t="str">
        <f t="shared" si="18"/>
        <v>公共部分装修</v>
      </c>
      <c r="AA36" s="1260">
        <f t="shared" si="15"/>
        <v>1</v>
      </c>
      <c r="AB36" s="1260">
        <f t="shared" si="16"/>
        <v>1</v>
      </c>
      <c r="AC36" s="1260">
        <f t="shared" si="17"/>
        <v>1</v>
      </c>
    </row>
    <row r="37" spans="1:29" s="100"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5"/>
      <c r="M37" s="2436"/>
      <c r="N37" s="2436"/>
      <c r="O37" s="2436"/>
      <c r="P37" s="3447"/>
      <c r="Q37" s="528" t="str">
        <f t="shared" si="11"/>
        <v>成新度</v>
      </c>
      <c r="R37" s="662" t="s">
        <v>18</v>
      </c>
      <c r="S37" s="663" t="e">
        <f t="shared" si="12"/>
        <v>#N/A</v>
      </c>
      <c r="T37" s="662" t="s">
        <v>18</v>
      </c>
      <c r="U37" s="663" t="e">
        <f t="shared" si="13"/>
        <v>#N/A</v>
      </c>
      <c r="V37" s="662" t="s">
        <v>18</v>
      </c>
      <c r="W37" s="663" t="e">
        <f t="shared" si="14"/>
        <v>#N/A</v>
      </c>
      <c r="X37" s="664"/>
      <c r="Y37" s="3385"/>
      <c r="Z37" s="50" t="str">
        <f t="shared" si="18"/>
        <v>成新度</v>
      </c>
      <c r="AA37" s="50" t="e">
        <f t="shared" si="15"/>
        <v>#N/A</v>
      </c>
      <c r="AB37" s="50" t="e">
        <f t="shared" si="16"/>
        <v>#N/A</v>
      </c>
      <c r="AC37" s="50" t="e">
        <f t="shared" si="17"/>
        <v>#N/A</v>
      </c>
    </row>
    <row r="38" spans="1:29" ht="15">
      <c r="A38" s="407"/>
      <c r="B38" s="362" t="s">
        <v>1702</v>
      </c>
      <c r="C38" s="1756"/>
      <c r="D38" s="372">
        <v>100</v>
      </c>
      <c r="E38" s="1757"/>
      <c r="F38" s="398">
        <f>SUMIF(114:114,E38,115:115)-SUMIF(114:114,C38,115:115)+100</f>
        <v>100</v>
      </c>
      <c r="G38" s="1756"/>
      <c r="H38" s="372">
        <f>SUMIF(114:114,G38,115:115)-SUMIF(114:114,C38,115:115)+100</f>
        <v>100</v>
      </c>
      <c r="I38" s="1757"/>
      <c r="J38" s="372">
        <f>SUMIF(114:114,I38,115:115)-SUMIF(114:114,C38,115:115)+100</f>
        <v>100</v>
      </c>
      <c r="K38" s="363"/>
      <c r="L38" s="2489"/>
      <c r="M38" s="2484"/>
      <c r="N38" s="2484"/>
      <c r="O38" s="2484"/>
      <c r="P38" s="3447" t="s">
        <v>1696</v>
      </c>
      <c r="Q38" s="1259" t="str">
        <f t="shared" si="11"/>
        <v>物业管理</v>
      </c>
      <c r="R38" s="665" t="s">
        <v>18</v>
      </c>
      <c r="S38" s="666">
        <f t="shared" si="12"/>
        <v>100</v>
      </c>
      <c r="T38" s="665" t="s">
        <v>18</v>
      </c>
      <c r="U38" s="666">
        <f t="shared" si="13"/>
        <v>100</v>
      </c>
      <c r="V38" s="665" t="s">
        <v>18</v>
      </c>
      <c r="W38" s="666">
        <f t="shared" si="14"/>
        <v>100</v>
      </c>
      <c r="X38" s="1261"/>
      <c r="Y38" s="3385" t="s">
        <v>1696</v>
      </c>
      <c r="Z38" s="1260" t="str">
        <f t="shared" si="18"/>
        <v>物业管理</v>
      </c>
      <c r="AA38" s="1260">
        <f t="shared" si="15"/>
        <v>1</v>
      </c>
      <c r="AB38" s="1260">
        <f t="shared" si="16"/>
        <v>1</v>
      </c>
      <c r="AC38" s="1260">
        <f t="shared" si="17"/>
        <v>1</v>
      </c>
    </row>
    <row r="39" spans="1:29" ht="15">
      <c r="A39" s="407"/>
      <c r="B39" s="362" t="s">
        <v>1703</v>
      </c>
      <c r="C39" s="1756"/>
      <c r="D39" s="372">
        <v>100</v>
      </c>
      <c r="E39" s="1757"/>
      <c r="F39" s="398">
        <f>SUMIF(116:116,E39,117:117)-SUMIF(116:116,C39,117:117)+100</f>
        <v>100</v>
      </c>
      <c r="G39" s="1756"/>
      <c r="H39" s="372">
        <f>SUMIF(116:116,G39,117:117)-SUMIF(116:116,C39,117:117)+100</f>
        <v>100</v>
      </c>
      <c r="I39" s="1757"/>
      <c r="J39" s="372">
        <f>SUMIF(116:116,I39,117:117)-SUMIF(116:116,C39,117:117)+100</f>
        <v>100</v>
      </c>
      <c r="K39" s="363"/>
      <c r="L39" s="2489"/>
      <c r="M39" s="2484"/>
      <c r="N39" s="2484"/>
      <c r="O39" s="2484"/>
      <c r="P39" s="3447"/>
      <c r="Q39" s="1259" t="str">
        <f t="shared" si="11"/>
        <v>市政基础设施</v>
      </c>
      <c r="R39" s="665" t="s">
        <v>18</v>
      </c>
      <c r="S39" s="666">
        <f t="shared" si="12"/>
        <v>100</v>
      </c>
      <c r="T39" s="665" t="s">
        <v>18</v>
      </c>
      <c r="U39" s="666">
        <f t="shared" si="13"/>
        <v>100</v>
      </c>
      <c r="V39" s="665" t="s">
        <v>18</v>
      </c>
      <c r="W39" s="666">
        <f t="shared" si="14"/>
        <v>100</v>
      </c>
      <c r="X39" s="1261"/>
      <c r="Y39" s="3385"/>
      <c r="Z39" s="1260" t="str">
        <f t="shared" si="18"/>
        <v>市政基础设施</v>
      </c>
      <c r="AA39" s="1260">
        <f t="shared" si="15"/>
        <v>1</v>
      </c>
      <c r="AB39" s="1260">
        <f t="shared" si="16"/>
        <v>1</v>
      </c>
      <c r="AC39" s="1260">
        <f t="shared" si="17"/>
        <v>1</v>
      </c>
    </row>
    <row r="40" spans="1:29" ht="15">
      <c r="A40" s="407"/>
      <c r="B40" s="362" t="s">
        <v>1704</v>
      </c>
      <c r="C40" s="1756"/>
      <c r="D40" s="372">
        <v>100</v>
      </c>
      <c r="E40" s="1757"/>
      <c r="F40" s="398">
        <f>SUMIF(118:118,E40,119:119)-SUMIF(118:118,C40,119:119)+100</f>
        <v>100</v>
      </c>
      <c r="G40" s="1756"/>
      <c r="H40" s="372">
        <f>SUMIF(118:118,G40,119:119)-SUMIF(118:118,C40,119:119)+100</f>
        <v>100</v>
      </c>
      <c r="I40" s="1757"/>
      <c r="J40" s="372">
        <f>SUMIF(118:118,I40,119:119)-SUMIF(118:118,C40,119:119)+100</f>
        <v>100</v>
      </c>
      <c r="K40" s="363"/>
      <c r="L40" s="2489"/>
      <c r="M40" s="2484"/>
      <c r="N40" s="2484"/>
      <c r="O40" s="2484"/>
      <c r="P40" s="3447"/>
      <c r="Q40" s="1259" t="str">
        <f t="shared" si="11"/>
        <v>房型</v>
      </c>
      <c r="R40" s="665" t="s">
        <v>18</v>
      </c>
      <c r="S40" s="666">
        <f t="shared" si="12"/>
        <v>100</v>
      </c>
      <c r="T40" s="665" t="s">
        <v>18</v>
      </c>
      <c r="U40" s="666">
        <f t="shared" si="13"/>
        <v>100</v>
      </c>
      <c r="V40" s="665" t="s">
        <v>18</v>
      </c>
      <c r="W40" s="666">
        <f t="shared" si="14"/>
        <v>100</v>
      </c>
      <c r="X40" s="1261"/>
      <c r="Y40" s="3385"/>
      <c r="Z40" s="1260" t="str">
        <f t="shared" si="18"/>
        <v>房型</v>
      </c>
      <c r="AA40" s="1260">
        <f t="shared" si="15"/>
        <v>1</v>
      </c>
      <c r="AB40" s="1260">
        <f t="shared" si="16"/>
        <v>1</v>
      </c>
      <c r="AC40" s="1260">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8"/>
      <c r="M41" s="2490"/>
      <c r="N41" s="2490"/>
      <c r="O41" s="2490"/>
      <c r="P41" s="3447"/>
      <c r="Q41" s="529" t="str">
        <f t="shared" si="11"/>
        <v>单套/主力户型建筑面积</v>
      </c>
      <c r="R41" s="667" t="s">
        <v>18</v>
      </c>
      <c r="S41" s="668">
        <f t="shared" si="12"/>
        <v>100</v>
      </c>
      <c r="T41" s="667" t="s">
        <v>18</v>
      </c>
      <c r="U41" s="668">
        <f t="shared" si="13"/>
        <v>100</v>
      </c>
      <c r="V41" s="667" t="s">
        <v>18</v>
      </c>
      <c r="W41" s="668">
        <f t="shared" si="14"/>
        <v>100</v>
      </c>
      <c r="X41" s="669"/>
      <c r="Y41" s="3385"/>
      <c r="Z41" s="670" t="str">
        <f t="shared" si="18"/>
        <v>单套/主力户型建筑面积</v>
      </c>
      <c r="AA41" s="1260">
        <f t="shared" si="15"/>
        <v>1</v>
      </c>
      <c r="AB41" s="1260">
        <f t="shared" si="16"/>
        <v>1</v>
      </c>
      <c r="AC41" s="1260">
        <f t="shared" si="17"/>
        <v>1</v>
      </c>
    </row>
    <row r="42" spans="1:29" ht="15">
      <c r="A42" s="407"/>
      <c r="B42" s="362" t="s">
        <v>1706</v>
      </c>
      <c r="C42" s="1756"/>
      <c r="D42" s="372">
        <v>100</v>
      </c>
      <c r="E42" s="1757"/>
      <c r="F42" s="398">
        <f>SUMIF(122:122,E42,123:123)-SUMIF(122:122,C42,123:123)+100</f>
        <v>100</v>
      </c>
      <c r="G42" s="1756"/>
      <c r="H42" s="372">
        <f>SUMIF(122:122,G42,123:123)-SUMIF(122:122,C42,123:123)+100</f>
        <v>100</v>
      </c>
      <c r="I42" s="1757"/>
      <c r="J42" s="372">
        <f>SUMIF(122:122,I42,123:123)-SUMIF(122:122,C42,123:123)+100</f>
        <v>100</v>
      </c>
      <c r="K42" s="363"/>
      <c r="L42" s="2489"/>
      <c r="M42" s="2484"/>
      <c r="N42" s="2484"/>
      <c r="O42" s="2484"/>
      <c r="P42" s="3447"/>
      <c r="Q42" s="1259" t="str">
        <f t="shared" si="11"/>
        <v>内部装修</v>
      </c>
      <c r="R42" s="665" t="s">
        <v>18</v>
      </c>
      <c r="S42" s="666">
        <f t="shared" si="12"/>
        <v>100</v>
      </c>
      <c r="T42" s="665" t="s">
        <v>18</v>
      </c>
      <c r="U42" s="666">
        <f t="shared" si="13"/>
        <v>100</v>
      </c>
      <c r="V42" s="665" t="s">
        <v>18</v>
      </c>
      <c r="W42" s="666">
        <f t="shared" si="14"/>
        <v>100</v>
      </c>
      <c r="X42" s="1261"/>
      <c r="Y42" s="3385"/>
      <c r="Z42" s="1260" t="str">
        <f t="shared" si="18"/>
        <v>内部装修</v>
      </c>
      <c r="AA42" s="1260">
        <f t="shared" si="15"/>
        <v>1</v>
      </c>
      <c r="AB42" s="1260">
        <f t="shared" si="16"/>
        <v>1</v>
      </c>
      <c r="AC42" s="1260">
        <f t="shared" si="17"/>
        <v>1</v>
      </c>
    </row>
    <row r="43" spans="1:29" ht="15">
      <c r="A43" s="407"/>
      <c r="B43" s="362" t="s">
        <v>1707</v>
      </c>
      <c r="C43" s="1756"/>
      <c r="D43" s="372">
        <v>100</v>
      </c>
      <c r="E43" s="1757"/>
      <c r="F43" s="398">
        <f>SUMIF(124:124,E43,125:125)-SUMIF(124:124,C43,125:125)+100</f>
        <v>100</v>
      </c>
      <c r="G43" s="1756"/>
      <c r="H43" s="372">
        <f>SUMIF(124:124,G43,125:125)-SUMIF(124:124,C43,125:125)+100</f>
        <v>100</v>
      </c>
      <c r="I43" s="1757"/>
      <c r="J43" s="372">
        <f>SUMIF(124:124,I43,125:125)-SUMIF(124:124,C43,125:125)+100</f>
        <v>100</v>
      </c>
      <c r="K43" s="363"/>
      <c r="L43" s="2489"/>
      <c r="M43" s="2484"/>
      <c r="N43" s="2484"/>
      <c r="O43" s="2484"/>
      <c r="P43" s="3447"/>
      <c r="Q43" s="1259" t="str">
        <f t="shared" si="11"/>
        <v>内部装修维护情况</v>
      </c>
      <c r="R43" s="665" t="s">
        <v>18</v>
      </c>
      <c r="S43" s="666">
        <f t="shared" si="12"/>
        <v>100</v>
      </c>
      <c r="T43" s="665" t="s">
        <v>18</v>
      </c>
      <c r="U43" s="666">
        <f t="shared" si="13"/>
        <v>100</v>
      </c>
      <c r="V43" s="665" t="s">
        <v>18</v>
      </c>
      <c r="W43" s="666">
        <f t="shared" si="14"/>
        <v>100</v>
      </c>
      <c r="X43" s="1261"/>
      <c r="Y43" s="3385"/>
      <c r="Z43" s="1260" t="str">
        <f t="shared" si="18"/>
        <v>内部装修维护情况</v>
      </c>
      <c r="AA43" s="1260">
        <f t="shared" si="15"/>
        <v>1</v>
      </c>
      <c r="AB43" s="1260">
        <f t="shared" si="16"/>
        <v>1</v>
      </c>
      <c r="AC43" s="1260">
        <f t="shared" si="17"/>
        <v>1</v>
      </c>
    </row>
    <row r="44" spans="1:29" s="100" customFormat="1" ht="15">
      <c r="A44" s="408"/>
      <c r="B44" s="1062">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4"/>
      <c r="L44" s="2485"/>
      <c r="M44" s="2436"/>
      <c r="N44" s="2436"/>
      <c r="O44" s="2436"/>
      <c r="P44" s="3447"/>
      <c r="Q44" s="528">
        <f t="shared" si="11"/>
        <v>111</v>
      </c>
      <c r="R44" s="662" t="s">
        <v>18</v>
      </c>
      <c r="S44" s="663">
        <f t="shared" si="12"/>
        <v>100</v>
      </c>
      <c r="T44" s="662" t="s">
        <v>18</v>
      </c>
      <c r="U44" s="663">
        <f t="shared" si="13"/>
        <v>100</v>
      </c>
      <c r="V44" s="662" t="s">
        <v>18</v>
      </c>
      <c r="W44" s="663">
        <f t="shared" si="14"/>
        <v>100</v>
      </c>
      <c r="X44" s="664"/>
      <c r="Y44" s="3385"/>
      <c r="Z44" s="50">
        <f t="shared" si="18"/>
        <v>111</v>
      </c>
      <c r="AA44" s="50">
        <f t="shared" si="15"/>
        <v>1</v>
      </c>
      <c r="AB44" s="50">
        <f t="shared" si="16"/>
        <v>1</v>
      </c>
      <c r="AC44" s="50">
        <f t="shared" si="17"/>
        <v>1</v>
      </c>
    </row>
    <row r="45" spans="1:29" ht="15">
      <c r="A45" s="407"/>
      <c r="B45" s="1062">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4"/>
      <c r="L45" s="2489"/>
      <c r="M45" s="2484"/>
      <c r="N45" s="2484"/>
      <c r="O45" s="2484"/>
      <c r="P45" s="3447"/>
      <c r="Q45" s="1259">
        <f t="shared" si="11"/>
        <v>111</v>
      </c>
      <c r="R45" s="665" t="s">
        <v>18</v>
      </c>
      <c r="S45" s="666">
        <f t="shared" si="12"/>
        <v>100</v>
      </c>
      <c r="T45" s="665" t="s">
        <v>18</v>
      </c>
      <c r="U45" s="666">
        <f t="shared" si="13"/>
        <v>100</v>
      </c>
      <c r="V45" s="665" t="s">
        <v>18</v>
      </c>
      <c r="W45" s="666">
        <f t="shared" si="14"/>
        <v>100</v>
      </c>
      <c r="X45" s="1261"/>
      <c r="Y45" s="3385"/>
      <c r="Z45" s="1260">
        <f t="shared" si="18"/>
        <v>111</v>
      </c>
      <c r="AA45" s="1260">
        <f t="shared" si="15"/>
        <v>1</v>
      </c>
      <c r="AB45" s="1260">
        <f t="shared" si="16"/>
        <v>1</v>
      </c>
      <c r="AC45" s="1260">
        <f t="shared" si="17"/>
        <v>1</v>
      </c>
    </row>
    <row r="46" spans="1:29" ht="15.75"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9"/>
      <c r="M46" s="2484"/>
      <c r="N46" s="2484"/>
      <c r="O46" s="2484"/>
      <c r="P46" s="3448"/>
      <c r="Q46" s="1259">
        <f t="shared" si="11"/>
        <v>111</v>
      </c>
      <c r="R46" s="665" t="s">
        <v>17</v>
      </c>
      <c r="S46" s="666">
        <f t="shared" si="12"/>
        <v>100</v>
      </c>
      <c r="T46" s="665" t="s">
        <v>17</v>
      </c>
      <c r="U46" s="666">
        <f t="shared" si="13"/>
        <v>100</v>
      </c>
      <c r="V46" s="665" t="s">
        <v>17</v>
      </c>
      <c r="W46" s="666">
        <f t="shared" si="14"/>
        <v>100</v>
      </c>
      <c r="X46" s="1261"/>
      <c r="Y46" s="3449"/>
      <c r="Z46" s="1260">
        <f t="shared" si="18"/>
        <v>111</v>
      </c>
      <c r="AA46" s="1260">
        <f t="shared" si="15"/>
        <v>1</v>
      </c>
      <c r="AB46" s="1260">
        <f t="shared" si="16"/>
        <v>1</v>
      </c>
      <c r="AC46" s="1260">
        <f t="shared" si="17"/>
        <v>1</v>
      </c>
    </row>
    <row r="47" spans="1:29" ht="15">
      <c r="A47" s="414" t="s">
        <v>1708</v>
      </c>
      <c r="B47" s="415"/>
      <c r="C47" s="1077" t="s">
        <v>16</v>
      </c>
      <c r="D47" s="416"/>
      <c r="E47" s="417"/>
      <c r="F47" s="418"/>
      <c r="G47" s="419"/>
      <c r="H47" s="420"/>
      <c r="I47" s="417"/>
      <c r="J47" s="420"/>
      <c r="K47" s="1763"/>
      <c r="L47" s="2491"/>
      <c r="M47" s="2484"/>
      <c r="N47" s="2484"/>
      <c r="O47" s="2484"/>
      <c r="P47" s="3381" t="str">
        <f>A47</f>
        <v>成交单价（元/平方米）</v>
      </c>
      <c r="Q47" s="3381"/>
      <c r="R47" s="3386">
        <f>E47</f>
        <v>0</v>
      </c>
      <c r="S47" s="3386"/>
      <c r="T47" s="3386">
        <f>G47</f>
        <v>0</v>
      </c>
      <c r="U47" s="3386"/>
      <c r="V47" s="3386">
        <f>I47</f>
        <v>0</v>
      </c>
      <c r="W47" s="3386"/>
      <c r="X47" s="383"/>
      <c r="Y47" s="671"/>
      <c r="Z47" s="383"/>
      <c r="AA47" s="383"/>
      <c r="AB47" s="383"/>
      <c r="AC47" s="383"/>
    </row>
    <row r="48" spans="1:29" ht="15.75" thickBot="1">
      <c r="A48" s="421" t="s">
        <v>1709</v>
      </c>
      <c r="B48" s="422"/>
      <c r="C48" s="1078" t="e">
        <f>R49</f>
        <v>#DIV/0!</v>
      </c>
      <c r="D48" s="2137" t="s">
        <v>2137</v>
      </c>
      <c r="E48" s="1079" t="e">
        <f>R48</f>
        <v>#DIV/0!</v>
      </c>
      <c r="F48" s="2138"/>
      <c r="G48" s="1078" t="e">
        <f>T48</f>
        <v>#DIV/0!</v>
      </c>
      <c r="H48" s="2138"/>
      <c r="I48" s="1079" t="e">
        <f>V48</f>
        <v>#DIV/0!</v>
      </c>
      <c r="J48" s="2138"/>
      <c r="K48" s="2139">
        <f>F48+H48+J48</f>
        <v>0</v>
      </c>
      <c r="L48" s="2491"/>
      <c r="M48" s="2484"/>
      <c r="N48" s="2484"/>
      <c r="O48" s="2484"/>
      <c r="P48" s="3381" t="str">
        <f>A48</f>
        <v>比较价值（元/平方米）</v>
      </c>
      <c r="Q48" s="3381"/>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3"/>
      <c r="Y48" s="383"/>
      <c r="Z48" s="383"/>
      <c r="AA48" s="383"/>
      <c r="AB48" s="383"/>
      <c r="AC48" s="383"/>
    </row>
    <row r="49" spans="1:29" ht="15.75" thickBot="1">
      <c r="A49" s="425" t="s">
        <v>1710</v>
      </c>
      <c r="B49" s="426"/>
      <c r="C49" s="1080" t="e">
        <f>R49</f>
        <v>#DIV/0!</v>
      </c>
      <c r="D49" s="349"/>
      <c r="E49" s="349"/>
      <c r="F49" s="349"/>
      <c r="G49" s="349"/>
      <c r="H49" s="349"/>
      <c r="I49" s="349"/>
      <c r="J49" s="349"/>
      <c r="K49" s="1764"/>
      <c r="L49" s="2491"/>
      <c r="M49" s="2484"/>
      <c r="N49" s="2484"/>
      <c r="O49" s="2484"/>
      <c r="P49" s="3375" t="str">
        <f>A49</f>
        <v>估价对象XX用房的比较价值（楼面单价，元/平方米）</v>
      </c>
      <c r="Q49" s="3376"/>
      <c r="R49" s="3445" t="e">
        <f>IF(F1="售价",ROUND(IF(D48="简单平均",AVERAGE(R48:V48),R48*F48+T48*H48+V48*J48),0),ROUND(IF(D48="简单平均",AVERAGE(R48:V48),R48*F48+T48*H48+V48*J48),1))</f>
        <v>#DIV/0!</v>
      </c>
      <c r="S49" s="3445"/>
      <c r="T49" s="3445"/>
      <c r="U49" s="3445"/>
      <c r="V49" s="3445"/>
      <c r="W49" s="3445"/>
      <c r="X49" s="383"/>
      <c r="Y49" s="383"/>
      <c r="Z49" s="383"/>
      <c r="AA49" s="383"/>
      <c r="AB49" s="383"/>
      <c r="AC49" s="383"/>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6"/>
      <c r="L52" s="2492"/>
      <c r="M52" s="2484"/>
      <c r="N52" s="2484"/>
      <c r="O52" s="2484"/>
    </row>
    <row r="53" spans="1:29" ht="13.5" customHeight="1">
      <c r="A53" s="2484"/>
      <c r="B53" s="2484"/>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6"/>
      <c r="L53" s="2492"/>
      <c r="M53" s="2484"/>
      <c r="N53" s="2484"/>
      <c r="O53" s="2484"/>
    </row>
    <row r="54" spans="1:29" s="435" customFormat="1" ht="13.5" customHeight="1">
      <c r="A54" s="2494"/>
      <c r="B54" s="2494"/>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9"/>
      <c r="L54" s="2493"/>
      <c r="M54" s="2494"/>
      <c r="N54" s="2494"/>
      <c r="O54" s="2494"/>
      <c r="P54" s="1766"/>
    </row>
    <row r="55" spans="1:29" s="435" customFormat="1">
      <c r="A55" s="2494"/>
      <c r="B55" s="2497"/>
      <c r="C55" s="2498"/>
      <c r="D55" s="2494"/>
      <c r="E55" s="2494"/>
      <c r="F55" s="2494"/>
      <c r="G55" s="2494"/>
      <c r="H55" s="2494"/>
      <c r="I55" s="2494"/>
      <c r="J55" s="2494"/>
      <c r="K55" s="2499"/>
      <c r="L55" s="2493"/>
      <c r="M55" s="2494"/>
      <c r="N55" s="2494"/>
      <c r="O55" s="2494"/>
      <c r="P55" s="1766"/>
    </row>
    <row r="56" spans="1:29">
      <c r="A56" s="2484"/>
      <c r="B56" s="2497"/>
      <c r="C56" s="2498"/>
      <c r="D56" s="2484"/>
      <c r="E56" s="2484"/>
      <c r="F56" s="2484"/>
      <c r="G56" s="2484"/>
      <c r="H56" s="2484"/>
      <c r="I56" s="2484"/>
      <c r="J56" s="2484"/>
      <c r="K56" s="2496"/>
      <c r="L56" s="2492"/>
      <c r="M56" s="2484"/>
      <c r="N56" s="2484"/>
      <c r="O56" s="2484"/>
    </row>
    <row r="57" spans="1:29" ht="21.75" thickBot="1">
      <c r="A57" s="656" t="s">
        <v>1714</v>
      </c>
      <c r="B57" s="383"/>
      <c r="C57" s="657"/>
      <c r="D57" s="657"/>
      <c r="E57" s="657"/>
      <c r="F57" s="658"/>
      <c r="G57" s="658"/>
      <c r="H57" s="657"/>
      <c r="I57" s="657"/>
      <c r="J57" s="657"/>
      <c r="K57" s="883"/>
      <c r="L57" s="884"/>
      <c r="M57" s="882"/>
      <c r="N57" s="882"/>
      <c r="O57" s="882"/>
      <c r="P57" s="1767"/>
      <c r="Q57" s="437"/>
    </row>
    <row r="58" spans="1:29" s="440" customFormat="1" ht="15">
      <c r="A58" s="438" t="s">
        <v>1715</v>
      </c>
      <c r="B58" s="439"/>
      <c r="C58" s="1101" t="str">
        <f>YEAR(C7)&amp;"-"&amp;MONTH(C7)</f>
        <v>2025-9</v>
      </c>
      <c r="D58" s="1100">
        <f>EDATE(C58,-1)</f>
        <v>45870</v>
      </c>
      <c r="E58" s="1100">
        <f>EDATE(D58,-1)</f>
        <v>45839</v>
      </c>
      <c r="F58" s="1100">
        <f t="shared" ref="F58:O58" si="19">EDATE(E58,-1)</f>
        <v>45809</v>
      </c>
      <c r="G58" s="1100">
        <f t="shared" si="19"/>
        <v>45778</v>
      </c>
      <c r="H58" s="1100">
        <f t="shared" si="19"/>
        <v>45748</v>
      </c>
      <c r="I58" s="1100">
        <f t="shared" si="19"/>
        <v>45717</v>
      </c>
      <c r="J58" s="1100">
        <f t="shared" si="19"/>
        <v>45689</v>
      </c>
      <c r="K58" s="1100">
        <f t="shared" si="19"/>
        <v>45658</v>
      </c>
      <c r="L58" s="1100">
        <f t="shared" si="19"/>
        <v>45627</v>
      </c>
      <c r="M58" s="1100">
        <f t="shared" si="19"/>
        <v>45597</v>
      </c>
      <c r="N58" s="1100">
        <f t="shared" si="19"/>
        <v>45566</v>
      </c>
      <c r="O58" s="1100">
        <f t="shared" si="19"/>
        <v>45536</v>
      </c>
      <c r="P58" s="1096"/>
    </row>
    <row r="59" spans="1:29" s="100" customFormat="1" ht="15">
      <c r="A59" s="441"/>
      <c r="B59" s="1768"/>
      <c r="C59" s="1098">
        <v>100</v>
      </c>
      <c r="D59" s="443"/>
      <c r="E59" s="444"/>
      <c r="F59" s="444"/>
      <c r="G59" s="444"/>
      <c r="H59" s="444"/>
      <c r="I59" s="444"/>
      <c r="J59" s="444"/>
      <c r="K59" s="444"/>
      <c r="L59" s="444"/>
      <c r="M59" s="445"/>
      <c r="N59" s="444"/>
      <c r="O59" s="445"/>
      <c r="P59" s="1769"/>
    </row>
    <row r="60" spans="1:29" s="100" customFormat="1" ht="15.75" thickBot="1">
      <c r="A60" s="447" t="s">
        <v>1716</v>
      </c>
      <c r="B60" s="448"/>
      <c r="C60" s="449"/>
      <c r="D60" s="450"/>
      <c r="E60" s="450"/>
      <c r="F60" s="450"/>
      <c r="G60" s="450"/>
      <c r="H60" s="450"/>
      <c r="I60" s="450"/>
      <c r="J60" s="450"/>
      <c r="K60" s="450"/>
      <c r="L60" s="450"/>
      <c r="M60" s="451"/>
      <c r="N60" s="450"/>
      <c r="O60" s="451"/>
      <c r="P60" s="1769"/>
      <c r="Q60" s="437"/>
    </row>
    <row r="61" spans="1:29" s="100" customFormat="1" ht="15">
      <c r="A61" s="453" t="s">
        <v>1717</v>
      </c>
      <c r="B61" s="442"/>
      <c r="C61" s="454" t="s">
        <v>1718</v>
      </c>
      <c r="D61" s="31"/>
      <c r="E61" s="31"/>
      <c r="F61" s="31"/>
      <c r="G61" s="31"/>
      <c r="H61" s="31"/>
      <c r="I61" s="31"/>
      <c r="J61" s="31"/>
      <c r="K61" s="31"/>
      <c r="L61" s="455"/>
      <c r="M61" s="456"/>
      <c r="N61" s="874"/>
      <c r="O61" s="874"/>
      <c r="P61" s="1770"/>
      <c r="Q61" s="437"/>
    </row>
    <row r="62" spans="1:29" s="100" customFormat="1" ht="15.75" thickBot="1">
      <c r="A62" s="453"/>
      <c r="B62" s="442"/>
      <c r="C62" s="443">
        <v>100</v>
      </c>
      <c r="D62" s="444"/>
      <c r="E62" s="444"/>
      <c r="F62" s="444"/>
      <c r="G62" s="444"/>
      <c r="H62" s="444"/>
      <c r="I62" s="444"/>
      <c r="J62" s="444"/>
      <c r="K62" s="444"/>
      <c r="L62" s="444"/>
      <c r="M62" s="446"/>
      <c r="N62" s="874"/>
      <c r="O62" s="874"/>
      <c r="P62" s="1769"/>
      <c r="Q62" s="437"/>
    </row>
    <row r="63" spans="1:29">
      <c r="A63" s="377" t="s">
        <v>1719</v>
      </c>
      <c r="B63" s="458" t="s">
        <v>1685</v>
      </c>
      <c r="C63" s="459">
        <f>C9</f>
        <v>0</v>
      </c>
      <c r="D63" s="460"/>
      <c r="E63" s="460"/>
      <c r="F63" s="460"/>
      <c r="G63" s="460"/>
      <c r="H63" s="460"/>
      <c r="I63" s="460"/>
      <c r="J63" s="460"/>
      <c r="K63" s="461"/>
      <c r="L63" s="462"/>
      <c r="M63" s="463"/>
      <c r="N63" s="875"/>
      <c r="O63" s="875"/>
      <c r="P63" s="1771"/>
      <c r="Q63" s="437"/>
    </row>
    <row r="64" spans="1:29" ht="15.75" thickBot="1">
      <c r="A64" s="365"/>
      <c r="B64" s="464"/>
      <c r="C64" s="465">
        <v>100</v>
      </c>
      <c r="D64" s="465"/>
      <c r="E64" s="465"/>
      <c r="F64" s="465"/>
      <c r="G64" s="465"/>
      <c r="H64" s="465"/>
      <c r="I64" s="465"/>
      <c r="J64" s="465"/>
      <c r="K64" s="465"/>
      <c r="L64" s="465"/>
      <c r="M64" s="466"/>
      <c r="N64" s="876"/>
      <c r="O64" s="876"/>
      <c r="P64" s="1771"/>
      <c r="Q64" s="437"/>
    </row>
    <row r="65" spans="1:17" ht="27.75" thickTop="1">
      <c r="A65" s="365"/>
      <c r="B65" s="467" t="s">
        <v>1688</v>
      </c>
      <c r="C65" s="511"/>
      <c r="D65" s="511"/>
      <c r="E65" s="511"/>
      <c r="F65" s="511"/>
      <c r="G65" s="511"/>
      <c r="H65" s="511"/>
      <c r="I65" s="511"/>
      <c r="J65" s="511"/>
      <c r="K65" s="511"/>
      <c r="L65" s="511"/>
      <c r="M65" s="511"/>
      <c r="N65" s="876"/>
      <c r="O65" s="876"/>
      <c r="P65" s="1771"/>
      <c r="Q65" s="437"/>
    </row>
    <row r="66" spans="1:17" ht="15.75" thickBot="1">
      <c r="A66" s="365"/>
      <c r="B66" s="472"/>
      <c r="C66" s="465"/>
      <c r="D66" s="465"/>
      <c r="E66" s="465"/>
      <c r="F66" s="465"/>
      <c r="G66" s="465"/>
      <c r="H66" s="465"/>
      <c r="I66" s="465"/>
      <c r="J66" s="465"/>
      <c r="K66" s="465"/>
      <c r="L66" s="465"/>
      <c r="M66" s="466"/>
      <c r="N66" s="876"/>
      <c r="O66" s="876"/>
      <c r="P66" s="1771"/>
      <c r="Q66" s="437"/>
    </row>
    <row r="67" spans="1:17" ht="15.7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6"/>
      <c r="O67" s="876"/>
      <c r="P67" s="1771"/>
      <c r="Q67" s="437"/>
    </row>
    <row r="68" spans="1:17" ht="15">
      <c r="A68" s="365"/>
      <c r="B68" s="477"/>
      <c r="C68" s="478"/>
      <c r="D68" s="478"/>
      <c r="E68" s="478"/>
      <c r="F68" s="478"/>
      <c r="G68" s="478"/>
      <c r="H68" s="478"/>
      <c r="I68" s="478"/>
      <c r="J68" s="478"/>
      <c r="K68" s="479"/>
      <c r="L68" s="480"/>
      <c r="M68" s="481"/>
      <c r="N68" s="875"/>
      <c r="O68" s="875"/>
      <c r="P68" s="1771"/>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6"/>
      <c r="O69" s="876"/>
      <c r="P69" s="1771"/>
      <c r="Q69" s="437"/>
    </row>
    <row r="70" spans="1:17" s="406" customFormat="1" ht="15.75" thickTop="1">
      <c r="A70" s="482"/>
      <c r="B70" s="467">
        <f>B12</f>
        <v>111</v>
      </c>
      <c r="C70" s="483"/>
      <c r="D70" s="483"/>
      <c r="E70" s="483"/>
      <c r="F70" s="483"/>
      <c r="G70" s="483"/>
      <c r="H70" s="484"/>
      <c r="I70" s="484"/>
      <c r="J70" s="484"/>
      <c r="K70" s="484"/>
      <c r="L70" s="485"/>
      <c r="M70" s="486"/>
      <c r="N70" s="877"/>
      <c r="O70" s="877"/>
      <c r="P70" s="1772"/>
      <c r="Q70" s="488"/>
    </row>
    <row r="71" spans="1:17" s="406" customFormat="1" ht="15.75" thickBot="1">
      <c r="A71" s="482"/>
      <c r="B71" s="472"/>
      <c r="C71" s="489"/>
      <c r="D71" s="465"/>
      <c r="E71" s="465"/>
      <c r="F71" s="465"/>
      <c r="G71" s="465"/>
      <c r="H71" s="465"/>
      <c r="I71" s="465"/>
      <c r="J71" s="465"/>
      <c r="K71" s="465"/>
      <c r="L71" s="465"/>
      <c r="M71" s="466"/>
      <c r="N71" s="876"/>
      <c r="O71" s="876"/>
      <c r="P71" s="1772"/>
      <c r="Q71" s="488"/>
    </row>
    <row r="72" spans="1:17" s="406" customFormat="1" ht="15.75" thickTop="1">
      <c r="A72" s="482"/>
      <c r="B72" s="467">
        <f>B13</f>
        <v>111</v>
      </c>
      <c r="C72" s="483"/>
      <c r="D72" s="483"/>
      <c r="E72" s="483"/>
      <c r="F72" s="483"/>
      <c r="G72" s="483"/>
      <c r="H72" s="484"/>
      <c r="I72" s="484"/>
      <c r="J72" s="484"/>
      <c r="K72" s="484"/>
      <c r="L72" s="485"/>
      <c r="M72" s="486"/>
      <c r="N72" s="877"/>
      <c r="O72" s="877"/>
      <c r="P72" s="1773"/>
      <c r="Q72" s="490"/>
    </row>
    <row r="73" spans="1:17" s="406" customFormat="1" ht="15.75" thickBot="1">
      <c r="A73" s="482"/>
      <c r="B73" s="472"/>
      <c r="C73" s="489"/>
      <c r="D73" s="489"/>
      <c r="E73" s="489"/>
      <c r="F73" s="489"/>
      <c r="G73" s="489"/>
      <c r="H73" s="491"/>
      <c r="I73" s="491"/>
      <c r="J73" s="491"/>
      <c r="K73" s="491"/>
      <c r="L73" s="491"/>
      <c r="M73" s="492"/>
      <c r="N73" s="877"/>
      <c r="O73" s="877"/>
      <c r="P73" s="1772"/>
      <c r="Q73" s="488"/>
    </row>
    <row r="74" spans="1:17" s="406" customFormat="1" ht="15.75" thickTop="1">
      <c r="A74" s="482"/>
      <c r="B74" s="475">
        <f>B14</f>
        <v>111</v>
      </c>
      <c r="C74" s="483"/>
      <c r="D74" s="483"/>
      <c r="E74" s="483"/>
      <c r="F74" s="483"/>
      <c r="G74" s="31"/>
      <c r="H74" s="493"/>
      <c r="I74" s="493"/>
      <c r="J74" s="493"/>
      <c r="K74" s="493"/>
      <c r="L74" s="494"/>
      <c r="M74" s="495"/>
      <c r="N74" s="877"/>
      <c r="O74" s="877"/>
      <c r="P74" s="1774"/>
      <c r="Q74" s="488"/>
    </row>
    <row r="75" spans="1:17" s="406" customFormat="1" ht="15.75" thickBot="1">
      <c r="A75" s="497"/>
      <c r="B75" s="498"/>
      <c r="C75" s="499"/>
      <c r="D75" s="499"/>
      <c r="E75" s="499"/>
      <c r="F75" s="499"/>
      <c r="G75" s="499"/>
      <c r="H75" s="500"/>
      <c r="I75" s="500"/>
      <c r="J75" s="500"/>
      <c r="K75" s="500"/>
      <c r="L75" s="500"/>
      <c r="M75" s="501"/>
      <c r="N75" s="877"/>
      <c r="O75" s="877"/>
      <c r="P75" s="1772"/>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5"/>
      <c r="O76" s="875"/>
      <c r="P76" s="1775"/>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6"/>
      <c r="O77" s="876"/>
      <c r="P77" s="1771"/>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5"/>
      <c r="O78" s="875"/>
      <c r="P78" s="1771"/>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6"/>
      <c r="O79" s="876"/>
      <c r="P79" s="1771"/>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5"/>
      <c r="O80" s="875"/>
      <c r="P80" s="1771"/>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6"/>
      <c r="O81" s="876"/>
      <c r="P81" s="1771"/>
      <c r="Q81" s="437"/>
    </row>
    <row r="82" spans="1:17" ht="15.75" thickTop="1">
      <c r="A82" s="365"/>
      <c r="B82" s="475" t="s">
        <v>1260</v>
      </c>
      <c r="C82" s="468" t="s">
        <v>1728</v>
      </c>
      <c r="D82" s="468" t="s">
        <v>1729</v>
      </c>
      <c r="E82" s="468" t="s">
        <v>1730</v>
      </c>
      <c r="F82" s="468" t="s">
        <v>1731</v>
      </c>
      <c r="G82" s="468" t="s">
        <v>1732</v>
      </c>
      <c r="H82" s="468"/>
      <c r="I82" s="468"/>
      <c r="J82" s="468"/>
      <c r="K82" s="468"/>
      <c r="L82" s="468"/>
      <c r="M82" s="1059"/>
      <c r="N82" s="876"/>
      <c r="O82" s="876"/>
      <c r="P82" s="1771"/>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6"/>
      <c r="O83" s="876"/>
      <c r="P83" s="1771"/>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5"/>
      <c r="O84" s="875"/>
      <c r="P84" s="1771"/>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6"/>
      <c r="O85" s="876"/>
      <c r="P85" s="1771"/>
      <c r="Q85" s="437"/>
    </row>
    <row r="86" spans="1:17" s="100" customFormat="1" ht="15.75" thickTop="1">
      <c r="A86" s="368"/>
      <c r="B86" s="467" t="s">
        <v>1734</v>
      </c>
      <c r="C86" s="483"/>
      <c r="D86" s="483"/>
      <c r="E86" s="483"/>
      <c r="F86" s="483"/>
      <c r="G86" s="483"/>
      <c r="H86" s="483"/>
      <c r="I86" s="483"/>
      <c r="J86" s="483"/>
      <c r="K86" s="483"/>
      <c r="L86" s="508"/>
      <c r="M86" s="509"/>
      <c r="N86" s="874"/>
      <c r="O86" s="874"/>
      <c r="P86" s="1771"/>
      <c r="Q86" s="437"/>
    </row>
    <row r="87" spans="1:17" s="100"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6"/>
      <c r="O87" s="876"/>
      <c r="P87" s="1771"/>
      <c r="Q87" s="437"/>
    </row>
    <row r="88" spans="1:17" s="100" customFormat="1" ht="15.75" thickTop="1">
      <c r="A88" s="368"/>
      <c r="B88" s="467" t="s">
        <v>1735</v>
      </c>
      <c r="C88" s="483"/>
      <c r="D88" s="483"/>
      <c r="E88" s="483"/>
      <c r="F88" s="1776"/>
      <c r="G88" s="483"/>
      <c r="H88" s="483"/>
      <c r="I88" s="483"/>
      <c r="J88" s="483"/>
      <c r="K88" s="483"/>
      <c r="L88" s="483"/>
      <c r="M88" s="509"/>
      <c r="N88" s="874"/>
      <c r="O88" s="874"/>
      <c r="P88" s="1771"/>
      <c r="Q88" s="437"/>
    </row>
    <row r="89" spans="1:17" s="100"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6"/>
      <c r="O89" s="876"/>
      <c r="P89" s="1771"/>
      <c r="Q89" s="437"/>
    </row>
    <row r="90" spans="1:17" s="406" customFormat="1" ht="15.75" thickTop="1">
      <c r="A90" s="482"/>
      <c r="B90" s="467">
        <f>B27</f>
        <v>111</v>
      </c>
      <c r="C90" s="483"/>
      <c r="D90" s="483"/>
      <c r="E90" s="483"/>
      <c r="F90" s="483"/>
      <c r="G90" s="483"/>
      <c r="H90" s="484"/>
      <c r="I90" s="484"/>
      <c r="J90" s="484"/>
      <c r="K90" s="484"/>
      <c r="L90" s="485"/>
      <c r="M90" s="486"/>
      <c r="N90" s="877"/>
      <c r="O90" s="877"/>
      <c r="P90" s="1772"/>
      <c r="Q90" s="488"/>
    </row>
    <row r="91" spans="1:17" s="406" customFormat="1" ht="15.75" thickBot="1">
      <c r="A91" s="482"/>
      <c r="B91" s="472"/>
      <c r="C91" s="489"/>
      <c r="D91" s="489"/>
      <c r="E91" s="489"/>
      <c r="F91" s="489"/>
      <c r="G91" s="489"/>
      <c r="H91" s="491"/>
      <c r="I91" s="491"/>
      <c r="J91" s="491"/>
      <c r="K91" s="491"/>
      <c r="L91" s="491"/>
      <c r="M91" s="492"/>
      <c r="N91" s="877"/>
      <c r="O91" s="877"/>
      <c r="P91" s="1772"/>
      <c r="Q91" s="488"/>
    </row>
    <row r="92" spans="1:17" ht="15.75" thickTop="1">
      <c r="A92" s="365"/>
      <c r="B92" s="467">
        <f>B28</f>
        <v>111</v>
      </c>
      <c r="C92" s="483"/>
      <c r="D92" s="483"/>
      <c r="E92" s="483"/>
      <c r="F92" s="483"/>
      <c r="G92" s="511"/>
      <c r="H92" s="511"/>
      <c r="I92" s="511"/>
      <c r="J92" s="511"/>
      <c r="K92" s="512"/>
      <c r="L92" s="513"/>
      <c r="M92" s="514"/>
      <c r="N92" s="875"/>
      <c r="O92" s="875"/>
      <c r="P92" s="1771"/>
      <c r="Q92" s="437"/>
    </row>
    <row r="93" spans="1:17" ht="15.75" thickBot="1">
      <c r="A93" s="365"/>
      <c r="B93" s="472"/>
      <c r="C93" s="489"/>
      <c r="D93" s="465"/>
      <c r="E93" s="465"/>
      <c r="F93" s="465"/>
      <c r="G93" s="465"/>
      <c r="H93" s="465"/>
      <c r="I93" s="465"/>
      <c r="J93" s="465"/>
      <c r="K93" s="465"/>
      <c r="L93" s="465"/>
      <c r="M93" s="466"/>
      <c r="N93" s="876"/>
      <c r="O93" s="876"/>
      <c r="P93" s="1771"/>
      <c r="Q93" s="437"/>
    </row>
    <row r="94" spans="1:17" ht="15.75" thickTop="1">
      <c r="A94" s="365"/>
      <c r="B94" s="467">
        <f>B29</f>
        <v>111</v>
      </c>
      <c r="C94" s="483"/>
      <c r="D94" s="483"/>
      <c r="E94" s="483"/>
      <c r="F94" s="483"/>
      <c r="G94" s="511"/>
      <c r="H94" s="511"/>
      <c r="I94" s="511"/>
      <c r="J94" s="511"/>
      <c r="K94" s="512"/>
      <c r="L94" s="513"/>
      <c r="M94" s="514"/>
      <c r="N94" s="875"/>
      <c r="O94" s="875"/>
      <c r="P94" s="1771"/>
      <c r="Q94" s="437"/>
    </row>
    <row r="95" spans="1:17" ht="15.75" thickBot="1">
      <c r="A95" s="365"/>
      <c r="B95" s="472"/>
      <c r="C95" s="489"/>
      <c r="D95" s="489"/>
      <c r="E95" s="489"/>
      <c r="F95" s="489"/>
      <c r="G95" s="465"/>
      <c r="H95" s="465"/>
      <c r="I95" s="465"/>
      <c r="J95" s="465"/>
      <c r="K95" s="465"/>
      <c r="L95" s="465"/>
      <c r="M95" s="466"/>
      <c r="N95" s="876"/>
      <c r="O95" s="876"/>
      <c r="P95" s="1771"/>
      <c r="Q95" s="437"/>
    </row>
    <row r="96" spans="1:17" ht="15.75" thickTop="1">
      <c r="A96" s="365"/>
      <c r="B96" s="467">
        <f>B30</f>
        <v>111</v>
      </c>
      <c r="C96" s="483"/>
      <c r="D96" s="483"/>
      <c r="E96" s="483"/>
      <c r="F96" s="483"/>
      <c r="G96" s="511"/>
      <c r="H96" s="511"/>
      <c r="I96" s="511"/>
      <c r="J96" s="511"/>
      <c r="K96" s="512"/>
      <c r="L96" s="513"/>
      <c r="M96" s="514"/>
      <c r="N96" s="875"/>
      <c r="O96" s="875"/>
      <c r="P96" s="1771"/>
      <c r="Q96" s="437"/>
    </row>
    <row r="97" spans="1:17" ht="15.75" thickBot="1">
      <c r="A97" s="365"/>
      <c r="B97" s="472"/>
      <c r="C97" s="499"/>
      <c r="D97" s="499"/>
      <c r="E97" s="499"/>
      <c r="F97" s="499"/>
      <c r="G97" s="465"/>
      <c r="H97" s="465"/>
      <c r="I97" s="465"/>
      <c r="J97" s="465"/>
      <c r="K97" s="465"/>
      <c r="L97" s="465"/>
      <c r="M97" s="466"/>
      <c r="N97" s="876"/>
      <c r="O97" s="876"/>
      <c r="P97" s="1771"/>
      <c r="Q97" s="437"/>
    </row>
    <row r="98" spans="1:17" ht="15.75" thickTop="1">
      <c r="A98" s="365"/>
      <c r="B98" s="475">
        <f>B31</f>
        <v>111</v>
      </c>
      <c r="C98" s="515"/>
      <c r="D98" s="515"/>
      <c r="E98" s="515"/>
      <c r="F98" s="515"/>
      <c r="G98" s="515"/>
      <c r="H98" s="515"/>
      <c r="I98" s="515"/>
      <c r="J98" s="515"/>
      <c r="K98" s="516"/>
      <c r="L98" s="517"/>
      <c r="M98" s="518"/>
      <c r="N98" s="875"/>
      <c r="O98" s="875"/>
      <c r="P98" s="1771"/>
      <c r="Q98" s="437"/>
    </row>
    <row r="99" spans="1:17" ht="15.75" thickBot="1">
      <c r="A99" s="373"/>
      <c r="B99" s="498"/>
      <c r="C99" s="519"/>
      <c r="D99" s="519"/>
      <c r="E99" s="519"/>
      <c r="F99" s="519"/>
      <c r="G99" s="519"/>
      <c r="H99" s="519"/>
      <c r="I99" s="519"/>
      <c r="J99" s="519"/>
      <c r="K99" s="519"/>
      <c r="L99" s="519"/>
      <c r="M99" s="520"/>
      <c r="N99" s="876"/>
      <c r="O99" s="876"/>
      <c r="P99" s="1771"/>
      <c r="Q99" s="437"/>
    </row>
    <row r="100" spans="1:17">
      <c r="A100" s="377" t="s">
        <v>1694</v>
      </c>
      <c r="B100" s="458" t="s">
        <v>1736</v>
      </c>
      <c r="C100" s="460"/>
      <c r="D100" s="460"/>
      <c r="E100" s="460"/>
      <c r="F100" s="460"/>
      <c r="G100" s="460"/>
      <c r="H100" s="460"/>
      <c r="I100" s="460"/>
      <c r="J100" s="460"/>
      <c r="K100" s="461"/>
      <c r="L100" s="462"/>
      <c r="M100" s="463"/>
      <c r="N100" s="875"/>
      <c r="O100" s="875"/>
      <c r="P100" s="1771"/>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6"/>
      <c r="O101" s="876"/>
      <c r="P101" s="1771"/>
      <c r="Q101" s="437"/>
    </row>
    <row r="102" spans="1:17" ht="15.7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4"/>
      <c r="O102" s="874"/>
      <c r="P102" s="1771"/>
      <c r="Q102" s="437"/>
    </row>
    <row r="103" spans="1:17" s="406" customFormat="1">
      <c r="A103" s="404"/>
      <c r="B103" s="521"/>
      <c r="C103" s="6"/>
      <c r="D103" s="6"/>
      <c r="E103" s="6"/>
      <c r="F103" s="6"/>
      <c r="G103" s="6"/>
      <c r="H103" s="6"/>
      <c r="I103" s="6"/>
      <c r="J103" s="522"/>
      <c r="K103" s="522"/>
      <c r="L103" s="523"/>
      <c r="M103" s="524"/>
      <c r="N103" s="877"/>
      <c r="O103" s="877"/>
      <c r="P103" s="1772"/>
      <c r="Q103" s="488"/>
    </row>
    <row r="104" spans="1:17" s="406" customFormat="1" ht="15.75" thickBot="1">
      <c r="A104" s="482"/>
      <c r="B104" s="472"/>
      <c r="C104" s="489"/>
      <c r="D104" s="465"/>
      <c r="E104" s="465"/>
      <c r="F104" s="465"/>
      <c r="G104" s="465"/>
      <c r="H104" s="465"/>
      <c r="I104" s="465"/>
      <c r="J104" s="465"/>
      <c r="K104" s="465"/>
      <c r="L104" s="465"/>
      <c r="M104" s="465"/>
      <c r="N104" s="876"/>
      <c r="O104" s="876"/>
      <c r="P104" s="1772"/>
      <c r="Q104" s="488"/>
    </row>
    <row r="105" spans="1:17" ht="15" thickTop="1">
      <c r="A105" s="407"/>
      <c r="B105" s="467" t="s">
        <v>1738</v>
      </c>
      <c r="C105" s="483"/>
      <c r="D105" s="483"/>
      <c r="E105" s="511"/>
      <c r="F105" s="511"/>
      <c r="G105" s="511"/>
      <c r="H105" s="511"/>
      <c r="I105" s="511"/>
      <c r="J105" s="511"/>
      <c r="K105" s="512"/>
      <c r="L105" s="513"/>
      <c r="M105" s="514"/>
      <c r="N105" s="875"/>
      <c r="O105" s="875"/>
      <c r="P105" s="1771"/>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6"/>
      <c r="O106" s="876"/>
      <c r="P106" s="1771"/>
      <c r="Q106" s="437"/>
    </row>
    <row r="107" spans="1:17" ht="15" thickTop="1">
      <c r="A107" s="407"/>
      <c r="B107" s="467" t="s">
        <v>1739</v>
      </c>
      <c r="C107" s="511"/>
      <c r="D107" s="511"/>
      <c r="E107" s="511"/>
      <c r="F107" s="511"/>
      <c r="G107" s="511"/>
      <c r="H107" s="511"/>
      <c r="I107" s="511"/>
      <c r="J107" s="511"/>
      <c r="K107" s="512"/>
      <c r="L107" s="513"/>
      <c r="M107" s="514"/>
      <c r="N107" s="875"/>
      <c r="O107" s="875"/>
      <c r="P107" s="1771"/>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6"/>
      <c r="O108" s="876"/>
      <c r="P108" s="1771"/>
      <c r="Q108" s="437"/>
    </row>
    <row r="109" spans="1:17" ht="15" thickTop="1">
      <c r="A109" s="407"/>
      <c r="B109" s="467" t="s">
        <v>1740</v>
      </c>
      <c r="C109" s="483"/>
      <c r="D109" s="483"/>
      <c r="E109" s="483"/>
      <c r="F109" s="511"/>
      <c r="G109" s="511"/>
      <c r="H109" s="511"/>
      <c r="I109" s="511"/>
      <c r="J109" s="511"/>
      <c r="K109" s="512"/>
      <c r="L109" s="513"/>
      <c r="M109" s="514"/>
      <c r="N109" s="875"/>
      <c r="O109" s="875"/>
      <c r="P109" s="1771"/>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6"/>
      <c r="O110" s="876"/>
      <c r="P110" s="1771"/>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7"/>
      <c r="O111" s="877"/>
      <c r="P111" s="1772"/>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7"/>
      <c r="O112" s="877"/>
      <c r="P112" s="1772"/>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7"/>
      <c r="O113" s="877"/>
      <c r="P113" s="1772"/>
      <c r="Q113" s="488"/>
    </row>
    <row r="114" spans="1:17" ht="15" thickTop="1">
      <c r="A114" s="407"/>
      <c r="B114" s="467" t="s">
        <v>1741</v>
      </c>
      <c r="C114" s="483"/>
      <c r="D114" s="483"/>
      <c r="E114" s="511"/>
      <c r="F114" s="511"/>
      <c r="G114" s="511"/>
      <c r="H114" s="511"/>
      <c r="I114" s="511"/>
      <c r="J114" s="511"/>
      <c r="K114" s="512"/>
      <c r="L114" s="513"/>
      <c r="M114" s="514"/>
      <c r="N114" s="875"/>
      <c r="O114" s="875"/>
      <c r="P114" s="1771"/>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6"/>
      <c r="O115" s="876"/>
      <c r="P115" s="1771"/>
      <c r="Q115" s="437"/>
    </row>
    <row r="116" spans="1:17" ht="15" thickTop="1">
      <c r="A116" s="407"/>
      <c r="B116" s="467" t="s">
        <v>1742</v>
      </c>
      <c r="C116" s="483"/>
      <c r="D116" s="483"/>
      <c r="E116" s="483"/>
      <c r="F116" s="483"/>
      <c r="G116" s="483"/>
      <c r="H116" s="511"/>
      <c r="I116" s="511"/>
      <c r="J116" s="511"/>
      <c r="K116" s="512"/>
      <c r="L116" s="513"/>
      <c r="M116" s="514"/>
      <c r="N116" s="875"/>
      <c r="O116" s="875"/>
      <c r="P116" s="1771"/>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6"/>
      <c r="O117" s="876"/>
      <c r="P117" s="1771"/>
      <c r="Q117" s="437"/>
    </row>
    <row r="118" spans="1:17" ht="15" thickTop="1">
      <c r="A118" s="407"/>
      <c r="B118" s="467" t="s">
        <v>1743</v>
      </c>
      <c r="C118" s="511"/>
      <c r="D118" s="511"/>
      <c r="E118" s="511"/>
      <c r="F118" s="511"/>
      <c r="G118" s="511"/>
      <c r="H118" s="511"/>
      <c r="I118" s="511"/>
      <c r="J118" s="511"/>
      <c r="K118" s="512"/>
      <c r="L118" s="513"/>
      <c r="M118" s="514"/>
      <c r="N118" s="875"/>
      <c r="O118" s="875"/>
      <c r="P118" s="1771"/>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6"/>
      <c r="O119" s="876"/>
      <c r="P119" s="1771"/>
      <c r="Q119" s="437"/>
    </row>
    <row r="120" spans="1:17" s="406" customFormat="1" ht="28.5" thickTop="1">
      <c r="A120" s="404"/>
      <c r="B120" s="467" t="s">
        <v>1705</v>
      </c>
      <c r="C120" s="483"/>
      <c r="D120" s="483"/>
      <c r="E120" s="483"/>
      <c r="F120" s="483"/>
      <c r="G120" s="483"/>
      <c r="H120" s="483"/>
      <c r="I120" s="483"/>
      <c r="J120" s="483"/>
      <c r="K120" s="483"/>
      <c r="L120" s="508"/>
      <c r="M120" s="509"/>
      <c r="N120" s="877"/>
      <c r="O120" s="877"/>
      <c r="P120" s="1772"/>
      <c r="Q120" s="488"/>
    </row>
    <row r="121" spans="1:17" s="406" customFormat="1" ht="15.75" thickBot="1">
      <c r="A121" s="482"/>
      <c r="B121" s="464"/>
      <c r="C121" s="489"/>
      <c r="D121" s="465"/>
      <c r="E121" s="465"/>
      <c r="F121" s="465"/>
      <c r="G121" s="465"/>
      <c r="H121" s="465"/>
      <c r="I121" s="465"/>
      <c r="J121" s="465"/>
      <c r="K121" s="465"/>
      <c r="L121" s="465"/>
      <c r="M121" s="465"/>
      <c r="N121" s="877"/>
      <c r="O121" s="877"/>
      <c r="P121" s="1772"/>
      <c r="Q121" s="488"/>
    </row>
    <row r="122" spans="1:17" ht="15" thickTop="1">
      <c r="A122" s="407"/>
      <c r="B122" s="467" t="s">
        <v>1744</v>
      </c>
      <c r="C122" s="483"/>
      <c r="D122" s="483"/>
      <c r="E122" s="483"/>
      <c r="F122" s="511"/>
      <c r="G122" s="511"/>
      <c r="H122" s="511"/>
      <c r="I122" s="511"/>
      <c r="J122" s="511"/>
      <c r="K122" s="512"/>
      <c r="L122" s="513"/>
      <c r="M122" s="514"/>
      <c r="N122" s="875"/>
      <c r="O122" s="875"/>
      <c r="P122" s="1771"/>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6"/>
      <c r="O123" s="876"/>
      <c r="P123" s="1771"/>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5"/>
      <c r="O124" s="875"/>
      <c r="P124" s="1772"/>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6"/>
      <c r="O125" s="876"/>
      <c r="P125" s="1771"/>
      <c r="Q125" s="437"/>
    </row>
    <row r="126" spans="1:17" s="406" customFormat="1" ht="15" thickTop="1">
      <c r="A126" s="404"/>
      <c r="B126" s="467">
        <f>B44</f>
        <v>111</v>
      </c>
      <c r="C126" s="483"/>
      <c r="D126" s="483"/>
      <c r="E126" s="483"/>
      <c r="F126" s="483"/>
      <c r="G126" s="483"/>
      <c r="H126" s="484"/>
      <c r="I126" s="484"/>
      <c r="J126" s="484"/>
      <c r="K126" s="484"/>
      <c r="L126" s="485"/>
      <c r="M126" s="486"/>
      <c r="N126" s="877"/>
      <c r="O126" s="877"/>
      <c r="P126" s="1772"/>
      <c r="Q126" s="488"/>
    </row>
    <row r="127" spans="1:17" s="406" customFormat="1" ht="15.75" thickBot="1">
      <c r="A127" s="482"/>
      <c r="B127" s="472"/>
      <c r="C127" s="489"/>
      <c r="D127" s="465"/>
      <c r="E127" s="465"/>
      <c r="F127" s="465"/>
      <c r="G127" s="489"/>
      <c r="H127" s="491"/>
      <c r="I127" s="491"/>
      <c r="J127" s="491"/>
      <c r="K127" s="491"/>
      <c r="L127" s="491"/>
      <c r="M127" s="492"/>
      <c r="N127" s="877"/>
      <c r="O127" s="877"/>
      <c r="P127" s="1772"/>
      <c r="Q127" s="488"/>
    </row>
    <row r="128" spans="1:17" ht="15" thickTop="1">
      <c r="A128" s="407"/>
      <c r="B128" s="467">
        <f>B45</f>
        <v>111</v>
      </c>
      <c r="C128" s="483"/>
      <c r="D128" s="483"/>
      <c r="E128" s="483"/>
      <c r="F128" s="483"/>
      <c r="G128" s="511"/>
      <c r="H128" s="511"/>
      <c r="I128" s="511"/>
      <c r="J128" s="511"/>
      <c r="K128" s="512"/>
      <c r="L128" s="513"/>
      <c r="M128" s="514"/>
      <c r="N128" s="875"/>
      <c r="O128" s="875"/>
      <c r="P128" s="1771"/>
      <c r="Q128" s="437"/>
    </row>
    <row r="129" spans="1:17" ht="15.75" thickBot="1">
      <c r="A129" s="365"/>
      <c r="B129" s="472"/>
      <c r="C129" s="489"/>
      <c r="D129" s="489"/>
      <c r="E129" s="489"/>
      <c r="F129" s="489"/>
      <c r="G129" s="465"/>
      <c r="H129" s="465"/>
      <c r="I129" s="465"/>
      <c r="J129" s="465"/>
      <c r="K129" s="465"/>
      <c r="L129" s="465"/>
      <c r="M129" s="466"/>
      <c r="N129" s="876"/>
      <c r="O129" s="876"/>
      <c r="P129" s="1771"/>
      <c r="Q129" s="437"/>
    </row>
    <row r="130" spans="1:17" ht="15" thickTop="1">
      <c r="A130" s="407"/>
      <c r="B130" s="475">
        <f>B46</f>
        <v>111</v>
      </c>
      <c r="C130" s="483"/>
      <c r="D130" s="483"/>
      <c r="E130" s="483"/>
      <c r="F130" s="483"/>
      <c r="G130" s="515"/>
      <c r="H130" s="515"/>
      <c r="I130" s="515"/>
      <c r="J130" s="515"/>
      <c r="K130" s="31"/>
      <c r="L130" s="455"/>
      <c r="M130" s="518"/>
      <c r="N130" s="875"/>
      <c r="O130" s="875"/>
      <c r="P130" s="1771"/>
      <c r="Q130" s="437"/>
    </row>
    <row r="131" spans="1:17" ht="15.75" thickBot="1">
      <c r="A131" s="373"/>
      <c r="B131" s="498"/>
      <c r="C131" s="499"/>
      <c r="D131" s="499"/>
      <c r="E131" s="499"/>
      <c r="F131" s="499"/>
      <c r="G131" s="519"/>
      <c r="H131" s="519"/>
      <c r="I131" s="519"/>
      <c r="J131" s="519"/>
      <c r="K131" s="519"/>
      <c r="L131" s="519"/>
      <c r="M131" s="520"/>
      <c r="N131" s="876"/>
      <c r="O131" s="876"/>
      <c r="P131" s="1771"/>
      <c r="Q131" s="437"/>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7" t="s">
        <v>1749</v>
      </c>
      <c r="D138" s="127" t="s">
        <v>1750</v>
      </c>
      <c r="E138" s="1785" t="s">
        <v>1751</v>
      </c>
      <c r="F138" s="1786" t="s">
        <v>1752</v>
      </c>
      <c r="G138" s="127" t="s">
        <v>1750</v>
      </c>
      <c r="H138" s="128" t="s">
        <v>1751</v>
      </c>
      <c r="I138" s="1787"/>
      <c r="J138" s="127" t="s">
        <v>1753</v>
      </c>
      <c r="K138" s="128" t="s">
        <v>1754</v>
      </c>
    </row>
    <row r="139" spans="1:17" ht="15">
      <c r="B139" s="810">
        <v>6</v>
      </c>
      <c r="C139" s="811">
        <v>96</v>
      </c>
      <c r="D139" s="1788" t="s">
        <v>1755</v>
      </c>
      <c r="E139" s="812">
        <v>100</v>
      </c>
      <c r="F139" s="813">
        <v>102.5</v>
      </c>
      <c r="G139" s="1788" t="s">
        <v>1755</v>
      </c>
      <c r="H139" s="814">
        <v>105</v>
      </c>
      <c r="I139" s="1789" t="s">
        <v>1756</v>
      </c>
      <c r="J139" s="811">
        <v>20</v>
      </c>
      <c r="K139" s="815">
        <f>C145/(J139-2)</f>
        <v>4.0555555555555553E-3</v>
      </c>
    </row>
    <row r="140" spans="1:17" ht="15">
      <c r="B140" s="816">
        <v>5</v>
      </c>
      <c r="C140" s="817">
        <v>100</v>
      </c>
      <c r="D140" s="817"/>
      <c r="E140" s="818"/>
      <c r="F140" s="819">
        <v>102</v>
      </c>
      <c r="G140" s="817"/>
      <c r="H140" s="820"/>
      <c r="I140" s="1790" t="s">
        <v>1757</v>
      </c>
      <c r="J140" s="261">
        <f>ROUNDUP((J139-1)/2,0)</f>
        <v>10</v>
      </c>
      <c r="K140" s="821">
        <v>100</v>
      </c>
    </row>
    <row r="141" spans="1:17" ht="15">
      <c r="B141" s="816">
        <v>4</v>
      </c>
      <c r="C141" s="817">
        <v>102</v>
      </c>
      <c r="D141" s="817"/>
      <c r="E141" s="818"/>
      <c r="F141" s="819">
        <v>101.5</v>
      </c>
      <c r="G141" s="817"/>
      <c r="H141" s="820"/>
      <c r="I141" s="1790" t="s">
        <v>1758</v>
      </c>
      <c r="J141" s="261">
        <v>1</v>
      </c>
      <c r="K141" s="822">
        <f>ROUND(100+(J141-J140)*K139*100,1)</f>
        <v>96.4</v>
      </c>
    </row>
    <row r="142" spans="1:17" ht="15">
      <c r="B142" s="816">
        <v>3</v>
      </c>
      <c r="C142" s="817">
        <v>103</v>
      </c>
      <c r="D142" s="817"/>
      <c r="E142" s="818"/>
      <c r="F142" s="819">
        <v>101</v>
      </c>
      <c r="G142" s="817"/>
      <c r="H142" s="820"/>
      <c r="I142" s="1790" t="s">
        <v>1759</v>
      </c>
      <c r="J142" s="261">
        <f>J139</f>
        <v>20</v>
      </c>
      <c r="K142" s="823">
        <v>95</v>
      </c>
    </row>
    <row r="143" spans="1:17" ht="15">
      <c r="B143" s="816">
        <v>2</v>
      </c>
      <c r="C143" s="817">
        <v>100</v>
      </c>
      <c r="D143" s="817"/>
      <c r="E143" s="818"/>
      <c r="F143" s="819">
        <v>100.5</v>
      </c>
      <c r="G143" s="817"/>
      <c r="H143" s="820"/>
      <c r="I143" s="1790" t="s">
        <v>1760</v>
      </c>
      <c r="J143" s="817">
        <v>15</v>
      </c>
      <c r="K143" s="822">
        <f>ROUND(100+(J143-J140)*K139*100,1)</f>
        <v>102</v>
      </c>
    </row>
    <row r="144" spans="1:17" ht="15">
      <c r="B144" s="816">
        <v>1</v>
      </c>
      <c r="C144" s="817">
        <v>98</v>
      </c>
      <c r="D144" s="1791" t="s">
        <v>1761</v>
      </c>
      <c r="E144" s="818">
        <v>102</v>
      </c>
      <c r="F144" s="824">
        <v>100</v>
      </c>
      <c r="G144" s="1791" t="s">
        <v>1761</v>
      </c>
      <c r="H144" s="820">
        <v>105</v>
      </c>
      <c r="I144" s="1790" t="s">
        <v>1760</v>
      </c>
      <c r="J144" s="817">
        <v>18</v>
      </c>
      <c r="K144" s="822">
        <f>ROUND(100+(J144-J140)*K139*100,1)</f>
        <v>103.2</v>
      </c>
    </row>
    <row r="145" spans="2:11" ht="15.75" thickBot="1">
      <c r="B145" s="1792" t="s">
        <v>1762</v>
      </c>
      <c r="C145" s="825">
        <f>ROUND(MAX(C139:C144)/MIN(C139:C144)-1,3)</f>
        <v>7.2999999999999995E-2</v>
      </c>
      <c r="D145" s="826"/>
      <c r="E145" s="826"/>
      <c r="F145" s="1793" t="s">
        <v>1763</v>
      </c>
      <c r="G145" s="1794"/>
      <c r="H145" s="1795"/>
      <c r="I145" s="1796" t="s">
        <v>1760</v>
      </c>
      <c r="J145" s="827">
        <v>8</v>
      </c>
      <c r="K145" s="828">
        <f>ROUND(100+(J145-J140)*K139*100,1)</f>
        <v>99.2</v>
      </c>
    </row>
    <row r="147" spans="2:11">
      <c r="B147" s="1777" t="s">
        <v>1764</v>
      </c>
    </row>
    <row r="148" spans="2:11">
      <c r="B148" s="177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6" customFormat="1" ht="28.5" customHeight="1" thickBot="1">
      <c r="A1" s="1135" t="s">
        <v>1660</v>
      </c>
      <c r="B1" s="1730" t="s">
        <v>1766</v>
      </c>
      <c r="C1" s="1151" t="s">
        <v>1662</v>
      </c>
      <c r="D1" s="1138"/>
      <c r="E1" s="3121"/>
      <c r="F1" s="1731"/>
      <c r="G1" s="1148" t="s">
        <v>1767</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0" customFormat="1" ht="28.5" customHeight="1" thickTop="1">
      <c r="A2" s="1134" t="s">
        <v>1462</v>
      </c>
      <c r="B2" s="1081"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1463</v>
      </c>
      <c r="F2" s="1735"/>
      <c r="G2" s="851"/>
      <c r="H2" s="851"/>
      <c r="I2" s="851"/>
      <c r="J2" s="851"/>
      <c r="K2" s="851"/>
      <c r="L2" s="2500"/>
      <c r="M2" s="2501"/>
      <c r="N2" s="2501"/>
      <c r="O2" s="2501"/>
      <c r="P2" s="1800"/>
      <c r="Q2" s="855"/>
      <c r="R2" s="855"/>
      <c r="S2" s="855"/>
      <c r="T2" s="855"/>
      <c r="U2" s="855"/>
      <c r="V2" s="855"/>
      <c r="W2" s="855"/>
      <c r="X2" s="855"/>
      <c r="Y2" s="855"/>
      <c r="Z2" s="855"/>
      <c r="AA2" s="855"/>
      <c r="AB2" s="855"/>
      <c r="AC2" s="1801"/>
    </row>
    <row r="3" spans="1:29" s="340" customFormat="1" ht="28.5" customHeight="1" thickBot="1">
      <c r="A3" s="193" t="s">
        <v>1464</v>
      </c>
      <c r="B3" s="534">
        <f>IF(C2="——",C49,ROUND(B2*10000/D3,0))</f>
        <v>0</v>
      </c>
      <c r="C3" s="342" t="s">
        <v>1768</v>
      </c>
      <c r="D3" s="341">
        <f>IF(D1="",'数据-汇总表'!E3,SUMIF('数据-汇总表'!$C19:$C33,D1,'数据-汇总表'!$E19:$E33))</f>
        <v>74353.649999999776</v>
      </c>
      <c r="E3" s="1801"/>
      <c r="F3" s="852"/>
      <c r="G3" s="851"/>
      <c r="H3" s="851"/>
      <c r="I3" s="851"/>
      <c r="J3" s="851"/>
      <c r="K3" s="853"/>
      <c r="L3" s="2500"/>
      <c r="M3" s="2501"/>
      <c r="N3" s="2501"/>
      <c r="O3" s="2501"/>
      <c r="P3" s="1800"/>
      <c r="Q3" s="855"/>
      <c r="R3" s="855"/>
      <c r="S3" s="855"/>
      <c r="T3" s="855"/>
      <c r="U3" s="855"/>
      <c r="V3" s="855"/>
      <c r="W3" s="855"/>
      <c r="X3" s="855"/>
      <c r="Y3" s="855"/>
      <c r="Z3" s="855"/>
      <c r="AA3" s="855"/>
      <c r="AB3" s="855"/>
      <c r="AC3" s="1801"/>
    </row>
    <row r="4" spans="1:29" ht="15">
      <c r="A4" s="343" t="s">
        <v>1769</v>
      </c>
      <c r="B4" s="344"/>
      <c r="C4" s="3378" t="s">
        <v>1770</v>
      </c>
      <c r="D4" s="3390"/>
      <c r="E4" s="3391" t="s">
        <v>1771</v>
      </c>
      <c r="F4" s="3392"/>
      <c r="G4" s="3378" t="s">
        <v>1772</v>
      </c>
      <c r="H4" s="3390"/>
      <c r="I4" s="3378" t="s">
        <v>1773</v>
      </c>
      <c r="J4" s="3390"/>
      <c r="K4" s="535" t="s">
        <v>1774</v>
      </c>
      <c r="L4" s="2483"/>
      <c r="M4" s="2484"/>
      <c r="N4" s="2484"/>
      <c r="O4" s="2484"/>
      <c r="P4" s="3393" t="s">
        <v>1775</v>
      </c>
      <c r="Q4" s="3394"/>
      <c r="R4" s="3399" t="s">
        <v>1771</v>
      </c>
      <c r="S4" s="3400"/>
      <c r="T4" s="3399" t="s">
        <v>1772</v>
      </c>
      <c r="U4" s="3400"/>
      <c r="V4" s="3386" t="s">
        <v>1773</v>
      </c>
      <c r="W4" s="3386"/>
      <c r="X4" s="1261"/>
      <c r="Y4" s="3399" t="s">
        <v>1775</v>
      </c>
      <c r="Z4" s="3400"/>
      <c r="AA4" s="3387" t="s">
        <v>1771</v>
      </c>
      <c r="AB4" s="3386" t="s">
        <v>1772</v>
      </c>
      <c r="AC4" s="3387" t="s">
        <v>1773</v>
      </c>
    </row>
    <row r="5" spans="1:29" ht="15">
      <c r="A5" s="346"/>
      <c r="B5" s="347"/>
      <c r="C5" s="3412" t="s">
        <v>1673</v>
      </c>
      <c r="D5" s="3408"/>
      <c r="E5" s="3452" t="s">
        <v>1674</v>
      </c>
      <c r="F5" s="3416"/>
      <c r="G5" s="3412" t="s">
        <v>1675</v>
      </c>
      <c r="H5" s="3408"/>
      <c r="I5" s="3412" t="s">
        <v>1676</v>
      </c>
      <c r="J5" s="3408"/>
      <c r="K5" s="535"/>
      <c r="L5" s="2483"/>
      <c r="M5" s="2484"/>
      <c r="N5" s="2484"/>
      <c r="O5" s="2484"/>
      <c r="P5" s="3395"/>
      <c r="Q5" s="3396"/>
      <c r="R5" s="3401"/>
      <c r="S5" s="3402"/>
      <c r="T5" s="3401"/>
      <c r="U5" s="3402"/>
      <c r="V5" s="3386"/>
      <c r="W5" s="3386"/>
      <c r="X5" s="1261"/>
      <c r="Y5" s="3401"/>
      <c r="Z5" s="3402"/>
      <c r="AA5" s="3388"/>
      <c r="AB5" s="3386"/>
      <c r="AC5" s="3388"/>
    </row>
    <row r="6" spans="1:29" ht="15.75" thickBot="1">
      <c r="A6" s="348"/>
      <c r="B6" s="349"/>
      <c r="C6" s="3405" t="s">
        <v>1677</v>
      </c>
      <c r="D6" s="3406"/>
      <c r="E6" s="3413" t="s">
        <v>1677</v>
      </c>
      <c r="F6" s="3414"/>
      <c r="G6" s="3405" t="s">
        <v>1677</v>
      </c>
      <c r="H6" s="3406"/>
      <c r="I6" s="3405" t="s">
        <v>1677</v>
      </c>
      <c r="J6" s="3406"/>
      <c r="K6" s="535" t="s">
        <v>1678</v>
      </c>
      <c r="L6" s="2483"/>
      <c r="M6" s="2484"/>
      <c r="N6" s="2484"/>
      <c r="O6" s="2484"/>
      <c r="P6" s="3397"/>
      <c r="Q6" s="3398"/>
      <c r="R6" s="3401"/>
      <c r="S6" s="3402"/>
      <c r="T6" s="3403"/>
      <c r="U6" s="3404"/>
      <c r="V6" s="3386"/>
      <c r="W6" s="3386"/>
      <c r="X6" s="1261"/>
      <c r="Y6" s="3403"/>
      <c r="Z6" s="3404"/>
      <c r="AA6" s="3389"/>
      <c r="AB6" s="3386"/>
      <c r="AC6" s="3389"/>
    </row>
    <row r="7" spans="1:29" s="100" customFormat="1" ht="15.75" thickBot="1">
      <c r="A7" s="350" t="s">
        <v>1679</v>
      </c>
      <c r="B7" s="351"/>
      <c r="C7" s="352">
        <f>'数据-取费表'!B2</f>
        <v>45924</v>
      </c>
      <c r="D7" s="353">
        <v>100</v>
      </c>
      <c r="E7" s="354"/>
      <c r="F7" s="355">
        <f>SUMIF(58:58,YEAR(E7)&amp;"-"&amp;MONTH(E7),59:59)</f>
        <v>0</v>
      </c>
      <c r="G7" s="354"/>
      <c r="H7" s="353">
        <f>SUMIF(58:58,YEAR(G7)&amp;"-"&amp;MONTH(G7),59:59)</f>
        <v>0</v>
      </c>
      <c r="I7" s="354"/>
      <c r="J7" s="353">
        <f>SUMIF(58:58,YEAR(I7)&amp;"-"&amp;MONTH(I7),59:59)</f>
        <v>0</v>
      </c>
      <c r="K7" s="38"/>
      <c r="L7" s="2485"/>
      <c r="M7" s="2436"/>
      <c r="N7" s="2436"/>
      <c r="O7" s="2436"/>
      <c r="P7" s="3409" t="s">
        <v>1680</v>
      </c>
      <c r="Q7" s="3411"/>
      <c r="R7" s="662" t="s">
        <v>14</v>
      </c>
      <c r="S7" s="663">
        <f t="shared" ref="S7:S15" si="0">F7</f>
        <v>0</v>
      </c>
      <c r="T7" s="662" t="s">
        <v>14</v>
      </c>
      <c r="U7" s="663">
        <f t="shared" ref="U7:U15" si="1">H7</f>
        <v>0</v>
      </c>
      <c r="V7" s="662" t="s">
        <v>14</v>
      </c>
      <c r="W7" s="663">
        <f t="shared" ref="W7:W15" si="2">J7</f>
        <v>0</v>
      </c>
      <c r="X7" s="664"/>
      <c r="Y7" s="3409" t="s">
        <v>1680</v>
      </c>
      <c r="Z7" s="3410"/>
      <c r="AA7" s="50" t="e">
        <f>D7/F7</f>
        <v>#DIV/0!</v>
      </c>
      <c r="AB7" s="50" t="e">
        <f>D7/H7</f>
        <v>#DIV/0!</v>
      </c>
      <c r="AC7" s="50" t="e">
        <f>D7/J7</f>
        <v>#DIV/0!</v>
      </c>
    </row>
    <row r="8" spans="1:29" s="100"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5"/>
      <c r="M8" s="2436"/>
      <c r="N8" s="2436"/>
      <c r="O8" s="2436"/>
      <c r="P8" s="3409" t="s">
        <v>1683</v>
      </c>
      <c r="Q8" s="3410"/>
      <c r="R8" s="662" t="s">
        <v>14</v>
      </c>
      <c r="S8" s="663">
        <f t="shared" si="0"/>
        <v>100</v>
      </c>
      <c r="T8" s="662" t="s">
        <v>14</v>
      </c>
      <c r="U8" s="663">
        <f t="shared" si="1"/>
        <v>100</v>
      </c>
      <c r="V8" s="662" t="s">
        <v>14</v>
      </c>
      <c r="W8" s="663">
        <f t="shared" si="2"/>
        <v>100</v>
      </c>
      <c r="X8" s="664"/>
      <c r="Y8" s="3409" t="s">
        <v>1683</v>
      </c>
      <c r="Z8" s="3410"/>
      <c r="AA8" s="50">
        <f t="shared" ref="AA8:AA46" si="3">D8/F8</f>
        <v>1</v>
      </c>
      <c r="AB8" s="50">
        <f t="shared" ref="AB8:AB46" si="4">D8/H8</f>
        <v>1</v>
      </c>
      <c r="AC8" s="50">
        <f t="shared" ref="AC8:AC46" si="5">D8/J8</f>
        <v>1</v>
      </c>
    </row>
    <row r="9" spans="1:29" s="100"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5"/>
      <c r="M9" s="2436"/>
      <c r="N9" s="2436"/>
      <c r="O9" s="2436"/>
      <c r="P9" s="3380" t="s">
        <v>1686</v>
      </c>
      <c r="Q9" s="528"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4" customFormat="1" ht="27">
      <c r="A10" s="361"/>
      <c r="B10" s="362" t="s">
        <v>1688</v>
      </c>
      <c r="C10" s="3129"/>
      <c r="D10" s="117">
        <v>100</v>
      </c>
      <c r="E10" s="3130"/>
      <c r="F10" s="362">
        <f>SUMIF(65:65,E10,66:66)-SUMIF(65:65,C10,66:66)+100</f>
        <v>100</v>
      </c>
      <c r="G10" s="3129"/>
      <c r="H10" s="117">
        <f>SUMIF(65:65,G10,66:66)-SUMIF(65:65,C10,66:66)+100</f>
        <v>100</v>
      </c>
      <c r="I10" s="3129"/>
      <c r="J10" s="117">
        <f>SUMIF(65:65,I10,66:66)-SUMIF(65:65,C10,66:66)+100</f>
        <v>100</v>
      </c>
      <c r="K10" s="38"/>
      <c r="L10" s="2486"/>
      <c r="M10" s="2487"/>
      <c r="N10" s="2487"/>
      <c r="O10" s="2487"/>
      <c r="P10" s="3380"/>
      <c r="Q10" s="528"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8"/>
      <c r="M11" s="2484"/>
      <c r="N11" s="2484"/>
      <c r="O11" s="2484"/>
      <c r="P11" s="3380"/>
      <c r="Q11" s="528" t="str">
        <f t="shared" si="6"/>
        <v>容积率</v>
      </c>
      <c r="R11" s="662" t="s">
        <v>14</v>
      </c>
      <c r="S11" s="663" t="e">
        <f t="shared" si="0"/>
        <v>#N/A</v>
      </c>
      <c r="T11" s="662" t="s">
        <v>14</v>
      </c>
      <c r="U11" s="663" t="e">
        <f t="shared" si="1"/>
        <v>#N/A</v>
      </c>
      <c r="V11" s="662" t="s">
        <v>14</v>
      </c>
      <c r="W11" s="663" t="e">
        <f t="shared" si="2"/>
        <v>#N/A</v>
      </c>
      <c r="X11" s="664"/>
      <c r="Y11" s="3278"/>
      <c r="Z11" s="50" t="str">
        <f t="shared" si="7"/>
        <v>容积率</v>
      </c>
      <c r="AA11" s="50" t="e">
        <f t="shared" si="3"/>
        <v>#N/A</v>
      </c>
      <c r="AB11" s="50" t="e">
        <f t="shared" si="4"/>
        <v>#N/A</v>
      </c>
      <c r="AC11" s="50" t="e">
        <f t="shared" si="5"/>
        <v>#N/A</v>
      </c>
    </row>
    <row r="12" spans="1:29" s="100"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5"/>
      <c r="M12" s="2436"/>
      <c r="N12" s="2436"/>
      <c r="O12" s="2436"/>
      <c r="P12" s="3380"/>
      <c r="Q12" s="528">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9"/>
      <c r="M13" s="2484"/>
      <c r="N13" s="2484"/>
      <c r="O13" s="2484"/>
      <c r="P13" s="3380"/>
      <c r="Q13" s="528">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75"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9"/>
      <c r="M14" s="2484"/>
      <c r="N14" s="2484"/>
      <c r="O14" s="2484"/>
      <c r="P14" s="3380"/>
      <c r="Q14" s="528">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7" t="s">
        <v>1690</v>
      </c>
      <c r="B15" s="58" t="s">
        <v>1777</v>
      </c>
      <c r="C15" s="1746">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9"/>
      <c r="M15" s="2484"/>
      <c r="N15" s="2484"/>
      <c r="O15" s="2484"/>
      <c r="P15" s="3450" t="s">
        <v>1691</v>
      </c>
      <c r="Q15" s="1259" t="str">
        <f t="shared" si="6"/>
        <v>商业繁华度</v>
      </c>
      <c r="R15" s="665" t="s">
        <v>14</v>
      </c>
      <c r="S15" s="666">
        <f t="shared" si="0"/>
        <v>100</v>
      </c>
      <c r="T15" s="665" t="s">
        <v>14</v>
      </c>
      <c r="U15" s="666">
        <f t="shared" si="1"/>
        <v>100</v>
      </c>
      <c r="V15" s="665" t="s">
        <v>14</v>
      </c>
      <c r="W15" s="666">
        <f t="shared" si="2"/>
        <v>100</v>
      </c>
      <c r="X15" s="1261"/>
      <c r="Y15" s="3382" t="s">
        <v>1691</v>
      </c>
      <c r="Z15" s="1260" t="str">
        <f t="shared" si="7"/>
        <v>商业繁华度</v>
      </c>
      <c r="AA15" s="1260">
        <f t="shared" si="3"/>
        <v>1</v>
      </c>
      <c r="AB15" s="1260">
        <f t="shared" si="4"/>
        <v>1</v>
      </c>
      <c r="AC15" s="1260">
        <f t="shared" si="5"/>
        <v>1</v>
      </c>
    </row>
    <row r="16" spans="1:29" ht="15">
      <c r="A16" s="365"/>
      <c r="B16" s="383"/>
      <c r="C16" s="384"/>
      <c r="D16" s="385"/>
      <c r="E16" s="384"/>
      <c r="F16" s="386"/>
      <c r="G16" s="384"/>
      <c r="H16" s="387"/>
      <c r="I16" s="384"/>
      <c r="J16" s="385"/>
      <c r="K16" s="539"/>
      <c r="L16" s="2489"/>
      <c r="M16" s="2484"/>
      <c r="N16" s="2484"/>
      <c r="O16" s="2484"/>
      <c r="P16" s="3451"/>
      <c r="Q16" s="1259"/>
      <c r="R16" s="665"/>
      <c r="S16" s="666"/>
      <c r="T16" s="665"/>
      <c r="U16" s="666"/>
      <c r="V16" s="665"/>
      <c r="W16" s="666"/>
      <c r="X16" s="1261"/>
      <c r="Y16" s="3383"/>
      <c r="Z16" s="1260"/>
      <c r="AA16" s="1260">
        <v>1</v>
      </c>
      <c r="AB16" s="1260">
        <v>1</v>
      </c>
      <c r="AC16" s="1260">
        <v>1</v>
      </c>
    </row>
    <row r="17" spans="1:29" ht="15">
      <c r="A17" s="365"/>
      <c r="B17" s="388" t="s">
        <v>1259</v>
      </c>
      <c r="C17" s="1750">
        <f>估价对象房地状况!C6</f>
        <v>0</v>
      </c>
      <c r="D17" s="387">
        <v>100</v>
      </c>
      <c r="E17" s="389"/>
      <c r="F17" s="390">
        <f>SUMIF(78:78,E18,79:79)-SUMIF(78:78,C18,79:79)+100</f>
        <v>100</v>
      </c>
      <c r="G17" s="391"/>
      <c r="H17" s="392">
        <f>SUMIF(78:78,G18,79:79)-SUMIF(78:78,C18,79:79)+100</f>
        <v>100</v>
      </c>
      <c r="I17" s="389"/>
      <c r="J17" s="392">
        <f>SUMIF(78:78,I18,79:79)-SUMIF(78:78,C18,79:79)+100</f>
        <v>100</v>
      </c>
      <c r="K17" s="538"/>
      <c r="L17" s="2489"/>
      <c r="M17" s="2484"/>
      <c r="N17" s="2484"/>
      <c r="O17" s="2484"/>
      <c r="P17" s="3451"/>
      <c r="Q17" s="1259" t="str">
        <f>B17</f>
        <v>交通便捷度</v>
      </c>
      <c r="R17" s="665" t="s">
        <v>14</v>
      </c>
      <c r="S17" s="666">
        <f>F17</f>
        <v>100</v>
      </c>
      <c r="T17" s="665" t="s">
        <v>14</v>
      </c>
      <c r="U17" s="666">
        <f>H17</f>
        <v>100</v>
      </c>
      <c r="V17" s="665" t="s">
        <v>14</v>
      </c>
      <c r="W17" s="666">
        <f>J17</f>
        <v>100</v>
      </c>
      <c r="X17" s="1261"/>
      <c r="Y17" s="3383"/>
      <c r="Z17" s="1260" t="str">
        <f>Q17</f>
        <v>交通便捷度</v>
      </c>
      <c r="AA17" s="1260">
        <f t="shared" si="3"/>
        <v>1</v>
      </c>
      <c r="AB17" s="1260">
        <f t="shared" si="4"/>
        <v>1</v>
      </c>
      <c r="AC17" s="1260">
        <f t="shared" si="5"/>
        <v>1</v>
      </c>
    </row>
    <row r="18" spans="1:29" ht="15">
      <c r="A18" s="365"/>
      <c r="B18" s="393"/>
      <c r="C18" s="1751"/>
      <c r="D18" s="387"/>
      <c r="E18" s="1753"/>
      <c r="F18" s="390"/>
      <c r="G18" s="1752"/>
      <c r="H18" s="385"/>
      <c r="I18" s="1753"/>
      <c r="J18" s="385"/>
      <c r="K18" s="539"/>
      <c r="L18" s="2489"/>
      <c r="M18" s="2484"/>
      <c r="N18" s="2484"/>
      <c r="O18" s="2484"/>
      <c r="P18" s="3451"/>
      <c r="Q18" s="1259"/>
      <c r="R18" s="665"/>
      <c r="S18" s="666"/>
      <c r="T18" s="665"/>
      <c r="U18" s="666"/>
      <c r="V18" s="665"/>
      <c r="W18" s="666"/>
      <c r="X18" s="1261"/>
      <c r="Y18" s="3383"/>
      <c r="Z18" s="1260"/>
      <c r="AA18" s="1260">
        <v>1</v>
      </c>
      <c r="AB18" s="1260">
        <v>1</v>
      </c>
      <c r="AC18" s="1260">
        <v>1</v>
      </c>
    </row>
    <row r="19" spans="1:29" ht="15">
      <c r="A19" s="365"/>
      <c r="B19" s="388" t="s">
        <v>1778</v>
      </c>
      <c r="C19" s="1750">
        <f>估价对象房地状况!C7</f>
        <v>0</v>
      </c>
      <c r="D19" s="392">
        <v>100</v>
      </c>
      <c r="E19" s="394"/>
      <c r="F19" s="395">
        <f>SUMIF(80:80,E20,81:81)-SUMIF(80:80,C20,81:81)+100</f>
        <v>100</v>
      </c>
      <c r="G19" s="396"/>
      <c r="H19" s="387">
        <f>SUMIF(80:80,G20,81:81)-SUMIF(80:80,C20,81:81)+100</f>
        <v>100</v>
      </c>
      <c r="I19" s="394"/>
      <c r="J19" s="387">
        <f>SUMIF(80:80,I20,81:81)-SUMIF(80:80,C20,81:81)+100</f>
        <v>100</v>
      </c>
      <c r="K19" s="538"/>
      <c r="L19" s="2489"/>
      <c r="M19" s="2484"/>
      <c r="N19" s="2484"/>
      <c r="O19" s="2484"/>
      <c r="P19" s="3451"/>
      <c r="Q19" s="1259" t="str">
        <f>B19</f>
        <v>公共配套设施</v>
      </c>
      <c r="R19" s="665" t="s">
        <v>14</v>
      </c>
      <c r="S19" s="666">
        <f>F19</f>
        <v>100</v>
      </c>
      <c r="T19" s="665" t="s">
        <v>14</v>
      </c>
      <c r="U19" s="666">
        <f>H19</f>
        <v>100</v>
      </c>
      <c r="V19" s="665" t="s">
        <v>14</v>
      </c>
      <c r="W19" s="666">
        <f>J19</f>
        <v>100</v>
      </c>
      <c r="X19" s="1261"/>
      <c r="Y19" s="3383"/>
      <c r="Z19" s="1260" t="str">
        <f>Q19</f>
        <v>公共配套设施</v>
      </c>
      <c r="AA19" s="1260">
        <f t="shared" si="3"/>
        <v>1</v>
      </c>
      <c r="AB19" s="1260">
        <f t="shared" si="4"/>
        <v>1</v>
      </c>
      <c r="AC19" s="1260">
        <f t="shared" si="5"/>
        <v>1</v>
      </c>
    </row>
    <row r="20" spans="1:29" ht="15">
      <c r="A20" s="365"/>
      <c r="B20" s="393"/>
      <c r="C20" s="384"/>
      <c r="D20" s="385"/>
      <c r="E20" s="1748"/>
      <c r="F20" s="386"/>
      <c r="G20" s="1747"/>
      <c r="H20" s="385"/>
      <c r="I20" s="1748"/>
      <c r="J20" s="385"/>
      <c r="K20" s="539"/>
      <c r="L20" s="2489"/>
      <c r="M20" s="2484"/>
      <c r="N20" s="2484"/>
      <c r="O20" s="2484"/>
      <c r="P20" s="3451"/>
      <c r="Q20" s="1259"/>
      <c r="R20" s="665"/>
      <c r="S20" s="666"/>
      <c r="T20" s="665"/>
      <c r="U20" s="666"/>
      <c r="V20" s="665"/>
      <c r="W20" s="666"/>
      <c r="X20" s="1261"/>
      <c r="Y20" s="3383"/>
      <c r="Z20" s="1260"/>
      <c r="AA20" s="1260">
        <v>1</v>
      </c>
      <c r="AB20" s="1260">
        <v>1</v>
      </c>
      <c r="AC20" s="1260">
        <v>1</v>
      </c>
    </row>
    <row r="21" spans="1:29" ht="15">
      <c r="A21" s="365"/>
      <c r="B21" s="584" t="s">
        <v>1779</v>
      </c>
      <c r="C21" s="1750">
        <f>估价对象房地状况!C8</f>
        <v>0</v>
      </c>
      <c r="D21" s="392">
        <v>100</v>
      </c>
      <c r="E21" s="394"/>
      <c r="F21" s="395">
        <f>SUMIF(82:82,E22,83:83)-SUMIF(82:82,C22,83:83)+100</f>
        <v>100</v>
      </c>
      <c r="G21" s="396"/>
      <c r="H21" s="387">
        <f>SUMIF(82:82,G22,83:83)-SUMIF(82:82,C22,83:83)+100</f>
        <v>100</v>
      </c>
      <c r="I21" s="394"/>
      <c r="J21" s="387">
        <f>SUMIF(82:82,I22,83:83)-SUMIF(82:82,C22,83:83)+100</f>
        <v>100</v>
      </c>
      <c r="K21" s="538"/>
      <c r="L21" s="2489"/>
      <c r="M21" s="2484"/>
      <c r="N21" s="2484"/>
      <c r="O21" s="2484"/>
      <c r="P21" s="3451"/>
      <c r="Q21" s="1259" t="str">
        <f>B21</f>
        <v>基础设施水平</v>
      </c>
      <c r="R21" s="665" t="s">
        <v>14</v>
      </c>
      <c r="S21" s="666">
        <f>F21</f>
        <v>100</v>
      </c>
      <c r="T21" s="665" t="s">
        <v>14</v>
      </c>
      <c r="U21" s="666">
        <f>H21</f>
        <v>100</v>
      </c>
      <c r="V21" s="665" t="s">
        <v>14</v>
      </c>
      <c r="W21" s="666">
        <f>J21</f>
        <v>100</v>
      </c>
      <c r="X21" s="1261"/>
      <c r="Y21" s="3383"/>
      <c r="Z21" s="1260" t="str">
        <f>Q21</f>
        <v>基础设施水平</v>
      </c>
      <c r="AA21" s="1260">
        <f t="shared" ref="AA21" si="8">D21/F21</f>
        <v>1</v>
      </c>
      <c r="AB21" s="1260">
        <f t="shared" ref="AB21" si="9">D21/H21</f>
        <v>1</v>
      </c>
      <c r="AC21" s="1260">
        <f t="shared" ref="AC21" si="10">D21/J21</f>
        <v>1</v>
      </c>
    </row>
    <row r="22" spans="1:29" ht="15">
      <c r="A22" s="365"/>
      <c r="B22" s="584"/>
      <c r="C22" s="1751"/>
      <c r="D22" s="385"/>
      <c r="E22" s="384"/>
      <c r="F22" s="386"/>
      <c r="G22" s="384"/>
      <c r="H22" s="385"/>
      <c r="I22" s="384"/>
      <c r="J22" s="385"/>
      <c r="K22" s="1060"/>
      <c r="L22" s="2489"/>
      <c r="M22" s="2484"/>
      <c r="N22" s="2484"/>
      <c r="O22" s="2484"/>
      <c r="P22" s="3451"/>
      <c r="Q22" s="1259"/>
      <c r="R22" s="665"/>
      <c r="S22" s="666"/>
      <c r="T22" s="665"/>
      <c r="U22" s="666"/>
      <c r="V22" s="665"/>
      <c r="W22" s="666"/>
      <c r="X22" s="1261"/>
      <c r="Y22" s="3383"/>
      <c r="Z22" s="1260"/>
      <c r="AA22" s="1260">
        <v>1</v>
      </c>
      <c r="AB22" s="1260">
        <v>1</v>
      </c>
      <c r="AC22" s="1260">
        <v>1</v>
      </c>
    </row>
    <row r="23" spans="1:29" ht="15">
      <c r="A23" s="365"/>
      <c r="B23" s="388" t="s">
        <v>1261</v>
      </c>
      <c r="C23" s="1802">
        <f>估价对象房地状况!C9</f>
        <v>0</v>
      </c>
      <c r="D23" s="387">
        <v>100</v>
      </c>
      <c r="E23" s="389"/>
      <c r="F23" s="390">
        <f>SUMIF(84:84,E24,85:85)-SUMIF(84:84,C24,85:85)+100</f>
        <v>100</v>
      </c>
      <c r="G23" s="391"/>
      <c r="H23" s="387">
        <f>SUMIF(84:84,G24,85:85)-SUMIF(84:84,C24,85:85)+100</f>
        <v>100</v>
      </c>
      <c r="I23" s="389"/>
      <c r="J23" s="387">
        <f>SUMIF(84:84,I24,85:85)-SUMIF(84:84,C24,85:85)+100</f>
        <v>100</v>
      </c>
      <c r="K23" s="538"/>
      <c r="L23" s="2489"/>
      <c r="M23" s="2484"/>
      <c r="N23" s="2484"/>
      <c r="O23" s="2484"/>
      <c r="P23" s="3451"/>
      <c r="Q23" s="1259" t="str">
        <f>B23</f>
        <v>自然及人文环境</v>
      </c>
      <c r="R23" s="665" t="s">
        <v>14</v>
      </c>
      <c r="S23" s="666">
        <f>F23</f>
        <v>100</v>
      </c>
      <c r="T23" s="665" t="s">
        <v>14</v>
      </c>
      <c r="U23" s="666">
        <f>H23</f>
        <v>100</v>
      </c>
      <c r="V23" s="665" t="s">
        <v>14</v>
      </c>
      <c r="W23" s="666">
        <f>J23</f>
        <v>100</v>
      </c>
      <c r="X23" s="1261"/>
      <c r="Y23" s="3383"/>
      <c r="Z23" s="1260" t="str">
        <f>Q23</f>
        <v>自然及人文环境</v>
      </c>
      <c r="AA23" s="1260">
        <f t="shared" si="3"/>
        <v>1</v>
      </c>
      <c r="AB23" s="1260">
        <f t="shared" si="4"/>
        <v>1</v>
      </c>
      <c r="AC23" s="1260">
        <f t="shared" si="5"/>
        <v>1</v>
      </c>
    </row>
    <row r="24" spans="1:29" ht="15">
      <c r="A24" s="365"/>
      <c r="B24" s="393"/>
      <c r="C24" s="384"/>
      <c r="D24" s="385"/>
      <c r="E24" s="1748"/>
      <c r="F24" s="386"/>
      <c r="G24" s="1747"/>
      <c r="H24" s="385"/>
      <c r="I24" s="1748"/>
      <c r="J24" s="385"/>
      <c r="K24" s="539"/>
      <c r="L24" s="2489"/>
      <c r="M24" s="2484"/>
      <c r="N24" s="2484"/>
      <c r="O24" s="2484"/>
      <c r="P24" s="3451"/>
      <c r="Q24" s="1259"/>
      <c r="R24" s="665"/>
      <c r="S24" s="666"/>
      <c r="T24" s="665"/>
      <c r="U24" s="666"/>
      <c r="V24" s="665"/>
      <c r="W24" s="666"/>
      <c r="X24" s="1261"/>
      <c r="Y24" s="3383"/>
      <c r="Z24" s="1260"/>
      <c r="AA24" s="1260">
        <v>1</v>
      </c>
      <c r="AB24" s="1260">
        <v>1</v>
      </c>
      <c r="AC24" s="1260">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9"/>
      <c r="M25" s="2484"/>
      <c r="N25" s="2484"/>
      <c r="O25" s="2484"/>
      <c r="P25" s="3451"/>
      <c r="Q25" s="1259" t="str">
        <f t="shared" ref="Q25:Q46" si="11">B25</f>
        <v>临街状况</v>
      </c>
      <c r="R25" s="665" t="s">
        <v>14</v>
      </c>
      <c r="S25" s="666">
        <f>F25</f>
        <v>100</v>
      </c>
      <c r="T25" s="665" t="s">
        <v>14</v>
      </c>
      <c r="U25" s="666">
        <f>H25</f>
        <v>100</v>
      </c>
      <c r="V25" s="665" t="s">
        <v>14</v>
      </c>
      <c r="W25" s="666">
        <f>J25</f>
        <v>100</v>
      </c>
      <c r="X25" s="1261"/>
      <c r="Y25" s="3383"/>
      <c r="Z25" s="1260" t="str">
        <f>Q25</f>
        <v>临街状况</v>
      </c>
      <c r="AA25" s="1260">
        <f t="shared" si="3"/>
        <v>1</v>
      </c>
      <c r="AB25" s="1260">
        <f t="shared" si="4"/>
        <v>1</v>
      </c>
      <c r="AC25" s="1260">
        <f t="shared" si="5"/>
        <v>1</v>
      </c>
    </row>
    <row r="26" spans="1:29" ht="15">
      <c r="A26" s="365"/>
      <c r="B26" s="1062" t="s">
        <v>1781</v>
      </c>
      <c r="C26" s="371"/>
      <c r="D26" s="372">
        <v>100</v>
      </c>
      <c r="E26" s="371"/>
      <c r="F26" s="398">
        <f>SUMIF(88:88,E26,89:89)-SUMIF(88:88,C26,89:89)+100</f>
        <v>100</v>
      </c>
      <c r="G26" s="371"/>
      <c r="H26" s="372">
        <f>SUMIF(88:88,G26,89:89)-SUMIF(88:88,C26,89:89)+100</f>
        <v>100</v>
      </c>
      <c r="I26" s="371"/>
      <c r="J26" s="372">
        <f>SUMIF(88:88,I26,89:89)-SUMIF(88:88,C26,89:89)+100</f>
        <v>100</v>
      </c>
      <c r="K26" s="537"/>
      <c r="L26" s="2489"/>
      <c r="M26" s="2484"/>
      <c r="N26" s="2484"/>
      <c r="O26" s="2484"/>
      <c r="P26" s="3451"/>
      <c r="Q26" s="1259" t="str">
        <f t="shared" si="11"/>
        <v>平面位置/可视性</v>
      </c>
      <c r="R26" s="665" t="s">
        <v>14</v>
      </c>
      <c r="S26" s="666">
        <f>F26</f>
        <v>100</v>
      </c>
      <c r="T26" s="665" t="s">
        <v>14</v>
      </c>
      <c r="U26" s="666">
        <f>H26</f>
        <v>100</v>
      </c>
      <c r="V26" s="665" t="s">
        <v>14</v>
      </c>
      <c r="W26" s="666">
        <f>J26</f>
        <v>100</v>
      </c>
      <c r="X26" s="1261"/>
      <c r="Y26" s="3383"/>
      <c r="Z26" s="1260" t="str">
        <f>Q26</f>
        <v>平面位置/可视性</v>
      </c>
      <c r="AA26" s="1260">
        <f t="shared" si="3"/>
        <v>1</v>
      </c>
      <c r="AB26" s="1260">
        <f t="shared" si="4"/>
        <v>1</v>
      </c>
      <c r="AC26" s="1260">
        <f t="shared" si="5"/>
        <v>1</v>
      </c>
    </row>
    <row r="27" spans="1:29" s="100" customFormat="1" ht="15">
      <c r="A27" s="368"/>
      <c r="B27" s="388" t="s">
        <v>1782</v>
      </c>
      <c r="C27" s="1803"/>
      <c r="D27" s="399">
        <v>100</v>
      </c>
      <c r="E27" s="1803"/>
      <c r="F27" s="393">
        <f>SUMIF(90:90,E27,91:91)-SUMIF(90:90,C27,91:91)+100</f>
        <v>100</v>
      </c>
      <c r="G27" s="1803"/>
      <c r="H27" s="399">
        <f>SUMIF(90:90,G27,91:91)-SUMIF(90:90,C27,91:91)+100</f>
        <v>100</v>
      </c>
      <c r="I27" s="1803"/>
      <c r="J27" s="399">
        <f>SUMIF(90:90,I27,91:91)-SUMIF(90:90,C27,91:91)+100</f>
        <v>100</v>
      </c>
      <c r="K27" s="536"/>
      <c r="L27" s="2485"/>
      <c r="M27" s="2436"/>
      <c r="N27" s="2436"/>
      <c r="O27" s="2436"/>
      <c r="P27" s="3451"/>
      <c r="Q27" s="528" t="str">
        <f t="shared" si="11"/>
        <v>人流量</v>
      </c>
      <c r="R27" s="662" t="s">
        <v>14</v>
      </c>
      <c r="S27" s="663">
        <f>F27</f>
        <v>100</v>
      </c>
      <c r="T27" s="662" t="s">
        <v>14</v>
      </c>
      <c r="U27" s="663">
        <f>H27</f>
        <v>100</v>
      </c>
      <c r="V27" s="662" t="s">
        <v>14</v>
      </c>
      <c r="W27" s="663">
        <f>J27</f>
        <v>100</v>
      </c>
      <c r="X27" s="664"/>
      <c r="Y27" s="3383"/>
      <c r="Z27" s="50" t="str">
        <f>Q27</f>
        <v>人流量</v>
      </c>
      <c r="AA27" s="1260">
        <f>D27/F27</f>
        <v>1</v>
      </c>
      <c r="AB27" s="1260">
        <f>D27/H27</f>
        <v>1</v>
      </c>
      <c r="AC27" s="1260">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9"/>
      <c r="M28" s="2484"/>
      <c r="N28" s="2484"/>
      <c r="O28" s="2484"/>
      <c r="P28" s="3451"/>
      <c r="Q28" s="1259" t="str">
        <f t="shared" si="11"/>
        <v>楼层</v>
      </c>
      <c r="R28" s="665" t="s">
        <v>14</v>
      </c>
      <c r="S28" s="666">
        <f t="shared" ref="S28:S46" si="12">F28</f>
        <v>100</v>
      </c>
      <c r="T28" s="665" t="s">
        <v>14</v>
      </c>
      <c r="U28" s="666">
        <f t="shared" ref="U28:U46" si="13">H28</f>
        <v>100</v>
      </c>
      <c r="V28" s="665" t="s">
        <v>14</v>
      </c>
      <c r="W28" s="666">
        <f t="shared" ref="W28:W46" si="14">J28</f>
        <v>100</v>
      </c>
      <c r="X28" s="1261"/>
      <c r="Y28" s="3383"/>
      <c r="Z28" s="1260" t="str">
        <f t="shared" ref="Z28:Z46" si="15">Q28</f>
        <v>楼层</v>
      </c>
      <c r="AA28" s="1260">
        <f t="shared" si="3"/>
        <v>1</v>
      </c>
      <c r="AB28" s="1260">
        <f t="shared" si="4"/>
        <v>1</v>
      </c>
      <c r="AC28" s="1260">
        <f t="shared" si="5"/>
        <v>1</v>
      </c>
    </row>
    <row r="29" spans="1:29" ht="15">
      <c r="A29" s="365"/>
      <c r="B29" s="1062">
        <v>111</v>
      </c>
      <c r="C29" s="371"/>
      <c r="D29" s="372">
        <v>100</v>
      </c>
      <c r="E29" s="371"/>
      <c r="F29" s="398">
        <f>SUMIF(94:94,E29,95:95)-SUMIF(94:94,C29,95:95)+100</f>
        <v>100</v>
      </c>
      <c r="G29" s="371"/>
      <c r="H29" s="372">
        <f>SUMIF(94:94,G29,95:95)-SUMIF(94:94,C29,95:95)+100</f>
        <v>100</v>
      </c>
      <c r="I29" s="371"/>
      <c r="J29" s="372">
        <f>SUMIF(94:94,I29,95:95)-SUMIF(94:94,C29,95:95)+100</f>
        <v>100</v>
      </c>
      <c r="K29" s="537"/>
      <c r="L29" s="2489"/>
      <c r="M29" s="2484"/>
      <c r="N29" s="2484"/>
      <c r="O29" s="2484"/>
      <c r="P29" s="3451"/>
      <c r="Q29" s="1259">
        <f t="shared" si="11"/>
        <v>111</v>
      </c>
      <c r="R29" s="665" t="s">
        <v>14</v>
      </c>
      <c r="S29" s="666">
        <f t="shared" si="12"/>
        <v>100</v>
      </c>
      <c r="T29" s="665" t="s">
        <v>14</v>
      </c>
      <c r="U29" s="666">
        <f t="shared" si="13"/>
        <v>100</v>
      </c>
      <c r="V29" s="665" t="s">
        <v>14</v>
      </c>
      <c r="W29" s="666">
        <f t="shared" si="14"/>
        <v>100</v>
      </c>
      <c r="X29" s="1261"/>
      <c r="Y29" s="3383"/>
      <c r="Z29" s="1260">
        <f t="shared" si="15"/>
        <v>111</v>
      </c>
      <c r="AA29" s="1260">
        <f t="shared" si="3"/>
        <v>1</v>
      </c>
      <c r="AB29" s="1260">
        <f t="shared" si="4"/>
        <v>1</v>
      </c>
      <c r="AC29" s="1260">
        <f t="shared" si="5"/>
        <v>1</v>
      </c>
    </row>
    <row r="30" spans="1:29" ht="15">
      <c r="A30" s="365"/>
      <c r="B30" s="1062">
        <v>111</v>
      </c>
      <c r="C30" s="371"/>
      <c r="D30" s="372">
        <v>100</v>
      </c>
      <c r="E30" s="371"/>
      <c r="F30" s="398">
        <f>SUMIF(96:96,E30,97:97)-SUMIF(96:96,C30,97:97)+100</f>
        <v>100</v>
      </c>
      <c r="G30" s="371"/>
      <c r="H30" s="372">
        <f>SUMIF(96:96,G30,97:97)-SUMIF(96:96,C30,97:97)+100</f>
        <v>100</v>
      </c>
      <c r="I30" s="371"/>
      <c r="J30" s="372">
        <f>SUMIF(96:96,I30,97:97)-SUMIF(96:96,C30,97:97)+100</f>
        <v>100</v>
      </c>
      <c r="K30" s="537"/>
      <c r="L30" s="2489"/>
      <c r="M30" s="2484"/>
      <c r="N30" s="2484"/>
      <c r="O30" s="2484"/>
      <c r="P30" s="3451"/>
      <c r="Q30" s="1259">
        <f t="shared" si="11"/>
        <v>111</v>
      </c>
      <c r="R30" s="665" t="s">
        <v>14</v>
      </c>
      <c r="S30" s="666">
        <f t="shared" si="12"/>
        <v>100</v>
      </c>
      <c r="T30" s="665" t="s">
        <v>14</v>
      </c>
      <c r="U30" s="666">
        <f t="shared" si="13"/>
        <v>100</v>
      </c>
      <c r="V30" s="665" t="s">
        <v>14</v>
      </c>
      <c r="W30" s="666">
        <f t="shared" si="14"/>
        <v>100</v>
      </c>
      <c r="X30" s="1261"/>
      <c r="Y30" s="3383"/>
      <c r="Z30" s="1260">
        <f t="shared" si="15"/>
        <v>111</v>
      </c>
      <c r="AA30" s="1260">
        <f t="shared" si="3"/>
        <v>1</v>
      </c>
      <c r="AB30" s="1260">
        <f t="shared" si="4"/>
        <v>1</v>
      </c>
      <c r="AC30" s="1260">
        <f t="shared" si="5"/>
        <v>1</v>
      </c>
    </row>
    <row r="31" spans="1:29" ht="15.75" thickBot="1">
      <c r="A31" s="373"/>
      <c r="B31" s="1062">
        <v>111</v>
      </c>
      <c r="C31" s="374"/>
      <c r="D31" s="375">
        <v>100</v>
      </c>
      <c r="E31" s="371"/>
      <c r="F31" s="376">
        <f>SUMIF(98:98,E31,99:99)-SUMIF(98:98,C31,99:99)+100</f>
        <v>100</v>
      </c>
      <c r="G31" s="371"/>
      <c r="H31" s="375">
        <f>SUMIF(98:98,G31,99:99)-SUMIF(98:98,C31,99:99)+100</f>
        <v>100</v>
      </c>
      <c r="I31" s="371"/>
      <c r="J31" s="375">
        <f>SUMIF(98:98,I31,99:99)-SUMIF(98:98,C31,99:99)+100</f>
        <v>100</v>
      </c>
      <c r="K31" s="537"/>
      <c r="L31" s="2489"/>
      <c r="M31" s="2484"/>
      <c r="N31" s="2484"/>
      <c r="O31" s="2484"/>
      <c r="P31" s="3451"/>
      <c r="Q31" s="1259">
        <f t="shared" si="11"/>
        <v>111</v>
      </c>
      <c r="R31" s="665" t="s">
        <v>14</v>
      </c>
      <c r="S31" s="666">
        <f t="shared" si="12"/>
        <v>100</v>
      </c>
      <c r="T31" s="665" t="s">
        <v>14</v>
      </c>
      <c r="U31" s="666">
        <f t="shared" si="13"/>
        <v>100</v>
      </c>
      <c r="V31" s="665" t="s">
        <v>14</v>
      </c>
      <c r="W31" s="666">
        <f t="shared" si="14"/>
        <v>100</v>
      </c>
      <c r="X31" s="1261"/>
      <c r="Y31" s="3383"/>
      <c r="Z31" s="1260">
        <f t="shared" si="15"/>
        <v>111</v>
      </c>
      <c r="AA31" s="1260">
        <f t="shared" si="3"/>
        <v>1</v>
      </c>
      <c r="AB31" s="1260">
        <f t="shared" si="4"/>
        <v>1</v>
      </c>
      <c r="AC31" s="1260">
        <f t="shared" si="5"/>
        <v>1</v>
      </c>
    </row>
    <row r="32" spans="1:29" ht="15">
      <c r="A32" s="377" t="s">
        <v>1694</v>
      </c>
      <c r="B32" s="60" t="s">
        <v>1784</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9"/>
      <c r="M32" s="2484"/>
      <c r="N32" s="2484"/>
      <c r="O32" s="2484"/>
      <c r="P32" s="3446" t="s">
        <v>1696</v>
      </c>
      <c r="Q32" s="1259" t="str">
        <f t="shared" si="11"/>
        <v>商业类型</v>
      </c>
      <c r="R32" s="665" t="s">
        <v>14</v>
      </c>
      <c r="S32" s="666">
        <f t="shared" si="12"/>
        <v>100</v>
      </c>
      <c r="T32" s="665" t="s">
        <v>14</v>
      </c>
      <c r="U32" s="666">
        <f t="shared" si="13"/>
        <v>100</v>
      </c>
      <c r="V32" s="665" t="s">
        <v>14</v>
      </c>
      <c r="W32" s="666">
        <f t="shared" si="14"/>
        <v>100</v>
      </c>
      <c r="X32" s="1261"/>
      <c r="Y32" s="3385" t="s">
        <v>1696</v>
      </c>
      <c r="Z32" s="1260" t="str">
        <f t="shared" si="15"/>
        <v>商业类型</v>
      </c>
      <c r="AA32" s="1260">
        <f t="shared" si="3"/>
        <v>1</v>
      </c>
      <c r="AB32" s="1260">
        <f t="shared" si="4"/>
        <v>1</v>
      </c>
      <c r="AC32" s="1260">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8"/>
      <c r="M33" s="2490"/>
      <c r="N33" s="2490"/>
      <c r="O33" s="2490"/>
      <c r="P33" s="3447"/>
      <c r="Q33" s="529" t="str">
        <f t="shared" si="11"/>
        <v>项目建筑规模</v>
      </c>
      <c r="R33" s="667" t="s">
        <v>14</v>
      </c>
      <c r="S33" s="668" t="e">
        <f t="shared" si="12"/>
        <v>#N/A</v>
      </c>
      <c r="T33" s="667" t="s">
        <v>14</v>
      </c>
      <c r="U33" s="668" t="e">
        <f t="shared" si="13"/>
        <v>#N/A</v>
      </c>
      <c r="V33" s="667" t="s">
        <v>14</v>
      </c>
      <c r="W33" s="668" t="e">
        <f t="shared" si="14"/>
        <v>#N/A</v>
      </c>
      <c r="X33" s="669"/>
      <c r="Y33" s="3385"/>
      <c r="Z33" s="670" t="str">
        <f t="shared" si="15"/>
        <v>项目建筑规模</v>
      </c>
      <c r="AA33" s="1260" t="e">
        <f t="shared" si="3"/>
        <v>#N/A</v>
      </c>
      <c r="AB33" s="1260" t="e">
        <f t="shared" si="4"/>
        <v>#N/A</v>
      </c>
      <c r="AC33" s="1260"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9"/>
      <c r="M34" s="2484"/>
      <c r="N34" s="2484"/>
      <c r="O34" s="2484"/>
      <c r="P34" s="3447"/>
      <c r="Q34" s="1259" t="str">
        <f t="shared" si="11"/>
        <v>建筑结构</v>
      </c>
      <c r="R34" s="665" t="s">
        <v>14</v>
      </c>
      <c r="S34" s="666">
        <f t="shared" si="12"/>
        <v>100</v>
      </c>
      <c r="T34" s="665" t="s">
        <v>14</v>
      </c>
      <c r="U34" s="666">
        <f t="shared" si="13"/>
        <v>100</v>
      </c>
      <c r="V34" s="665" t="s">
        <v>14</v>
      </c>
      <c r="W34" s="666">
        <f t="shared" si="14"/>
        <v>100</v>
      </c>
      <c r="X34" s="1261"/>
      <c r="Y34" s="3385"/>
      <c r="Z34" s="1260" t="str">
        <f t="shared" si="15"/>
        <v>建筑结构</v>
      </c>
      <c r="AA34" s="1260">
        <f t="shared" si="3"/>
        <v>1</v>
      </c>
      <c r="AB34" s="1260">
        <f t="shared" si="4"/>
        <v>1</v>
      </c>
      <c r="AC34" s="1260">
        <f t="shared" si="5"/>
        <v>1</v>
      </c>
    </row>
    <row r="35" spans="1:29" ht="15">
      <c r="A35" s="407"/>
      <c r="B35" s="362" t="s">
        <v>1785</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9"/>
      <c r="M35" s="2484"/>
      <c r="N35" s="2484"/>
      <c r="O35" s="2484"/>
      <c r="P35" s="3447"/>
      <c r="Q35" s="1259" t="str">
        <f t="shared" si="11"/>
        <v>公共部分装修</v>
      </c>
      <c r="R35" s="665" t="s">
        <v>14</v>
      </c>
      <c r="S35" s="666">
        <f t="shared" si="12"/>
        <v>100</v>
      </c>
      <c r="T35" s="665" t="s">
        <v>14</v>
      </c>
      <c r="U35" s="666">
        <f t="shared" si="13"/>
        <v>100</v>
      </c>
      <c r="V35" s="665" t="s">
        <v>14</v>
      </c>
      <c r="W35" s="666">
        <f t="shared" si="14"/>
        <v>100</v>
      </c>
      <c r="X35" s="1261"/>
      <c r="Y35" s="3385"/>
      <c r="Z35" s="1260" t="str">
        <f t="shared" si="15"/>
        <v>公共部分装修</v>
      </c>
      <c r="AA35" s="1260">
        <f t="shared" si="3"/>
        <v>1</v>
      </c>
      <c r="AB35" s="1260">
        <f t="shared" si="4"/>
        <v>1</v>
      </c>
      <c r="AC35" s="1260">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9"/>
      <c r="M36" s="2484"/>
      <c r="N36" s="2484"/>
      <c r="O36" s="2484"/>
      <c r="P36" s="3447"/>
      <c r="Q36" s="1259" t="str">
        <f t="shared" si="11"/>
        <v>成新度</v>
      </c>
      <c r="R36" s="665" t="s">
        <v>14</v>
      </c>
      <c r="S36" s="666" t="e">
        <f t="shared" si="12"/>
        <v>#N/A</v>
      </c>
      <c r="T36" s="665" t="s">
        <v>14</v>
      </c>
      <c r="U36" s="666" t="e">
        <f t="shared" si="13"/>
        <v>#N/A</v>
      </c>
      <c r="V36" s="665" t="s">
        <v>14</v>
      </c>
      <c r="W36" s="666" t="e">
        <f t="shared" si="14"/>
        <v>#N/A</v>
      </c>
      <c r="X36" s="1261"/>
      <c r="Y36" s="3385"/>
      <c r="Z36" s="1260" t="str">
        <f t="shared" si="15"/>
        <v>成新度</v>
      </c>
      <c r="AA36" s="1260" t="e">
        <f t="shared" si="3"/>
        <v>#N/A</v>
      </c>
      <c r="AB36" s="1260" t="e">
        <f t="shared" si="4"/>
        <v>#N/A</v>
      </c>
      <c r="AC36" s="1260" t="e">
        <f t="shared" si="5"/>
        <v>#N/A</v>
      </c>
    </row>
    <row r="37" spans="1:29" s="100" customFormat="1" ht="15">
      <c r="A37" s="408"/>
      <c r="B37" s="362" t="s">
        <v>1787</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5"/>
      <c r="M37" s="2436"/>
      <c r="N37" s="2436"/>
      <c r="O37" s="2436"/>
      <c r="P37" s="3447"/>
      <c r="Q37" s="528" t="str">
        <f t="shared" si="11"/>
        <v>市政基础设施</v>
      </c>
      <c r="R37" s="662" t="s">
        <v>14</v>
      </c>
      <c r="S37" s="663">
        <f t="shared" si="12"/>
        <v>100</v>
      </c>
      <c r="T37" s="662" t="s">
        <v>14</v>
      </c>
      <c r="U37" s="663">
        <f t="shared" si="13"/>
        <v>100</v>
      </c>
      <c r="V37" s="662" t="s">
        <v>14</v>
      </c>
      <c r="W37" s="663">
        <f t="shared" si="14"/>
        <v>100</v>
      </c>
      <c r="X37" s="664"/>
      <c r="Y37" s="3385"/>
      <c r="Z37" s="50" t="str">
        <f t="shared" si="15"/>
        <v>市政基础设施</v>
      </c>
      <c r="AA37" s="50">
        <f t="shared" si="3"/>
        <v>1</v>
      </c>
      <c r="AB37" s="50">
        <f t="shared" si="4"/>
        <v>1</v>
      </c>
      <c r="AC37" s="50">
        <f t="shared" si="5"/>
        <v>1</v>
      </c>
    </row>
    <row r="38" spans="1:29" ht="15">
      <c r="A38" s="407"/>
      <c r="B38" s="362" t="s">
        <v>1788</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9"/>
      <c r="M38" s="2484"/>
      <c r="N38" s="2484"/>
      <c r="O38" s="2484"/>
      <c r="P38" s="3447" t="s">
        <v>1696</v>
      </c>
      <c r="Q38" s="1259" t="str">
        <f t="shared" si="11"/>
        <v>业态</v>
      </c>
      <c r="R38" s="665" t="s">
        <v>14</v>
      </c>
      <c r="S38" s="666">
        <f t="shared" si="12"/>
        <v>100</v>
      </c>
      <c r="T38" s="665" t="s">
        <v>14</v>
      </c>
      <c r="U38" s="666">
        <f t="shared" si="13"/>
        <v>100</v>
      </c>
      <c r="V38" s="665" t="s">
        <v>14</v>
      </c>
      <c r="W38" s="666">
        <f t="shared" si="14"/>
        <v>100</v>
      </c>
      <c r="X38" s="1261"/>
      <c r="Y38" s="3385" t="s">
        <v>1696</v>
      </c>
      <c r="Z38" s="1260" t="str">
        <f t="shared" si="15"/>
        <v>业态</v>
      </c>
      <c r="AA38" s="1260">
        <f t="shared" si="3"/>
        <v>1</v>
      </c>
      <c r="AB38" s="1260">
        <f t="shared" si="4"/>
        <v>1</v>
      </c>
      <c r="AC38" s="1260">
        <f t="shared" si="5"/>
        <v>1</v>
      </c>
    </row>
    <row r="39" spans="1:29" ht="15">
      <c r="A39" s="407"/>
      <c r="B39" s="362" t="s">
        <v>1789</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9"/>
      <c r="M39" s="2484"/>
      <c r="N39" s="2484"/>
      <c r="O39" s="2484"/>
      <c r="P39" s="3447"/>
      <c r="Q39" s="1259" t="str">
        <f t="shared" si="11"/>
        <v>层高</v>
      </c>
      <c r="R39" s="665" t="s">
        <v>14</v>
      </c>
      <c r="S39" s="666">
        <f t="shared" si="12"/>
        <v>100</v>
      </c>
      <c r="T39" s="665" t="s">
        <v>14</v>
      </c>
      <c r="U39" s="666">
        <f t="shared" si="13"/>
        <v>100</v>
      </c>
      <c r="V39" s="665" t="s">
        <v>14</v>
      </c>
      <c r="W39" s="666">
        <f t="shared" si="14"/>
        <v>100</v>
      </c>
      <c r="X39" s="1261"/>
      <c r="Y39" s="3385"/>
      <c r="Z39" s="1260" t="str">
        <f t="shared" si="15"/>
        <v>层高</v>
      </c>
      <c r="AA39" s="1260">
        <f t="shared" si="3"/>
        <v>1</v>
      </c>
      <c r="AB39" s="1260">
        <f t="shared" si="4"/>
        <v>1</v>
      </c>
      <c r="AC39" s="1260">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9"/>
      <c r="M40" s="2484"/>
      <c r="N40" s="2484"/>
      <c r="O40" s="2484"/>
      <c r="P40" s="3447"/>
      <c r="Q40" s="1259" t="str">
        <f t="shared" si="11"/>
        <v>单套建筑面积</v>
      </c>
      <c r="R40" s="665" t="s">
        <v>14</v>
      </c>
      <c r="S40" s="666">
        <f t="shared" si="12"/>
        <v>100</v>
      </c>
      <c r="T40" s="665" t="s">
        <v>14</v>
      </c>
      <c r="U40" s="666">
        <f t="shared" si="13"/>
        <v>100</v>
      </c>
      <c r="V40" s="665" t="s">
        <v>14</v>
      </c>
      <c r="W40" s="666">
        <f t="shared" si="14"/>
        <v>100</v>
      </c>
      <c r="X40" s="1261"/>
      <c r="Y40" s="3385"/>
      <c r="Z40" s="1260" t="str">
        <f t="shared" si="15"/>
        <v>单套建筑面积</v>
      </c>
      <c r="AA40" s="1260">
        <f t="shared" si="3"/>
        <v>1</v>
      </c>
      <c r="AB40" s="1260">
        <f t="shared" si="4"/>
        <v>1</v>
      </c>
      <c r="AC40" s="1260">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8"/>
      <c r="M41" s="2490"/>
      <c r="N41" s="2490"/>
      <c r="O41" s="2490"/>
      <c r="P41" s="3447"/>
      <c r="Q41" s="529" t="str">
        <f t="shared" si="11"/>
        <v>进深比</v>
      </c>
      <c r="R41" s="667" t="s">
        <v>14</v>
      </c>
      <c r="S41" s="668">
        <f t="shared" si="12"/>
        <v>100</v>
      </c>
      <c r="T41" s="667" t="s">
        <v>14</v>
      </c>
      <c r="U41" s="668">
        <f t="shared" si="13"/>
        <v>100</v>
      </c>
      <c r="V41" s="667" t="s">
        <v>14</v>
      </c>
      <c r="W41" s="668">
        <f t="shared" si="14"/>
        <v>100</v>
      </c>
      <c r="X41" s="669"/>
      <c r="Y41" s="3385"/>
      <c r="Z41" s="670" t="str">
        <f t="shared" si="15"/>
        <v>进深比</v>
      </c>
      <c r="AA41" s="1260">
        <f t="shared" si="3"/>
        <v>1</v>
      </c>
      <c r="AB41" s="1260">
        <f t="shared" si="4"/>
        <v>1</v>
      </c>
      <c r="AC41" s="1260">
        <f t="shared" si="5"/>
        <v>1</v>
      </c>
    </row>
    <row r="42" spans="1:29" ht="15">
      <c r="A42" s="407"/>
      <c r="B42" s="362" t="s">
        <v>1792</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9"/>
      <c r="M42" s="2484"/>
      <c r="N42" s="2484"/>
      <c r="O42" s="2484"/>
      <c r="P42" s="3447"/>
      <c r="Q42" s="1259" t="str">
        <f t="shared" si="11"/>
        <v>内部装修</v>
      </c>
      <c r="R42" s="665" t="s">
        <v>14</v>
      </c>
      <c r="S42" s="666">
        <f t="shared" si="12"/>
        <v>100</v>
      </c>
      <c r="T42" s="665" t="s">
        <v>14</v>
      </c>
      <c r="U42" s="666">
        <f t="shared" si="13"/>
        <v>100</v>
      </c>
      <c r="V42" s="665" t="s">
        <v>14</v>
      </c>
      <c r="W42" s="666">
        <f t="shared" si="14"/>
        <v>100</v>
      </c>
      <c r="X42" s="1261"/>
      <c r="Y42" s="3385"/>
      <c r="Z42" s="1260" t="str">
        <f t="shared" si="15"/>
        <v>内部装修</v>
      </c>
      <c r="AA42" s="1260">
        <f t="shared" si="3"/>
        <v>1</v>
      </c>
      <c r="AB42" s="1260">
        <f t="shared" si="4"/>
        <v>1</v>
      </c>
      <c r="AC42" s="1260">
        <f t="shared" si="5"/>
        <v>1</v>
      </c>
    </row>
    <row r="43" spans="1:29" ht="15">
      <c r="A43" s="407"/>
      <c r="B43" s="362" t="s">
        <v>1707</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9"/>
      <c r="M43" s="2484"/>
      <c r="N43" s="2484"/>
      <c r="O43" s="2484"/>
      <c r="P43" s="3447"/>
      <c r="Q43" s="1259" t="str">
        <f t="shared" si="11"/>
        <v>内部装修维护情况</v>
      </c>
      <c r="R43" s="665" t="s">
        <v>14</v>
      </c>
      <c r="S43" s="666">
        <f t="shared" si="12"/>
        <v>100</v>
      </c>
      <c r="T43" s="665" t="s">
        <v>14</v>
      </c>
      <c r="U43" s="666">
        <f t="shared" si="13"/>
        <v>100</v>
      </c>
      <c r="V43" s="665" t="s">
        <v>14</v>
      </c>
      <c r="W43" s="666">
        <f t="shared" si="14"/>
        <v>100</v>
      </c>
      <c r="X43" s="1261"/>
      <c r="Y43" s="3385"/>
      <c r="Z43" s="1260" t="str">
        <f t="shared" si="15"/>
        <v>内部装修维护情况</v>
      </c>
      <c r="AA43" s="1260">
        <f t="shared" si="3"/>
        <v>1</v>
      </c>
      <c r="AB43" s="1260">
        <f t="shared" si="4"/>
        <v>1</v>
      </c>
      <c r="AC43" s="1260">
        <f t="shared" si="5"/>
        <v>1</v>
      </c>
    </row>
    <row r="44" spans="1:29" s="100" customFormat="1" ht="15">
      <c r="A44" s="408"/>
      <c r="B44" s="1062">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5"/>
      <c r="M44" s="2436"/>
      <c r="N44" s="2436"/>
      <c r="O44" s="2436"/>
      <c r="P44" s="3447"/>
      <c r="Q44" s="528">
        <f t="shared" si="11"/>
        <v>111</v>
      </c>
      <c r="R44" s="662" t="s">
        <v>14</v>
      </c>
      <c r="S44" s="663">
        <f t="shared" si="12"/>
        <v>100</v>
      </c>
      <c r="T44" s="662" t="s">
        <v>14</v>
      </c>
      <c r="U44" s="663">
        <f t="shared" si="13"/>
        <v>100</v>
      </c>
      <c r="V44" s="662" t="s">
        <v>14</v>
      </c>
      <c r="W44" s="663">
        <f t="shared" si="14"/>
        <v>100</v>
      </c>
      <c r="X44" s="664"/>
      <c r="Y44" s="3385"/>
      <c r="Z44" s="50">
        <f t="shared" si="15"/>
        <v>111</v>
      </c>
      <c r="AA44" s="50">
        <f t="shared" si="3"/>
        <v>1</v>
      </c>
      <c r="AB44" s="50">
        <f t="shared" si="4"/>
        <v>1</v>
      </c>
      <c r="AC44" s="50">
        <f t="shared" si="5"/>
        <v>1</v>
      </c>
    </row>
    <row r="45" spans="1:29" ht="15">
      <c r="A45" s="407"/>
      <c r="B45" s="1062">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9"/>
      <c r="M45" s="2484"/>
      <c r="N45" s="2484"/>
      <c r="O45" s="2484"/>
      <c r="P45" s="3447"/>
      <c r="Q45" s="1259">
        <f t="shared" si="11"/>
        <v>111</v>
      </c>
      <c r="R45" s="665" t="s">
        <v>14</v>
      </c>
      <c r="S45" s="666">
        <f t="shared" si="12"/>
        <v>100</v>
      </c>
      <c r="T45" s="665" t="s">
        <v>14</v>
      </c>
      <c r="U45" s="666">
        <f t="shared" si="13"/>
        <v>100</v>
      </c>
      <c r="V45" s="665" t="s">
        <v>14</v>
      </c>
      <c r="W45" s="666">
        <f t="shared" si="14"/>
        <v>100</v>
      </c>
      <c r="X45" s="1261"/>
      <c r="Y45" s="3385"/>
      <c r="Z45" s="1260">
        <f t="shared" si="15"/>
        <v>111</v>
      </c>
      <c r="AA45" s="1260">
        <f t="shared" si="3"/>
        <v>1</v>
      </c>
      <c r="AB45" s="1260">
        <f t="shared" si="4"/>
        <v>1</v>
      </c>
      <c r="AC45" s="1260">
        <f t="shared" si="5"/>
        <v>1</v>
      </c>
    </row>
    <row r="46" spans="1:29" ht="15.75"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9"/>
      <c r="M46" s="2484"/>
      <c r="N46" s="2484"/>
      <c r="O46" s="2484"/>
      <c r="P46" s="3448"/>
      <c r="Q46" s="1259">
        <f t="shared" si="11"/>
        <v>111</v>
      </c>
      <c r="R46" s="665" t="s">
        <v>14</v>
      </c>
      <c r="S46" s="666">
        <f t="shared" si="12"/>
        <v>100</v>
      </c>
      <c r="T46" s="665" t="s">
        <v>14</v>
      </c>
      <c r="U46" s="666">
        <f t="shared" si="13"/>
        <v>100</v>
      </c>
      <c r="V46" s="665" t="s">
        <v>14</v>
      </c>
      <c r="W46" s="666">
        <f t="shared" si="14"/>
        <v>100</v>
      </c>
      <c r="X46" s="1261"/>
      <c r="Y46" s="3449"/>
      <c r="Z46" s="1260">
        <f t="shared" si="15"/>
        <v>111</v>
      </c>
      <c r="AA46" s="1260">
        <f t="shared" si="3"/>
        <v>1</v>
      </c>
      <c r="AB46" s="1260">
        <f t="shared" si="4"/>
        <v>1</v>
      </c>
      <c r="AC46" s="1260">
        <f t="shared" si="5"/>
        <v>1</v>
      </c>
    </row>
    <row r="47" spans="1:29" ht="15">
      <c r="A47" s="414" t="s">
        <v>1708</v>
      </c>
      <c r="B47" s="415"/>
      <c r="C47" s="1077" t="s">
        <v>0</v>
      </c>
      <c r="D47" s="416"/>
      <c r="E47" s="417"/>
      <c r="F47" s="418"/>
      <c r="G47" s="419"/>
      <c r="H47" s="420"/>
      <c r="I47" s="417"/>
      <c r="J47" s="420"/>
      <c r="K47" s="672"/>
      <c r="L47" s="2491"/>
      <c r="M47" s="2484"/>
      <c r="N47" s="2484"/>
      <c r="O47" s="2484"/>
      <c r="P47" s="3381" t="str">
        <f>A47</f>
        <v>成交单价（元/平方米）</v>
      </c>
      <c r="Q47" s="3381"/>
      <c r="R47" s="3386">
        <f>E47</f>
        <v>0</v>
      </c>
      <c r="S47" s="3386"/>
      <c r="T47" s="3386">
        <f>G47</f>
        <v>0</v>
      </c>
      <c r="U47" s="3386"/>
      <c r="V47" s="3386">
        <f>I47</f>
        <v>0</v>
      </c>
      <c r="W47" s="3386"/>
      <c r="X47" s="383"/>
      <c r="Y47" s="671"/>
      <c r="Z47" s="383"/>
      <c r="AA47" s="383"/>
      <c r="AB47" s="383"/>
      <c r="AC47" s="383"/>
    </row>
    <row r="48" spans="1:29" ht="15.75" thickBot="1">
      <c r="A48" s="421" t="s">
        <v>1793</v>
      </c>
      <c r="B48" s="422"/>
      <c r="C48" s="1078" t="e">
        <f>R49</f>
        <v>#DIV/0!</v>
      </c>
      <c r="D48" s="2137" t="s">
        <v>2137</v>
      </c>
      <c r="E48" s="1079" t="e">
        <f>R48</f>
        <v>#DIV/0!</v>
      </c>
      <c r="F48" s="2138"/>
      <c r="G48" s="1078" t="e">
        <f>T48</f>
        <v>#DIV/0!</v>
      </c>
      <c r="H48" s="2138"/>
      <c r="I48" s="1079" t="e">
        <f>V48</f>
        <v>#DIV/0!</v>
      </c>
      <c r="J48" s="2138"/>
      <c r="K48" s="2140">
        <f>F48+H48+J48</f>
        <v>0</v>
      </c>
      <c r="L48" s="2491"/>
      <c r="M48" s="2484"/>
      <c r="N48" s="2484"/>
      <c r="O48" s="2484"/>
      <c r="P48" s="3381" t="str">
        <f>A48</f>
        <v>比较价值（元/平方米）</v>
      </c>
      <c r="Q48" s="3381"/>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3"/>
      <c r="Y48" s="383"/>
      <c r="Z48" s="383"/>
      <c r="AA48" s="383"/>
      <c r="AB48" s="383"/>
      <c r="AC48" s="383"/>
    </row>
    <row r="49" spans="1:29" ht="15.75" thickBot="1">
      <c r="A49" s="425" t="s">
        <v>1794</v>
      </c>
      <c r="B49" s="426"/>
      <c r="C49" s="349" t="e">
        <f>R49</f>
        <v>#DIV/0!</v>
      </c>
      <c r="D49" s="349"/>
      <c r="E49" s="349"/>
      <c r="F49" s="349"/>
      <c r="G49" s="349"/>
      <c r="H49" s="349"/>
      <c r="I49" s="349"/>
      <c r="J49" s="349"/>
      <c r="K49" s="673"/>
      <c r="L49" s="2491"/>
      <c r="M49" s="2484"/>
      <c r="N49" s="2484"/>
      <c r="O49" s="2484"/>
      <c r="P49" s="3375" t="str">
        <f>A49</f>
        <v>估价对象XX用房的比较价值（楼面单价，元/平方米）</v>
      </c>
      <c r="Q49" s="3376"/>
      <c r="R49" s="3445" t="e">
        <f>IF(F1="售价",ROUND(IF(D48="简单平均",AVERAGE(R48:V48),R48*F48+T48*H48+V48*J48),0),ROUND(IF(D48="简单平均",AVERAGE(R48:V48),R48*F48+T48*H48+V48*J48),1))</f>
        <v>#DIV/0!</v>
      </c>
      <c r="S49" s="3445"/>
      <c r="T49" s="3445"/>
      <c r="U49" s="3445"/>
      <c r="V49" s="3445"/>
      <c r="W49" s="3445"/>
      <c r="X49" s="383"/>
      <c r="Y49" s="383"/>
      <c r="Z49" s="383"/>
      <c r="AA49" s="383"/>
      <c r="AB49" s="383"/>
      <c r="AC49" s="383"/>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5" customFormat="1" ht="13.5" customHeight="1">
      <c r="A54" s="2494"/>
      <c r="B54" s="2494"/>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5"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6" t="s">
        <v>1798</v>
      </c>
      <c r="B57" s="383"/>
      <c r="C57" s="657"/>
      <c r="D57" s="657"/>
      <c r="E57" s="657"/>
      <c r="F57" s="658"/>
      <c r="G57" s="658"/>
      <c r="H57" s="657"/>
      <c r="I57" s="657"/>
      <c r="J57" s="657"/>
      <c r="K57" s="659"/>
      <c r="L57" s="884"/>
      <c r="M57" s="882"/>
      <c r="N57" s="882"/>
      <c r="O57" s="882"/>
      <c r="P57" s="2504"/>
      <c r="Q57" s="2505"/>
      <c r="R57" s="2484"/>
      <c r="S57" s="2484"/>
      <c r="T57" s="2484"/>
      <c r="U57" s="2484"/>
      <c r="V57" s="2484"/>
      <c r="W57" s="2484"/>
      <c r="X57" s="2484"/>
      <c r="Y57" s="2484"/>
      <c r="Z57" s="2484"/>
      <c r="AA57" s="2484"/>
      <c r="AB57" s="2484"/>
      <c r="AC57" s="2484"/>
    </row>
    <row r="58" spans="1:29" s="440" customFormat="1" ht="15">
      <c r="A58" s="438" t="s">
        <v>1679</v>
      </c>
      <c r="B58" s="439"/>
      <c r="C58" s="1099" t="str">
        <f>YEAR(C7)&amp;"-"&amp;MONTH(C7)</f>
        <v>2025-9</v>
      </c>
      <c r="D58" s="1100">
        <f>EDATE(C58,-1)</f>
        <v>45870</v>
      </c>
      <c r="E58" s="1100">
        <f t="shared" ref="E58:N58" si="16">EDATE(D58,-1)</f>
        <v>45839</v>
      </c>
      <c r="F58" s="1100">
        <f t="shared" si="16"/>
        <v>45809</v>
      </c>
      <c r="G58" s="1100">
        <f t="shared" si="16"/>
        <v>45778</v>
      </c>
      <c r="H58" s="1100">
        <f t="shared" si="16"/>
        <v>45748</v>
      </c>
      <c r="I58" s="1100">
        <f t="shared" si="16"/>
        <v>45717</v>
      </c>
      <c r="J58" s="1100">
        <f t="shared" si="16"/>
        <v>45689</v>
      </c>
      <c r="K58" s="1100">
        <f t="shared" si="16"/>
        <v>45658</v>
      </c>
      <c r="L58" s="1100">
        <f t="shared" si="16"/>
        <v>45627</v>
      </c>
      <c r="M58" s="1100">
        <f t="shared" si="16"/>
        <v>45597</v>
      </c>
      <c r="N58" s="1100">
        <f t="shared" si="16"/>
        <v>45566</v>
      </c>
      <c r="O58" s="1100">
        <f>EDATE(N58,-1)</f>
        <v>45536</v>
      </c>
      <c r="P58" s="2506"/>
      <c r="Q58" s="2507"/>
      <c r="R58" s="2507"/>
      <c r="S58" s="2507"/>
      <c r="T58" s="2507"/>
      <c r="U58" s="2507"/>
      <c r="V58" s="2507"/>
      <c r="W58" s="2507"/>
      <c r="X58" s="2507"/>
      <c r="Y58" s="2507"/>
      <c r="Z58" s="2507"/>
      <c r="AA58" s="2507"/>
      <c r="AB58" s="2507"/>
      <c r="AC58" s="2507"/>
    </row>
    <row r="59" spans="1:29" s="100" customFormat="1" ht="15">
      <c r="A59" s="441"/>
      <c r="B59" s="442"/>
      <c r="C59" s="1098">
        <v>100</v>
      </c>
      <c r="D59" s="444"/>
      <c r="E59" s="444"/>
      <c r="F59" s="444"/>
      <c r="G59" s="444"/>
      <c r="H59" s="444"/>
      <c r="I59" s="444"/>
      <c r="J59" s="444"/>
      <c r="K59" s="444"/>
      <c r="L59" s="444"/>
      <c r="M59" s="445"/>
      <c r="N59" s="444"/>
      <c r="O59" s="445"/>
      <c r="P59" s="2508"/>
      <c r="Q59" s="2436"/>
      <c r="R59" s="2436"/>
      <c r="S59" s="2436"/>
      <c r="T59" s="2436"/>
      <c r="U59" s="2436"/>
      <c r="V59" s="2436"/>
      <c r="W59" s="2436"/>
      <c r="X59" s="2436"/>
      <c r="Y59" s="2436"/>
      <c r="Z59" s="2436"/>
      <c r="AA59" s="2436"/>
      <c r="AB59" s="2436"/>
      <c r="AC59" s="2436"/>
    </row>
    <row r="60" spans="1:29" s="100" customFormat="1" ht="15.75" thickBot="1">
      <c r="A60" s="447" t="s">
        <v>1716</v>
      </c>
      <c r="B60" s="448"/>
      <c r="C60" s="449"/>
      <c r="D60" s="450"/>
      <c r="E60" s="450"/>
      <c r="F60" s="450"/>
      <c r="G60" s="450"/>
      <c r="H60" s="450"/>
      <c r="I60" s="450"/>
      <c r="J60" s="450"/>
      <c r="K60" s="450"/>
      <c r="L60" s="450"/>
      <c r="M60" s="451"/>
      <c r="N60" s="450"/>
      <c r="O60" s="451"/>
      <c r="P60" s="2508"/>
      <c r="Q60" s="2505"/>
      <c r="R60" s="2436"/>
      <c r="S60" s="2436"/>
      <c r="T60" s="2436"/>
      <c r="U60" s="2436"/>
      <c r="V60" s="2436"/>
      <c r="W60" s="2436"/>
      <c r="X60" s="2436"/>
      <c r="Y60" s="2436"/>
      <c r="Z60" s="2436"/>
      <c r="AA60" s="2436"/>
      <c r="AB60" s="2436"/>
      <c r="AC60" s="2436"/>
    </row>
    <row r="61" spans="1:29" s="100" customFormat="1" ht="15">
      <c r="A61" s="453" t="s">
        <v>1681</v>
      </c>
      <c r="B61" s="442"/>
      <c r="C61" s="454" t="s">
        <v>1776</v>
      </c>
      <c r="D61" s="31"/>
      <c r="E61" s="31"/>
      <c r="F61" s="31"/>
      <c r="G61" s="31"/>
      <c r="H61" s="31"/>
      <c r="I61" s="31"/>
      <c r="J61" s="31"/>
      <c r="K61" s="31"/>
      <c r="L61" s="455"/>
      <c r="M61" s="456"/>
      <c r="N61" s="2517"/>
      <c r="O61" s="2517"/>
      <c r="P61" s="2509"/>
      <c r="Q61" s="2505"/>
      <c r="R61" s="2436"/>
      <c r="S61" s="2436"/>
      <c r="T61" s="2436"/>
      <c r="U61" s="2436"/>
      <c r="V61" s="2436"/>
      <c r="W61" s="2436"/>
      <c r="X61" s="2436"/>
      <c r="Y61" s="2436"/>
      <c r="Z61" s="2436"/>
      <c r="AA61" s="2436"/>
      <c r="AB61" s="2436"/>
      <c r="AC61" s="2436"/>
    </row>
    <row r="62" spans="1:29" s="100" customFormat="1" ht="15.75" thickBot="1">
      <c r="A62" s="453"/>
      <c r="B62" s="442"/>
      <c r="C62" s="443">
        <v>100</v>
      </c>
      <c r="D62" s="444"/>
      <c r="E62" s="444"/>
      <c r="F62" s="444"/>
      <c r="G62" s="444"/>
      <c r="H62" s="444"/>
      <c r="I62" s="444"/>
      <c r="J62" s="444"/>
      <c r="K62" s="444"/>
      <c r="L62" s="444"/>
      <c r="M62" s="446"/>
      <c r="N62" s="2517"/>
      <c r="O62" s="2517"/>
      <c r="P62" s="2508"/>
      <c r="Q62" s="2505"/>
      <c r="R62" s="2436"/>
      <c r="S62" s="2436"/>
      <c r="T62" s="2436"/>
      <c r="U62" s="2436"/>
      <c r="V62" s="2436"/>
      <c r="W62" s="2436"/>
      <c r="X62" s="2436"/>
      <c r="Y62" s="2436"/>
      <c r="Z62" s="2436"/>
      <c r="AA62" s="2436"/>
      <c r="AB62" s="2436"/>
      <c r="AC62" s="2436"/>
    </row>
    <row r="63" spans="1:29">
      <c r="A63" s="377" t="s">
        <v>1719</v>
      </c>
      <c r="B63" s="458" t="s">
        <v>1685</v>
      </c>
      <c r="C63" s="459">
        <f>C9</f>
        <v>0</v>
      </c>
      <c r="D63" s="460"/>
      <c r="E63" s="460"/>
      <c r="F63" s="460"/>
      <c r="G63" s="460"/>
      <c r="H63" s="460"/>
      <c r="I63" s="460"/>
      <c r="J63" s="460"/>
      <c r="K63" s="461"/>
      <c r="L63" s="462"/>
      <c r="M63" s="463"/>
      <c r="N63" s="2518"/>
      <c r="O63" s="2518"/>
      <c r="P63" s="2510"/>
      <c r="Q63" s="2505"/>
      <c r="R63" s="2484"/>
      <c r="S63" s="2484"/>
      <c r="T63" s="2484"/>
      <c r="U63" s="2484"/>
      <c r="V63" s="2484"/>
      <c r="W63" s="2484"/>
      <c r="X63" s="2484"/>
      <c r="Y63" s="2484"/>
      <c r="Z63" s="2484"/>
      <c r="AA63" s="2484"/>
      <c r="AB63" s="2484"/>
      <c r="AC63" s="2484"/>
    </row>
    <row r="64" spans="1:29" ht="15.75" thickBot="1">
      <c r="A64" s="365"/>
      <c r="B64" s="464"/>
      <c r="C64" s="465">
        <v>100</v>
      </c>
      <c r="D64" s="465"/>
      <c r="E64" s="465"/>
      <c r="F64" s="465"/>
      <c r="G64" s="465"/>
      <c r="H64" s="465"/>
      <c r="I64" s="465"/>
      <c r="J64" s="465"/>
      <c r="K64" s="465"/>
      <c r="L64" s="465"/>
      <c r="M64" s="466"/>
      <c r="N64" s="2519"/>
      <c r="O64" s="2519"/>
      <c r="P64" s="2510"/>
      <c r="Q64" s="2505"/>
      <c r="R64" s="2484"/>
      <c r="S64" s="2484"/>
      <c r="T64" s="2484"/>
      <c r="U64" s="2484"/>
      <c r="V64" s="2484"/>
      <c r="W64" s="2484"/>
      <c r="X64" s="2484"/>
      <c r="Y64" s="2484"/>
      <c r="Z64" s="2484"/>
      <c r="AA64" s="2484"/>
      <c r="AB64" s="2484"/>
      <c r="AC64" s="2484"/>
    </row>
    <row r="65" spans="1:29" ht="27.75" thickTop="1">
      <c r="A65" s="365"/>
      <c r="B65" s="467" t="s">
        <v>1688</v>
      </c>
      <c r="C65" s="511"/>
      <c r="D65" s="511"/>
      <c r="E65" s="511"/>
      <c r="F65" s="511"/>
      <c r="G65" s="511"/>
      <c r="H65" s="511"/>
      <c r="I65" s="511"/>
      <c r="J65" s="511"/>
      <c r="K65" s="512"/>
      <c r="L65" s="513"/>
      <c r="M65" s="514"/>
      <c r="N65" s="2518"/>
      <c r="O65" s="2518"/>
      <c r="P65" s="2510"/>
      <c r="Q65" s="2505"/>
      <c r="R65" s="2484"/>
      <c r="S65" s="2484"/>
      <c r="T65" s="2484"/>
      <c r="U65" s="2484"/>
      <c r="V65" s="2484"/>
      <c r="W65" s="2484"/>
      <c r="X65" s="2484"/>
      <c r="Y65" s="2484"/>
      <c r="Z65" s="2484"/>
      <c r="AA65" s="2484"/>
      <c r="AB65" s="2484"/>
      <c r="AC65" s="2484"/>
    </row>
    <row r="66" spans="1:29" ht="15.75" thickBot="1">
      <c r="A66" s="365"/>
      <c r="B66" s="472"/>
      <c r="C66" s="465"/>
      <c r="D66" s="465"/>
      <c r="E66" s="465"/>
      <c r="F66" s="465"/>
      <c r="G66" s="465"/>
      <c r="H66" s="465"/>
      <c r="I66" s="465"/>
      <c r="J66" s="465"/>
      <c r="K66" s="465"/>
      <c r="L66" s="465"/>
      <c r="M66" s="466"/>
      <c r="N66" s="2519"/>
      <c r="O66" s="2519"/>
      <c r="P66" s="2510"/>
      <c r="Q66" s="2505"/>
      <c r="R66" s="2484"/>
      <c r="S66" s="2484"/>
      <c r="T66" s="2484"/>
      <c r="U66" s="2484"/>
      <c r="V66" s="2484"/>
      <c r="W66" s="2484"/>
      <c r="X66" s="2484"/>
      <c r="Y66" s="2484"/>
      <c r="Z66" s="2484"/>
      <c r="AA66" s="2484"/>
      <c r="AB66" s="2484"/>
      <c r="AC66" s="2484"/>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5"/>
      <c r="B68" s="477"/>
      <c r="C68" s="478"/>
      <c r="D68" s="478"/>
      <c r="E68" s="478"/>
      <c r="F68" s="478"/>
      <c r="G68" s="478"/>
      <c r="H68" s="478"/>
      <c r="I68" s="478"/>
      <c r="J68" s="478"/>
      <c r="K68" s="479"/>
      <c r="L68" s="480"/>
      <c r="M68" s="481"/>
      <c r="N68" s="2518"/>
      <c r="O68" s="2518"/>
      <c r="P68" s="2510"/>
      <c r="Q68" s="2505"/>
      <c r="R68" s="2484"/>
      <c r="S68" s="2484"/>
      <c r="T68" s="2484"/>
      <c r="U68" s="2484"/>
      <c r="V68" s="2484"/>
      <c r="W68" s="2484"/>
      <c r="X68" s="2484"/>
      <c r="Y68" s="2484"/>
      <c r="Z68" s="2484"/>
      <c r="AA68" s="2484"/>
      <c r="AB68" s="2484"/>
      <c r="AC68" s="2484"/>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9"/>
      <c r="O69" s="2519"/>
      <c r="P69" s="2510"/>
      <c r="Q69" s="2505"/>
      <c r="R69" s="2484"/>
      <c r="S69" s="2484"/>
      <c r="T69" s="2484"/>
      <c r="U69" s="2484"/>
      <c r="V69" s="2484"/>
      <c r="W69" s="2484"/>
      <c r="X69" s="2484"/>
      <c r="Y69" s="2484"/>
      <c r="Z69" s="2484"/>
      <c r="AA69" s="2484"/>
      <c r="AB69" s="2484"/>
      <c r="AC69" s="2484"/>
    </row>
    <row r="70" spans="1:29" s="406" customFormat="1" ht="15.75" thickTop="1">
      <c r="A70" s="482"/>
      <c r="B70" s="467">
        <f>B12</f>
        <v>111</v>
      </c>
      <c r="C70" s="483"/>
      <c r="D70" s="483"/>
      <c r="E70" s="483"/>
      <c r="F70" s="483"/>
      <c r="G70" s="483"/>
      <c r="H70" s="484"/>
      <c r="I70" s="484"/>
      <c r="J70" s="484"/>
      <c r="K70" s="484"/>
      <c r="L70" s="485"/>
      <c r="M70" s="486"/>
      <c r="N70" s="2520"/>
      <c r="O70" s="2520"/>
      <c r="P70" s="2511"/>
      <c r="Q70" s="2512"/>
      <c r="R70" s="2490"/>
      <c r="S70" s="2490"/>
      <c r="T70" s="2490"/>
      <c r="U70" s="2490"/>
      <c r="V70" s="2490"/>
      <c r="W70" s="2490"/>
      <c r="X70" s="2490"/>
      <c r="Y70" s="2490"/>
      <c r="Z70" s="2490"/>
      <c r="AA70" s="2490"/>
      <c r="AB70" s="2490"/>
      <c r="AC70" s="2490"/>
    </row>
    <row r="71" spans="1:29" s="406" customFormat="1" ht="15.75" thickBot="1">
      <c r="A71" s="482"/>
      <c r="B71" s="472"/>
      <c r="C71" s="489"/>
      <c r="D71" s="465"/>
      <c r="E71" s="465"/>
      <c r="F71" s="465"/>
      <c r="G71" s="465"/>
      <c r="H71" s="465"/>
      <c r="I71" s="465"/>
      <c r="J71" s="465"/>
      <c r="K71" s="465"/>
      <c r="L71" s="465"/>
      <c r="M71" s="466"/>
      <c r="N71" s="2519"/>
      <c r="O71" s="2519"/>
      <c r="P71" s="2511"/>
      <c r="Q71" s="2512"/>
      <c r="R71" s="2490"/>
      <c r="S71" s="2490"/>
      <c r="T71" s="2490"/>
      <c r="U71" s="2490"/>
      <c r="V71" s="2490"/>
      <c r="W71" s="2490"/>
      <c r="X71" s="2490"/>
      <c r="Y71" s="2490"/>
      <c r="Z71" s="2490"/>
      <c r="AA71" s="2490"/>
      <c r="AB71" s="2490"/>
      <c r="AC71" s="2490"/>
    </row>
    <row r="72" spans="1:29" s="406" customFormat="1" ht="15.75" thickTop="1">
      <c r="A72" s="482"/>
      <c r="B72" s="467">
        <f>B13</f>
        <v>111</v>
      </c>
      <c r="C72" s="483"/>
      <c r="D72" s="483"/>
      <c r="E72" s="483"/>
      <c r="F72" s="483"/>
      <c r="G72" s="483"/>
      <c r="H72" s="484"/>
      <c r="I72" s="484"/>
      <c r="J72" s="484"/>
      <c r="K72" s="484"/>
      <c r="L72" s="485"/>
      <c r="M72" s="486"/>
      <c r="N72" s="2520"/>
      <c r="O72" s="2520"/>
      <c r="P72" s="2513"/>
      <c r="Q72" s="2514"/>
      <c r="R72" s="2490"/>
      <c r="S72" s="2490"/>
      <c r="T72" s="2490"/>
      <c r="U72" s="2490"/>
      <c r="V72" s="2490"/>
      <c r="W72" s="2490"/>
      <c r="X72" s="2490"/>
      <c r="Y72" s="2490"/>
      <c r="Z72" s="2490"/>
      <c r="AA72" s="2490"/>
      <c r="AB72" s="2490"/>
      <c r="AC72" s="2490"/>
    </row>
    <row r="73" spans="1:29" s="406" customFormat="1" ht="15.75" thickBot="1">
      <c r="A73" s="482"/>
      <c r="B73" s="472"/>
      <c r="C73" s="489"/>
      <c r="D73" s="465"/>
      <c r="E73" s="465"/>
      <c r="F73" s="465"/>
      <c r="G73" s="489"/>
      <c r="H73" s="491"/>
      <c r="I73" s="491"/>
      <c r="J73" s="491"/>
      <c r="K73" s="491"/>
      <c r="L73" s="491"/>
      <c r="M73" s="492"/>
      <c r="N73" s="2520"/>
      <c r="O73" s="2520"/>
      <c r="P73" s="2511"/>
      <c r="Q73" s="2512"/>
      <c r="R73" s="2490"/>
      <c r="S73" s="2490"/>
      <c r="T73" s="2490"/>
      <c r="U73" s="2490"/>
      <c r="V73" s="2490"/>
      <c r="W73" s="2490"/>
      <c r="X73" s="2490"/>
      <c r="Y73" s="2490"/>
      <c r="Z73" s="2490"/>
      <c r="AA73" s="2490"/>
      <c r="AB73" s="2490"/>
      <c r="AC73" s="2490"/>
    </row>
    <row r="74" spans="1:29" s="406" customFormat="1" ht="15.75" thickTop="1">
      <c r="A74" s="482"/>
      <c r="B74" s="475">
        <f>B14</f>
        <v>111</v>
      </c>
      <c r="C74" s="483"/>
      <c r="D74" s="483"/>
      <c r="E74" s="483"/>
      <c r="F74" s="483"/>
      <c r="G74" s="31"/>
      <c r="H74" s="493"/>
      <c r="I74" s="493"/>
      <c r="J74" s="493"/>
      <c r="K74" s="493"/>
      <c r="L74" s="494"/>
      <c r="M74" s="495"/>
      <c r="N74" s="2520"/>
      <c r="O74" s="2520"/>
      <c r="P74" s="2515"/>
      <c r="Q74" s="2512"/>
      <c r="R74" s="2490"/>
      <c r="S74" s="2490"/>
      <c r="T74" s="2490"/>
      <c r="U74" s="2490"/>
      <c r="V74" s="2490"/>
      <c r="W74" s="2490"/>
      <c r="X74" s="2490"/>
      <c r="Y74" s="2490"/>
      <c r="Z74" s="2490"/>
      <c r="AA74" s="2490"/>
      <c r="AB74" s="2490"/>
      <c r="AC74" s="2490"/>
    </row>
    <row r="75" spans="1:29" s="406" customFormat="1" ht="15.75" thickBot="1">
      <c r="A75" s="497"/>
      <c r="B75" s="498"/>
      <c r="C75" s="499"/>
      <c r="D75" s="499"/>
      <c r="E75" s="499"/>
      <c r="F75" s="499"/>
      <c r="G75" s="499"/>
      <c r="H75" s="500"/>
      <c r="I75" s="500"/>
      <c r="J75" s="500"/>
      <c r="K75" s="500"/>
      <c r="L75" s="500"/>
      <c r="M75" s="501"/>
      <c r="N75" s="2520"/>
      <c r="O75" s="2520"/>
      <c r="P75" s="2511"/>
      <c r="Q75" s="2512"/>
      <c r="R75" s="2490"/>
      <c r="S75" s="2490"/>
      <c r="T75" s="2490"/>
      <c r="U75" s="2490"/>
      <c r="V75" s="2490"/>
      <c r="W75" s="2490"/>
      <c r="X75" s="2490"/>
      <c r="Y75" s="2490"/>
      <c r="Z75" s="2490"/>
      <c r="AA75" s="2490"/>
      <c r="AB75" s="2490"/>
      <c r="AC75" s="2490"/>
    </row>
    <row r="76" spans="1:29">
      <c r="A76" s="377" t="s">
        <v>1690</v>
      </c>
      <c r="B76" s="458" t="s">
        <v>1720</v>
      </c>
      <c r="C76" s="502" t="s">
        <v>1721</v>
      </c>
      <c r="D76" s="502" t="s">
        <v>1722</v>
      </c>
      <c r="E76" s="502" t="s">
        <v>1723</v>
      </c>
      <c r="F76" s="502" t="s">
        <v>1724</v>
      </c>
      <c r="G76" s="502" t="s">
        <v>1725</v>
      </c>
      <c r="H76" s="459"/>
      <c r="I76" s="459"/>
      <c r="J76" s="459"/>
      <c r="K76" s="503"/>
      <c r="L76" s="504"/>
      <c r="M76" s="505"/>
      <c r="N76" s="2518"/>
      <c r="O76" s="2518"/>
      <c r="P76" s="2516"/>
      <c r="Q76" s="2505"/>
      <c r="R76" s="2484"/>
      <c r="S76" s="2484"/>
      <c r="T76" s="2484"/>
      <c r="U76" s="2484"/>
      <c r="V76" s="2484"/>
      <c r="W76" s="2484"/>
      <c r="X76" s="2484"/>
      <c r="Y76" s="2484"/>
      <c r="Z76" s="2484"/>
      <c r="AA76" s="2484"/>
      <c r="AB76" s="2484"/>
      <c r="AC76" s="2484"/>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9"/>
      <c r="O77" s="2519"/>
      <c r="P77" s="2510"/>
      <c r="Q77" s="2505"/>
      <c r="R77" s="2484"/>
      <c r="S77" s="2484"/>
      <c r="T77" s="2484"/>
      <c r="U77" s="2484"/>
      <c r="V77" s="2484"/>
      <c r="W77" s="2484"/>
      <c r="X77" s="2484"/>
      <c r="Y77" s="2484"/>
      <c r="Z77" s="2484"/>
      <c r="AA77" s="2484"/>
      <c r="AB77" s="2484"/>
      <c r="AC77" s="2484"/>
    </row>
    <row r="78" spans="1:29" ht="15.75" thickTop="1">
      <c r="A78" s="365"/>
      <c r="B78" s="467" t="s">
        <v>1726</v>
      </c>
      <c r="C78" s="507" t="s">
        <v>1721</v>
      </c>
      <c r="D78" s="507" t="s">
        <v>1722</v>
      </c>
      <c r="E78" s="507" t="s">
        <v>1723</v>
      </c>
      <c r="F78" s="507" t="s">
        <v>1724</v>
      </c>
      <c r="G78" s="507" t="s">
        <v>1725</v>
      </c>
      <c r="H78" s="468"/>
      <c r="I78" s="468"/>
      <c r="J78" s="468"/>
      <c r="K78" s="469"/>
      <c r="L78" s="470"/>
      <c r="M78" s="471"/>
      <c r="N78" s="2518"/>
      <c r="O78" s="2518"/>
      <c r="P78" s="2510"/>
      <c r="Q78" s="2505"/>
      <c r="R78" s="2484"/>
      <c r="S78" s="2484"/>
      <c r="T78" s="2484"/>
      <c r="U78" s="2484"/>
      <c r="V78" s="2484"/>
      <c r="W78" s="2484"/>
      <c r="X78" s="2484"/>
      <c r="Y78" s="2484"/>
      <c r="Z78" s="2484"/>
      <c r="AA78" s="2484"/>
      <c r="AB78" s="2484"/>
      <c r="AC78" s="2484"/>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9"/>
      <c r="O79" s="2519"/>
      <c r="P79" s="2510"/>
      <c r="Q79" s="2505"/>
      <c r="R79" s="2484"/>
      <c r="S79" s="2484"/>
      <c r="T79" s="2484"/>
      <c r="U79" s="2484"/>
      <c r="V79" s="2484"/>
      <c r="W79" s="2484"/>
      <c r="X79" s="2484"/>
      <c r="Y79" s="2484"/>
      <c r="Z79" s="2484"/>
      <c r="AA79" s="2484"/>
      <c r="AB79" s="2484"/>
      <c r="AC79" s="2484"/>
    </row>
    <row r="80" spans="1:29" ht="15.75" thickTop="1">
      <c r="A80" s="365"/>
      <c r="B80" s="467" t="s">
        <v>1727</v>
      </c>
      <c r="C80" s="507" t="s">
        <v>1721</v>
      </c>
      <c r="D80" s="507" t="s">
        <v>1722</v>
      </c>
      <c r="E80" s="507" t="s">
        <v>1723</v>
      </c>
      <c r="F80" s="507" t="s">
        <v>1724</v>
      </c>
      <c r="G80" s="507" t="s">
        <v>1725</v>
      </c>
      <c r="H80" s="468"/>
      <c r="I80" s="468"/>
      <c r="J80" s="468"/>
      <c r="K80" s="469"/>
      <c r="L80" s="470"/>
      <c r="M80" s="471"/>
      <c r="N80" s="2518"/>
      <c r="O80" s="2518"/>
      <c r="P80" s="2510"/>
      <c r="Q80" s="2505"/>
      <c r="R80" s="2484"/>
      <c r="S80" s="2484"/>
      <c r="T80" s="2484"/>
      <c r="U80" s="2484"/>
      <c r="V80" s="2484"/>
      <c r="W80" s="2484"/>
      <c r="X80" s="2484"/>
      <c r="Y80" s="2484"/>
      <c r="Z80" s="2484"/>
      <c r="AA80" s="2484"/>
      <c r="AB80" s="2484"/>
      <c r="AC80" s="2484"/>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9"/>
      <c r="O81" s="2519"/>
      <c r="P81" s="2510"/>
      <c r="Q81" s="2505"/>
      <c r="R81" s="2484"/>
      <c r="S81" s="2484"/>
      <c r="T81" s="2484"/>
      <c r="U81" s="2484"/>
      <c r="V81" s="2484"/>
      <c r="W81" s="2484"/>
      <c r="X81" s="2484"/>
      <c r="Y81" s="2484"/>
      <c r="Z81" s="2484"/>
      <c r="AA81" s="2484"/>
      <c r="AB81" s="2484"/>
      <c r="AC81" s="2484"/>
    </row>
    <row r="82" spans="1:29" ht="15.75" thickTop="1">
      <c r="A82" s="365"/>
      <c r="B82" s="475" t="s">
        <v>1779</v>
      </c>
      <c r="C82" s="579" t="s">
        <v>1799</v>
      </c>
      <c r="D82" s="579" t="s">
        <v>1800</v>
      </c>
      <c r="E82" s="579" t="s">
        <v>1801</v>
      </c>
      <c r="F82" s="579" t="s">
        <v>1802</v>
      </c>
      <c r="G82" s="579" t="s">
        <v>1803</v>
      </c>
      <c r="H82" s="468"/>
      <c r="I82" s="468"/>
      <c r="J82" s="468"/>
      <c r="K82" s="468"/>
      <c r="L82" s="468"/>
      <c r="M82" s="1059"/>
      <c r="N82" s="2519"/>
      <c r="O82" s="2519"/>
      <c r="P82" s="2510"/>
      <c r="Q82" s="2505"/>
      <c r="R82" s="2484"/>
      <c r="S82" s="2484"/>
      <c r="T82" s="2484"/>
      <c r="U82" s="2484"/>
      <c r="V82" s="2484"/>
      <c r="W82" s="2484"/>
      <c r="X82" s="2484"/>
      <c r="Y82" s="2484"/>
      <c r="Z82" s="2484"/>
      <c r="AA82" s="2484"/>
      <c r="AB82" s="2484"/>
      <c r="AC82" s="2484"/>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9"/>
      <c r="O83" s="2519"/>
      <c r="P83" s="2510"/>
      <c r="Q83" s="2505"/>
      <c r="R83" s="2484"/>
      <c r="S83" s="2484"/>
      <c r="T83" s="2484"/>
      <c r="U83" s="2484"/>
      <c r="V83" s="2484"/>
      <c r="W83" s="2484"/>
      <c r="X83" s="2484"/>
      <c r="Y83" s="2484"/>
      <c r="Z83" s="2484"/>
      <c r="AA83" s="2484"/>
      <c r="AB83" s="2484"/>
      <c r="AC83" s="2484"/>
    </row>
    <row r="84" spans="1:29" ht="15.75" thickTop="1">
      <c r="A84" s="365"/>
      <c r="B84" s="467" t="s">
        <v>1733</v>
      </c>
      <c r="C84" s="507" t="s">
        <v>1721</v>
      </c>
      <c r="D84" s="507" t="s">
        <v>1722</v>
      </c>
      <c r="E84" s="507" t="s">
        <v>1723</v>
      </c>
      <c r="F84" s="507" t="s">
        <v>1724</v>
      </c>
      <c r="G84" s="507" t="s">
        <v>1725</v>
      </c>
      <c r="H84" s="468"/>
      <c r="I84" s="468"/>
      <c r="J84" s="468"/>
      <c r="K84" s="469"/>
      <c r="L84" s="470"/>
      <c r="M84" s="471"/>
      <c r="N84" s="2518"/>
      <c r="O84" s="2518"/>
      <c r="P84" s="2510"/>
      <c r="Q84" s="2505"/>
      <c r="R84" s="2484"/>
      <c r="S84" s="2484"/>
      <c r="T84" s="2484"/>
      <c r="U84" s="2484"/>
      <c r="V84" s="2484"/>
      <c r="W84" s="2484"/>
      <c r="X84" s="2484"/>
      <c r="Y84" s="2484"/>
      <c r="Z84" s="2484"/>
      <c r="AA84" s="2484"/>
      <c r="AB84" s="2484"/>
      <c r="AC84" s="2484"/>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9"/>
      <c r="O85" s="2519"/>
      <c r="P85" s="2510"/>
      <c r="Q85" s="2505"/>
      <c r="R85" s="2484"/>
      <c r="S85" s="2484"/>
      <c r="T85" s="2484"/>
      <c r="U85" s="2484"/>
      <c r="V85" s="2484"/>
      <c r="W85" s="2484"/>
      <c r="X85" s="2484"/>
      <c r="Y85" s="2484"/>
      <c r="Z85" s="2484"/>
      <c r="AA85" s="2484"/>
      <c r="AB85" s="2484"/>
      <c r="AC85" s="2484"/>
    </row>
    <row r="86" spans="1:29" s="100" customFormat="1" ht="15.75" thickTop="1">
      <c r="A86" s="368"/>
      <c r="B86" s="467" t="s">
        <v>1804</v>
      </c>
      <c r="C86" s="483"/>
      <c r="D86" s="483"/>
      <c r="E86" s="483"/>
      <c r="F86" s="483"/>
      <c r="G86" s="483"/>
      <c r="H86" s="483"/>
      <c r="I86" s="483"/>
      <c r="J86" s="483"/>
      <c r="K86" s="483"/>
      <c r="L86" s="508"/>
      <c r="M86" s="509"/>
      <c r="N86" s="2517"/>
      <c r="O86" s="2517"/>
      <c r="P86" s="2510"/>
      <c r="Q86" s="2505"/>
      <c r="R86" s="2436"/>
      <c r="S86" s="2436"/>
      <c r="T86" s="2436"/>
      <c r="U86" s="2436"/>
      <c r="V86" s="2436"/>
      <c r="W86" s="2436"/>
      <c r="X86" s="2436"/>
      <c r="Y86" s="2436"/>
      <c r="Z86" s="2436"/>
      <c r="AA86" s="2436"/>
      <c r="AB86" s="2436"/>
      <c r="AC86" s="2436"/>
    </row>
    <row r="87" spans="1:29" s="100"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9"/>
      <c r="O87" s="2519"/>
      <c r="P87" s="2510"/>
      <c r="Q87" s="2505"/>
      <c r="R87" s="2436"/>
      <c r="S87" s="2436"/>
      <c r="T87" s="2436"/>
      <c r="U87" s="2436"/>
      <c r="V87" s="2436"/>
      <c r="W87" s="2436"/>
      <c r="X87" s="2436"/>
      <c r="Y87" s="2436"/>
      <c r="Z87" s="2436"/>
      <c r="AA87" s="2436"/>
      <c r="AB87" s="2436"/>
      <c r="AC87" s="2436"/>
    </row>
    <row r="88" spans="1:29" s="100" customFormat="1" ht="15.75" thickTop="1">
      <c r="A88" s="368"/>
      <c r="B88" s="467" t="str">
        <f>B26</f>
        <v>平面位置/可视性</v>
      </c>
      <c r="C88" s="483"/>
      <c r="D88" s="483"/>
      <c r="E88" s="483"/>
      <c r="F88" s="1776"/>
      <c r="G88" s="483"/>
      <c r="H88" s="483"/>
      <c r="I88" s="483"/>
      <c r="J88" s="483"/>
      <c r="K88" s="483"/>
      <c r="L88" s="483"/>
      <c r="M88" s="509"/>
      <c r="N88" s="2517"/>
      <c r="O88" s="2517"/>
      <c r="P88" s="2510"/>
      <c r="Q88" s="2505"/>
      <c r="R88" s="2436"/>
      <c r="S88" s="2436"/>
      <c r="T88" s="2436"/>
      <c r="U88" s="2436"/>
      <c r="V88" s="2436"/>
      <c r="W88" s="2436"/>
      <c r="X88" s="2436"/>
      <c r="Y88" s="2436"/>
      <c r="Z88" s="2436"/>
      <c r="AA88" s="2436"/>
      <c r="AB88" s="2436"/>
      <c r="AC88" s="2436"/>
    </row>
    <row r="89" spans="1:29" s="100" customFormat="1" ht="15.75" thickBot="1">
      <c r="A89" s="368"/>
      <c r="B89" s="472"/>
      <c r="C89" s="489"/>
      <c r="D89" s="465"/>
      <c r="E89" s="465"/>
      <c r="F89" s="465"/>
      <c r="G89" s="465"/>
      <c r="H89" s="465"/>
      <c r="I89" s="465"/>
      <c r="J89" s="465"/>
      <c r="K89" s="465"/>
      <c r="L89" s="465"/>
      <c r="M89" s="465"/>
      <c r="N89" s="2519"/>
      <c r="O89" s="2519"/>
      <c r="P89" s="2510"/>
      <c r="Q89" s="2505"/>
      <c r="R89" s="2436"/>
      <c r="S89" s="2436"/>
      <c r="T89" s="2436"/>
      <c r="U89" s="2436"/>
      <c r="V89" s="2436"/>
      <c r="W89" s="2436"/>
      <c r="X89" s="2436"/>
      <c r="Y89" s="2436"/>
      <c r="Z89" s="2436"/>
      <c r="AA89" s="2436"/>
      <c r="AB89" s="2436"/>
      <c r="AC89" s="2436"/>
    </row>
    <row r="90" spans="1:29" s="406" customFormat="1" ht="15.75" thickTop="1">
      <c r="A90" s="482"/>
      <c r="B90" s="467" t="str">
        <f>B27</f>
        <v>人流量</v>
      </c>
      <c r="C90" s="483"/>
      <c r="D90" s="483"/>
      <c r="E90" s="483"/>
      <c r="F90" s="483"/>
      <c r="G90" s="483"/>
      <c r="H90" s="484"/>
      <c r="I90" s="484"/>
      <c r="J90" s="484"/>
      <c r="K90" s="484"/>
      <c r="L90" s="485"/>
      <c r="M90" s="486"/>
      <c r="N90" s="2520"/>
      <c r="O90" s="2520"/>
      <c r="P90" s="2511"/>
      <c r="Q90" s="2512"/>
      <c r="R90" s="2490"/>
      <c r="S90" s="2490"/>
      <c r="T90" s="2490"/>
      <c r="U90" s="2490"/>
      <c r="V90" s="2490"/>
      <c r="W90" s="2490"/>
      <c r="X90" s="2490"/>
      <c r="Y90" s="2490"/>
      <c r="Z90" s="2490"/>
      <c r="AA90" s="2490"/>
      <c r="AB90" s="2490"/>
      <c r="AC90" s="2490"/>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5"/>
      <c r="B92" s="467" t="str">
        <f>B28</f>
        <v>楼层</v>
      </c>
      <c r="C92" s="483"/>
      <c r="D92" s="483"/>
      <c r="E92" s="483"/>
      <c r="F92" s="483"/>
      <c r="G92" s="483"/>
      <c r="H92" s="483"/>
      <c r="I92" s="483"/>
      <c r="J92" s="483"/>
      <c r="K92" s="483"/>
      <c r="L92" s="508"/>
      <c r="M92" s="509"/>
      <c r="N92" s="2518"/>
      <c r="O92" s="2518"/>
      <c r="P92" s="2510"/>
      <c r="Q92" s="2505"/>
      <c r="R92" s="2484"/>
      <c r="S92" s="2484"/>
      <c r="T92" s="2484"/>
      <c r="U92" s="2484"/>
      <c r="V92" s="2484"/>
      <c r="W92" s="2484"/>
      <c r="X92" s="2484"/>
      <c r="Y92" s="2484"/>
      <c r="Z92" s="2484"/>
      <c r="AA92" s="2484"/>
      <c r="AB92" s="2484"/>
      <c r="AC92" s="2484"/>
    </row>
    <row r="93" spans="1:29" ht="15.75" thickBot="1">
      <c r="A93" s="365"/>
      <c r="B93" s="472"/>
      <c r="C93" s="465"/>
      <c r="D93" s="465"/>
      <c r="E93" s="465"/>
      <c r="F93" s="465"/>
      <c r="G93" s="465"/>
      <c r="H93" s="465"/>
      <c r="I93" s="465"/>
      <c r="J93" s="465"/>
      <c r="K93" s="465"/>
      <c r="L93" s="465"/>
      <c r="M93" s="466"/>
      <c r="N93" s="2519"/>
      <c r="O93" s="2519"/>
      <c r="P93" s="2510"/>
      <c r="Q93" s="2505"/>
      <c r="R93" s="2484"/>
      <c r="S93" s="2484"/>
      <c r="T93" s="2484"/>
      <c r="U93" s="2484"/>
      <c r="V93" s="2484"/>
      <c r="W93" s="2484"/>
      <c r="X93" s="2484"/>
      <c r="Y93" s="2484"/>
      <c r="Z93" s="2484"/>
      <c r="AA93" s="2484"/>
      <c r="AB93" s="2484"/>
      <c r="AC93" s="2484"/>
    </row>
    <row r="94" spans="1:29" ht="15.75" thickTop="1">
      <c r="A94" s="365"/>
      <c r="B94" s="467">
        <f>B29</f>
        <v>111</v>
      </c>
      <c r="C94" s="483"/>
      <c r="D94" s="483"/>
      <c r="E94" s="483"/>
      <c r="F94" s="483"/>
      <c r="G94" s="511"/>
      <c r="H94" s="511"/>
      <c r="I94" s="511"/>
      <c r="J94" s="511"/>
      <c r="K94" s="512"/>
      <c r="L94" s="513"/>
      <c r="M94" s="514"/>
      <c r="N94" s="2518"/>
      <c r="O94" s="2518"/>
      <c r="P94" s="2510"/>
      <c r="Q94" s="2505"/>
      <c r="R94" s="2484"/>
      <c r="S94" s="2484"/>
      <c r="T94" s="2484"/>
      <c r="U94" s="2484"/>
      <c r="V94" s="2484"/>
      <c r="W94" s="2484"/>
      <c r="X94" s="2484"/>
      <c r="Y94" s="2484"/>
      <c r="Z94" s="2484"/>
      <c r="AA94" s="2484"/>
      <c r="AB94" s="2484"/>
      <c r="AC94" s="2484"/>
    </row>
    <row r="95" spans="1:29" ht="15.75" thickBot="1">
      <c r="A95" s="365"/>
      <c r="B95" s="472"/>
      <c r="C95" s="489"/>
      <c r="D95" s="465"/>
      <c r="E95" s="465"/>
      <c r="F95" s="465"/>
      <c r="G95" s="465"/>
      <c r="H95" s="465"/>
      <c r="I95" s="465"/>
      <c r="J95" s="465"/>
      <c r="K95" s="465"/>
      <c r="L95" s="465"/>
      <c r="M95" s="466"/>
      <c r="N95" s="2519"/>
      <c r="O95" s="2519"/>
      <c r="P95" s="2510"/>
      <c r="Q95" s="2505"/>
      <c r="R95" s="2484"/>
      <c r="S95" s="2484"/>
      <c r="T95" s="2484"/>
      <c r="U95" s="2484"/>
      <c r="V95" s="2484"/>
      <c r="W95" s="2484"/>
      <c r="X95" s="2484"/>
      <c r="Y95" s="2484"/>
      <c r="Z95" s="2484"/>
      <c r="AA95" s="2484"/>
      <c r="AB95" s="2484"/>
      <c r="AC95" s="2484"/>
    </row>
    <row r="96" spans="1:29" ht="15.75" thickTop="1">
      <c r="A96" s="365"/>
      <c r="B96" s="467">
        <f>B30</f>
        <v>111</v>
      </c>
      <c r="C96" s="483"/>
      <c r="D96" s="483"/>
      <c r="E96" s="483"/>
      <c r="F96" s="483"/>
      <c r="G96" s="511"/>
      <c r="H96" s="511"/>
      <c r="I96" s="511"/>
      <c r="J96" s="511"/>
      <c r="K96" s="512"/>
      <c r="L96" s="513"/>
      <c r="M96" s="514"/>
      <c r="N96" s="2518"/>
      <c r="O96" s="2518"/>
      <c r="P96" s="2510"/>
      <c r="Q96" s="2505"/>
      <c r="R96" s="2484"/>
      <c r="S96" s="2484"/>
      <c r="T96" s="2484"/>
      <c r="U96" s="2484"/>
      <c r="V96" s="2484"/>
      <c r="W96" s="2484"/>
      <c r="X96" s="2484"/>
      <c r="Y96" s="2484"/>
      <c r="Z96" s="2484"/>
      <c r="AA96" s="2484"/>
      <c r="AB96" s="2484"/>
      <c r="AC96" s="2484"/>
    </row>
    <row r="97" spans="1:29" ht="15.75" thickBot="1">
      <c r="A97" s="365"/>
      <c r="B97" s="472"/>
      <c r="C97" s="489"/>
      <c r="D97" s="465"/>
      <c r="E97" s="465"/>
      <c r="F97" s="465"/>
      <c r="G97" s="465"/>
      <c r="H97" s="465"/>
      <c r="I97" s="465"/>
      <c r="J97" s="465"/>
      <c r="K97" s="465"/>
      <c r="L97" s="465"/>
      <c r="M97" s="466"/>
      <c r="N97" s="2519"/>
      <c r="O97" s="2519"/>
      <c r="P97" s="2510"/>
      <c r="Q97" s="2505"/>
      <c r="R97" s="2484"/>
      <c r="S97" s="2484"/>
      <c r="T97" s="2484"/>
      <c r="U97" s="2484"/>
      <c r="V97" s="2484"/>
      <c r="W97" s="2484"/>
      <c r="X97" s="2484"/>
      <c r="Y97" s="2484"/>
      <c r="Z97" s="2484"/>
      <c r="AA97" s="2484"/>
      <c r="AB97" s="2484"/>
      <c r="AC97" s="2484"/>
    </row>
    <row r="98" spans="1:29" ht="15.75" thickTop="1">
      <c r="A98" s="365"/>
      <c r="B98" s="475">
        <f>B31</f>
        <v>111</v>
      </c>
      <c r="C98" s="483"/>
      <c r="D98" s="483"/>
      <c r="E98" s="483"/>
      <c r="F98" s="483"/>
      <c r="G98" s="515"/>
      <c r="H98" s="515"/>
      <c r="I98" s="515"/>
      <c r="J98" s="515"/>
      <c r="K98" s="516"/>
      <c r="L98" s="517"/>
      <c r="M98" s="518"/>
      <c r="N98" s="2518"/>
      <c r="O98" s="2518"/>
      <c r="P98" s="2510"/>
      <c r="Q98" s="2505"/>
      <c r="R98" s="2484"/>
      <c r="S98" s="2484"/>
      <c r="T98" s="2484"/>
      <c r="U98" s="2484"/>
      <c r="V98" s="2484"/>
      <c r="W98" s="2484"/>
      <c r="X98" s="2484"/>
      <c r="Y98" s="2484"/>
      <c r="Z98" s="2484"/>
      <c r="AA98" s="2484"/>
      <c r="AB98" s="2484"/>
      <c r="AC98" s="2484"/>
    </row>
    <row r="99" spans="1:29" ht="15.75" thickBot="1">
      <c r="A99" s="373"/>
      <c r="B99" s="498"/>
      <c r="C99" s="499"/>
      <c r="D99" s="499"/>
      <c r="E99" s="499"/>
      <c r="F99" s="499"/>
      <c r="G99" s="519"/>
      <c r="H99" s="519"/>
      <c r="I99" s="519"/>
      <c r="J99" s="519"/>
      <c r="K99" s="519"/>
      <c r="L99" s="519"/>
      <c r="M99" s="520"/>
      <c r="N99" s="2519"/>
      <c r="O99" s="2519"/>
      <c r="P99" s="2510"/>
      <c r="Q99" s="2505"/>
      <c r="R99" s="2484"/>
      <c r="S99" s="2484"/>
      <c r="T99" s="2484"/>
      <c r="U99" s="2484"/>
      <c r="V99" s="2484"/>
      <c r="W99" s="2484"/>
      <c r="X99" s="2484"/>
      <c r="Y99" s="2484"/>
      <c r="Z99" s="2484"/>
      <c r="AA99" s="2484"/>
      <c r="AB99" s="2484"/>
      <c r="AC99" s="2484"/>
    </row>
    <row r="100" spans="1:29">
      <c r="A100" s="377" t="s">
        <v>1694</v>
      </c>
      <c r="B100" s="458" t="s">
        <v>1805</v>
      </c>
      <c r="C100" s="460"/>
      <c r="D100" s="460"/>
      <c r="E100" s="460"/>
      <c r="F100" s="460"/>
      <c r="G100" s="460"/>
      <c r="H100" s="460"/>
      <c r="I100" s="460"/>
      <c r="J100" s="460"/>
      <c r="K100" s="461"/>
      <c r="L100" s="462"/>
      <c r="M100" s="463"/>
      <c r="N100" s="2518"/>
      <c r="O100" s="2518"/>
      <c r="P100" s="2510"/>
      <c r="Q100" s="2505"/>
      <c r="R100" s="2484"/>
      <c r="S100" s="2484"/>
      <c r="T100" s="2484"/>
      <c r="U100" s="2484"/>
      <c r="V100" s="2484"/>
      <c r="W100" s="2484"/>
      <c r="X100" s="2484"/>
      <c r="Y100" s="2484"/>
      <c r="Z100" s="2484"/>
      <c r="AA100" s="2484"/>
      <c r="AB100" s="2484"/>
      <c r="AC100" s="2484"/>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6" customFormat="1">
      <c r="A103" s="404"/>
      <c r="B103" s="521"/>
      <c r="C103" s="6"/>
      <c r="D103" s="6"/>
      <c r="E103" s="6"/>
      <c r="F103" s="6"/>
      <c r="G103" s="6"/>
      <c r="H103" s="6"/>
      <c r="I103" s="6"/>
      <c r="J103" s="522"/>
      <c r="K103" s="522"/>
      <c r="L103" s="523"/>
      <c r="M103" s="524"/>
      <c r="N103" s="2520"/>
      <c r="O103" s="2520"/>
      <c r="P103" s="2511"/>
      <c r="Q103" s="2512"/>
      <c r="R103" s="2490"/>
      <c r="S103" s="2490"/>
      <c r="T103" s="2490"/>
      <c r="U103" s="2490"/>
      <c r="V103" s="2490"/>
      <c r="W103" s="2490"/>
      <c r="X103" s="2490"/>
      <c r="Y103" s="2490"/>
      <c r="Z103" s="2490"/>
      <c r="AA103" s="2490"/>
      <c r="AB103" s="2490"/>
      <c r="AC103" s="2490"/>
    </row>
    <row r="104" spans="1:29" s="406" customFormat="1" ht="15.75" thickBot="1">
      <c r="A104" s="482"/>
      <c r="B104" s="472"/>
      <c r="C104" s="489"/>
      <c r="D104" s="465"/>
      <c r="E104" s="465"/>
      <c r="F104" s="465"/>
      <c r="G104" s="465"/>
      <c r="H104" s="465"/>
      <c r="I104" s="465"/>
      <c r="J104" s="465"/>
      <c r="K104" s="465"/>
      <c r="L104" s="465"/>
      <c r="M104" s="466"/>
      <c r="N104" s="2519"/>
      <c r="O104" s="2519"/>
      <c r="P104" s="2511"/>
      <c r="Q104" s="2512"/>
      <c r="R104" s="2490"/>
      <c r="S104" s="2490"/>
      <c r="T104" s="2490"/>
      <c r="U104" s="2490"/>
      <c r="V104" s="2490"/>
      <c r="W104" s="2490"/>
      <c r="X104" s="2490"/>
      <c r="Y104" s="2490"/>
      <c r="Z104" s="2490"/>
      <c r="AA104" s="2490"/>
      <c r="AB104" s="2490"/>
      <c r="AC104" s="2490"/>
    </row>
    <row r="105" spans="1:29" ht="15" thickTop="1">
      <c r="A105" s="407"/>
      <c r="B105" s="467" t="s">
        <v>1738</v>
      </c>
      <c r="C105" s="483"/>
      <c r="D105" s="483"/>
      <c r="E105" s="511"/>
      <c r="F105" s="511"/>
      <c r="G105" s="511"/>
      <c r="H105" s="511"/>
      <c r="I105" s="511"/>
      <c r="J105" s="511"/>
      <c r="K105" s="512"/>
      <c r="L105" s="513"/>
      <c r="M105" s="514"/>
      <c r="N105" s="2518"/>
      <c r="O105" s="2518"/>
      <c r="P105" s="2510"/>
      <c r="Q105" s="2505"/>
      <c r="R105" s="2484"/>
      <c r="S105" s="2484"/>
      <c r="T105" s="2484"/>
      <c r="U105" s="2484"/>
      <c r="V105" s="2484"/>
      <c r="W105" s="2484"/>
      <c r="X105" s="2484"/>
      <c r="Y105" s="2484"/>
      <c r="Z105" s="2484"/>
      <c r="AA105" s="2484"/>
      <c r="AB105" s="2484"/>
      <c r="AC105" s="2484"/>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7"/>
      <c r="B107" s="467" t="s">
        <v>1740</v>
      </c>
      <c r="C107" s="483"/>
      <c r="D107" s="483"/>
      <c r="E107" s="483"/>
      <c r="F107" s="511"/>
      <c r="G107" s="511"/>
      <c r="H107" s="511"/>
      <c r="I107" s="511"/>
      <c r="J107" s="511"/>
      <c r="K107" s="512"/>
      <c r="L107" s="513"/>
      <c r="M107" s="514"/>
      <c r="N107" s="2518"/>
      <c r="O107" s="2518"/>
      <c r="P107" s="2510"/>
      <c r="Q107" s="2505"/>
      <c r="R107" s="2484"/>
      <c r="S107" s="2484"/>
      <c r="T107" s="2484"/>
      <c r="U107" s="2484"/>
      <c r="V107" s="2484"/>
      <c r="W107" s="2484"/>
      <c r="X107" s="2484"/>
      <c r="Y107" s="2484"/>
      <c r="Z107" s="2484"/>
      <c r="AA107" s="2484"/>
      <c r="AB107" s="2484"/>
      <c r="AC107" s="2484"/>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8"/>
      <c r="O109" s="2518"/>
      <c r="P109" s="2510"/>
      <c r="Q109" s="2505"/>
      <c r="R109" s="2484"/>
      <c r="S109" s="2484"/>
      <c r="T109" s="2484"/>
      <c r="U109" s="2484"/>
      <c r="V109" s="2484"/>
      <c r="W109" s="2484"/>
      <c r="X109" s="2484"/>
      <c r="Y109" s="2484"/>
      <c r="Z109" s="2484"/>
      <c r="AA109" s="2484"/>
      <c r="AB109" s="2484"/>
      <c r="AC109" s="2484"/>
    </row>
    <row r="110" spans="1:29">
      <c r="A110" s="407"/>
      <c r="B110" s="475"/>
      <c r="C110" s="528">
        <v>0.5</v>
      </c>
      <c r="D110" s="528">
        <v>0.6</v>
      </c>
      <c r="E110" s="528">
        <v>0.7</v>
      </c>
      <c r="F110" s="528">
        <v>0.8</v>
      </c>
      <c r="G110" s="528">
        <v>0.9</v>
      </c>
      <c r="H110" s="528">
        <v>1.0001</v>
      </c>
      <c r="I110" s="546"/>
      <c r="J110" s="546"/>
      <c r="K110" s="547"/>
      <c r="L110" s="548"/>
      <c r="M110" s="549"/>
      <c r="N110" s="2518"/>
      <c r="O110" s="2518"/>
      <c r="P110" s="2510"/>
      <c r="Q110" s="2505"/>
      <c r="R110" s="2484"/>
      <c r="S110" s="2484"/>
      <c r="T110" s="2484"/>
      <c r="U110" s="2484"/>
      <c r="V110" s="2484"/>
      <c r="W110" s="2484"/>
      <c r="X110" s="2484"/>
      <c r="Y110" s="2484"/>
      <c r="Z110" s="2484"/>
      <c r="AA110" s="2484"/>
      <c r="AB110" s="2484"/>
      <c r="AC110" s="2484"/>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9"/>
      <c r="O111" s="2519"/>
      <c r="P111" s="2510"/>
      <c r="Q111" s="2505"/>
      <c r="R111" s="2484"/>
      <c r="S111" s="2484"/>
      <c r="T111" s="2484"/>
      <c r="U111" s="2484"/>
      <c r="V111" s="2484"/>
      <c r="W111" s="2484"/>
      <c r="X111" s="2484"/>
      <c r="Y111" s="2484"/>
      <c r="Z111" s="2484"/>
      <c r="AA111" s="2484"/>
      <c r="AB111" s="2484"/>
      <c r="AC111" s="2484"/>
    </row>
    <row r="112" spans="1:29" s="406" customFormat="1" ht="15" thickTop="1">
      <c r="A112" s="404"/>
      <c r="B112" s="467" t="s">
        <v>1742</v>
      </c>
      <c r="C112" s="483"/>
      <c r="D112" s="483"/>
      <c r="E112" s="483"/>
      <c r="F112" s="483"/>
      <c r="G112" s="483"/>
      <c r="H112" s="511"/>
      <c r="I112" s="511"/>
      <c r="J112" s="511"/>
      <c r="K112" s="512"/>
      <c r="L112" s="513"/>
      <c r="M112" s="514"/>
      <c r="N112" s="2520"/>
      <c r="O112" s="2520"/>
      <c r="P112" s="2511"/>
      <c r="Q112" s="2512"/>
      <c r="R112" s="2490"/>
      <c r="S112" s="2490"/>
      <c r="T112" s="2490"/>
      <c r="U112" s="2490"/>
      <c r="V112" s="2490"/>
      <c r="W112" s="2490"/>
      <c r="X112" s="2490"/>
      <c r="Y112" s="2490"/>
      <c r="Z112" s="2490"/>
      <c r="AA112" s="2490"/>
      <c r="AB112" s="2490"/>
      <c r="AC112" s="2490"/>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7"/>
      <c r="B114" s="467" t="s">
        <v>1806</v>
      </c>
      <c r="C114" s="483"/>
      <c r="D114" s="483"/>
      <c r="E114" s="511"/>
      <c r="F114" s="511"/>
      <c r="G114" s="511"/>
      <c r="H114" s="511"/>
      <c r="I114" s="511"/>
      <c r="J114" s="511"/>
      <c r="K114" s="512"/>
      <c r="L114" s="513"/>
      <c r="M114" s="514"/>
      <c r="N114" s="2518"/>
      <c r="O114" s="2518"/>
      <c r="P114" s="2510"/>
      <c r="Q114" s="2505"/>
      <c r="R114" s="2484"/>
      <c r="S114" s="2484"/>
      <c r="T114" s="2484"/>
      <c r="U114" s="2484"/>
      <c r="V114" s="2484"/>
      <c r="W114" s="2484"/>
      <c r="X114" s="2484"/>
      <c r="Y114" s="2484"/>
      <c r="Z114" s="2484"/>
      <c r="AA114" s="2484"/>
      <c r="AB114" s="2484"/>
      <c r="AC114" s="2484"/>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7"/>
      <c r="B116" s="467" t="s">
        <v>1807</v>
      </c>
      <c r="C116" s="483"/>
      <c r="D116" s="483"/>
      <c r="E116" s="483"/>
      <c r="F116" s="483"/>
      <c r="G116" s="483"/>
      <c r="H116" s="511"/>
      <c r="I116" s="511"/>
      <c r="J116" s="511"/>
      <c r="K116" s="512"/>
      <c r="L116" s="513"/>
      <c r="M116" s="514"/>
      <c r="N116" s="2518"/>
      <c r="O116" s="2518"/>
      <c r="P116" s="2510"/>
      <c r="Q116" s="2505"/>
      <c r="R116" s="2484"/>
      <c r="S116" s="2484"/>
      <c r="T116" s="2484"/>
      <c r="U116" s="2484"/>
      <c r="V116" s="2484"/>
      <c r="W116" s="2484"/>
      <c r="X116" s="2484"/>
      <c r="Y116" s="2484"/>
      <c r="Z116" s="2484"/>
      <c r="AA116" s="2484"/>
      <c r="AB116" s="2484"/>
      <c r="AC116" s="2484"/>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9"/>
      <c r="O117" s="2519"/>
      <c r="P117" s="2510"/>
      <c r="Q117" s="2505"/>
      <c r="R117" s="2484"/>
      <c r="S117" s="2484"/>
      <c r="T117" s="2484"/>
      <c r="U117" s="2484"/>
      <c r="V117" s="2484"/>
      <c r="W117" s="2484"/>
      <c r="X117" s="2484"/>
      <c r="Y117" s="2484"/>
      <c r="Z117" s="2484"/>
      <c r="AA117" s="2484"/>
      <c r="AB117" s="2484"/>
      <c r="AC117" s="2484"/>
    </row>
    <row r="118" spans="1:29" ht="15" thickTop="1">
      <c r="A118" s="407"/>
      <c r="B118" s="467" t="s">
        <v>1808</v>
      </c>
      <c r="C118" s="550"/>
      <c r="D118" s="550"/>
      <c r="E118" s="550"/>
      <c r="F118" s="550"/>
      <c r="G118" s="550"/>
      <c r="H118" s="484"/>
      <c r="I118" s="484"/>
      <c r="J118" s="484"/>
      <c r="K118" s="484"/>
      <c r="L118" s="485"/>
      <c r="M118" s="486"/>
      <c r="N118" s="2518"/>
      <c r="O118" s="2518"/>
      <c r="P118" s="2510"/>
      <c r="Q118" s="2505"/>
      <c r="R118" s="2484"/>
      <c r="S118" s="2484"/>
      <c r="T118" s="2484"/>
      <c r="U118" s="2484"/>
      <c r="V118" s="2484"/>
      <c r="W118" s="2484"/>
      <c r="X118" s="2484"/>
      <c r="Y118" s="2484"/>
      <c r="Z118" s="2484"/>
      <c r="AA118" s="2484"/>
      <c r="AB118" s="2484"/>
      <c r="AC118" s="2484"/>
    </row>
    <row r="119" spans="1:29" ht="15.75" thickBot="1">
      <c r="A119" s="365"/>
      <c r="B119" s="472"/>
      <c r="C119" s="489"/>
      <c r="D119" s="465"/>
      <c r="E119" s="465"/>
      <c r="F119" s="465"/>
      <c r="G119" s="465"/>
      <c r="H119" s="465"/>
      <c r="I119" s="465"/>
      <c r="J119" s="465"/>
      <c r="K119" s="465"/>
      <c r="L119" s="465"/>
      <c r="M119" s="466"/>
      <c r="N119" s="2519"/>
      <c r="O119" s="2519"/>
      <c r="P119" s="2510"/>
      <c r="Q119" s="2505"/>
      <c r="R119" s="2484"/>
      <c r="S119" s="2484"/>
      <c r="T119" s="2484"/>
      <c r="U119" s="2484"/>
      <c r="V119" s="2484"/>
      <c r="W119" s="2484"/>
      <c r="X119" s="2484"/>
      <c r="Y119" s="2484"/>
      <c r="Z119" s="2484"/>
      <c r="AA119" s="2484"/>
      <c r="AB119" s="2484"/>
      <c r="AC119" s="2484"/>
    </row>
    <row r="120" spans="1:29" s="406" customFormat="1" ht="15" thickTop="1">
      <c r="A120" s="404"/>
      <c r="B120" s="467" t="s">
        <v>1809</v>
      </c>
      <c r="C120" s="511"/>
      <c r="D120" s="511"/>
      <c r="E120" s="511"/>
      <c r="F120" s="511"/>
      <c r="G120" s="484"/>
      <c r="H120" s="484"/>
      <c r="I120" s="484"/>
      <c r="J120" s="484"/>
      <c r="K120" s="484"/>
      <c r="L120" s="485"/>
      <c r="M120" s="486"/>
      <c r="N120" s="2520"/>
      <c r="O120" s="2520"/>
      <c r="P120" s="2511"/>
      <c r="Q120" s="2512"/>
      <c r="R120" s="2490"/>
      <c r="S120" s="2490"/>
      <c r="T120" s="2490"/>
      <c r="U120" s="2490"/>
      <c r="V120" s="2490"/>
      <c r="W120" s="2490"/>
      <c r="X120" s="2490"/>
      <c r="Y120" s="2490"/>
      <c r="Z120" s="2490"/>
      <c r="AA120" s="2490"/>
      <c r="AB120" s="2490"/>
      <c r="AC120" s="2490"/>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7"/>
      <c r="B122" s="467" t="s">
        <v>1744</v>
      </c>
      <c r="C122" s="483"/>
      <c r="D122" s="483"/>
      <c r="E122" s="483"/>
      <c r="F122" s="511"/>
      <c r="G122" s="511"/>
      <c r="H122" s="511"/>
      <c r="I122" s="511"/>
      <c r="J122" s="511"/>
      <c r="K122" s="512"/>
      <c r="L122" s="513"/>
      <c r="M122" s="514"/>
      <c r="N122" s="2518"/>
      <c r="O122" s="2518"/>
      <c r="P122" s="2510"/>
      <c r="Q122" s="2505"/>
      <c r="R122" s="2484"/>
      <c r="S122" s="2484"/>
      <c r="T122" s="2484"/>
      <c r="U122" s="2484"/>
      <c r="V122" s="2484"/>
      <c r="W122" s="2484"/>
      <c r="X122" s="2484"/>
      <c r="Y122" s="2484"/>
      <c r="Z122" s="2484"/>
      <c r="AA122" s="2484"/>
      <c r="AB122" s="2484"/>
      <c r="AC122" s="2484"/>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8"/>
      <c r="O124" s="2518"/>
      <c r="P124" s="2511"/>
      <c r="Q124" s="2505"/>
      <c r="R124" s="2484"/>
      <c r="S124" s="2484"/>
      <c r="T124" s="2484"/>
      <c r="U124" s="2484"/>
      <c r="V124" s="2484"/>
      <c r="W124" s="2484"/>
      <c r="X124" s="2484"/>
      <c r="Y124" s="2484"/>
      <c r="Z124" s="2484"/>
      <c r="AA124" s="2484"/>
      <c r="AB124" s="2484"/>
      <c r="AC124" s="2484"/>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9"/>
      <c r="O125" s="2519"/>
      <c r="P125" s="2510"/>
      <c r="Q125" s="2505"/>
      <c r="R125" s="2484"/>
      <c r="S125" s="2484"/>
      <c r="T125" s="2484"/>
      <c r="U125" s="2484"/>
      <c r="V125" s="2484"/>
      <c r="W125" s="2484"/>
      <c r="X125" s="2484"/>
      <c r="Y125" s="2484"/>
      <c r="Z125" s="2484"/>
      <c r="AA125" s="2484"/>
      <c r="AB125" s="2484"/>
      <c r="AC125" s="2484"/>
    </row>
    <row r="126" spans="1:29" s="406" customFormat="1" ht="15" thickTop="1">
      <c r="A126" s="404"/>
      <c r="B126" s="467">
        <f>B44</f>
        <v>111</v>
      </c>
      <c r="C126" s="483"/>
      <c r="D126" s="483"/>
      <c r="E126" s="483"/>
      <c r="F126" s="483"/>
      <c r="G126" s="483"/>
      <c r="H126" s="484"/>
      <c r="I126" s="484"/>
      <c r="J126" s="484"/>
      <c r="K126" s="484"/>
      <c r="L126" s="485"/>
      <c r="M126" s="486"/>
      <c r="N126" s="2520"/>
      <c r="O126" s="2520"/>
      <c r="P126" s="2511"/>
      <c r="Q126" s="2512"/>
      <c r="R126" s="2490"/>
      <c r="S126" s="2490"/>
      <c r="T126" s="2490"/>
      <c r="U126" s="2490"/>
      <c r="V126" s="2490"/>
      <c r="W126" s="2490"/>
      <c r="X126" s="2490"/>
      <c r="Y126" s="2490"/>
      <c r="Z126" s="2490"/>
      <c r="AA126" s="2490"/>
      <c r="AB126" s="2490"/>
      <c r="AC126" s="2490"/>
    </row>
    <row r="127" spans="1:29" s="406" customFormat="1" ht="15.75" thickBot="1">
      <c r="A127" s="482"/>
      <c r="B127" s="472"/>
      <c r="C127" s="489"/>
      <c r="D127" s="465"/>
      <c r="E127" s="465"/>
      <c r="F127" s="465"/>
      <c r="G127" s="489"/>
      <c r="H127" s="491"/>
      <c r="I127" s="491"/>
      <c r="J127" s="491"/>
      <c r="K127" s="491"/>
      <c r="L127" s="491"/>
      <c r="M127" s="492"/>
      <c r="N127" s="2520"/>
      <c r="O127" s="2520"/>
      <c r="P127" s="2511"/>
      <c r="Q127" s="2512"/>
      <c r="R127" s="2490"/>
      <c r="S127" s="2490"/>
      <c r="T127" s="2490"/>
      <c r="U127" s="2490"/>
      <c r="V127" s="2490"/>
      <c r="W127" s="2490"/>
      <c r="X127" s="2490"/>
      <c r="Y127" s="2490"/>
      <c r="Z127" s="2490"/>
      <c r="AA127" s="2490"/>
      <c r="AB127" s="2490"/>
      <c r="AC127" s="2490"/>
    </row>
    <row r="128" spans="1:29" ht="15" thickTop="1">
      <c r="A128" s="407"/>
      <c r="B128" s="467">
        <f>B45</f>
        <v>111</v>
      </c>
      <c r="C128" s="483"/>
      <c r="D128" s="483"/>
      <c r="E128" s="483"/>
      <c r="F128" s="483"/>
      <c r="G128" s="511"/>
      <c r="H128" s="511"/>
      <c r="I128" s="511"/>
      <c r="J128" s="511"/>
      <c r="K128" s="512"/>
      <c r="L128" s="513"/>
      <c r="M128" s="514"/>
      <c r="N128" s="2518"/>
      <c r="O128" s="2518"/>
      <c r="P128" s="2510"/>
      <c r="Q128" s="2505"/>
      <c r="R128" s="2484"/>
      <c r="S128" s="2484"/>
      <c r="T128" s="2484"/>
      <c r="U128" s="2484"/>
      <c r="V128" s="2484"/>
      <c r="W128" s="2484"/>
      <c r="X128" s="2484"/>
      <c r="Y128" s="2484"/>
      <c r="Z128" s="2484"/>
      <c r="AA128" s="2484"/>
      <c r="AB128" s="2484"/>
      <c r="AC128" s="2484"/>
    </row>
    <row r="129" spans="1:29" ht="15.75" thickBot="1">
      <c r="A129" s="365"/>
      <c r="B129" s="472"/>
      <c r="C129" s="489"/>
      <c r="D129" s="465"/>
      <c r="E129" s="465"/>
      <c r="F129" s="465"/>
      <c r="G129" s="465"/>
      <c r="H129" s="465"/>
      <c r="I129" s="465"/>
      <c r="J129" s="465"/>
      <c r="K129" s="465"/>
      <c r="L129" s="465"/>
      <c r="M129" s="466"/>
      <c r="N129" s="2519"/>
      <c r="O129" s="2519"/>
      <c r="P129" s="2510"/>
      <c r="Q129" s="2505"/>
      <c r="R129" s="2484"/>
      <c r="S129" s="2484"/>
      <c r="T129" s="2484"/>
      <c r="U129" s="2484"/>
      <c r="V129" s="2484"/>
      <c r="W129" s="2484"/>
      <c r="X129" s="2484"/>
      <c r="Y129" s="2484"/>
      <c r="Z129" s="2484"/>
      <c r="AA129" s="2484"/>
      <c r="AB129" s="2484"/>
      <c r="AC129" s="2484"/>
    </row>
    <row r="130" spans="1:29" ht="15" thickTop="1">
      <c r="A130" s="407"/>
      <c r="B130" s="475">
        <f>B46</f>
        <v>111</v>
      </c>
      <c r="C130" s="483"/>
      <c r="D130" s="483"/>
      <c r="E130" s="483"/>
      <c r="F130" s="483"/>
      <c r="G130" s="515"/>
      <c r="H130" s="515"/>
      <c r="I130" s="515"/>
      <c r="J130" s="515"/>
      <c r="K130" s="31"/>
      <c r="L130" s="455"/>
      <c r="M130" s="518"/>
      <c r="N130" s="2518"/>
      <c r="O130" s="2518"/>
      <c r="P130" s="2510"/>
      <c r="Q130" s="2505"/>
      <c r="R130" s="2484"/>
      <c r="S130" s="2484"/>
      <c r="T130" s="2484"/>
      <c r="U130" s="2484"/>
      <c r="V130" s="2484"/>
      <c r="W130" s="2484"/>
      <c r="X130" s="2484"/>
      <c r="Y130" s="2484"/>
      <c r="Z130" s="2484"/>
      <c r="AA130" s="2484"/>
      <c r="AB130" s="2484"/>
      <c r="AC130" s="2484"/>
    </row>
    <row r="131" spans="1:29" ht="15.75" thickBot="1">
      <c r="A131" s="373"/>
      <c r="B131" s="498"/>
      <c r="C131" s="499"/>
      <c r="D131" s="499"/>
      <c r="E131" s="499"/>
      <c r="F131" s="499"/>
      <c r="G131" s="519"/>
      <c r="H131" s="519"/>
      <c r="I131" s="519"/>
      <c r="J131" s="519"/>
      <c r="K131" s="519"/>
      <c r="L131" s="519"/>
      <c r="M131" s="520"/>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6" customFormat="1" ht="28.5" customHeight="1" thickBot="1">
      <c r="A1" s="1135" t="s">
        <v>1660</v>
      </c>
      <c r="B1" s="1804" t="s">
        <v>1810</v>
      </c>
      <c r="C1" s="1137" t="s">
        <v>1662</v>
      </c>
      <c r="D1" s="1138"/>
      <c r="E1" s="3128"/>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0" customFormat="1" ht="28.5" customHeight="1" thickTop="1">
      <c r="A2" s="1134" t="s">
        <v>1462</v>
      </c>
      <c r="B2" s="1081" t="b">
        <f>IF(E1="项目模式",IF(C2="——",ROUND(C50*D3/10000,0),ROUND(C50*D3/10000,0)-D2),IF(E1="单套模式",IF(C2="——",ROUND(C50*D3/10000,4),ROUND(C50*D3/10000,4)-D2)))</f>
        <v>0</v>
      </c>
      <c r="C2" s="1733"/>
      <c r="D2" s="1048" t="e">
        <f ca="1">IF(E1="项目模式",SUMIF(INDIRECT("'"&amp;F2&amp;"'"&amp;"!A:A"),"承租人权益价值",INDIRECT("'"&amp;F2&amp;"'"&amp;"!c:c")),SUMIF(INDIRECT("'"&amp;F2&amp;"'"&amp;"!A:A"),"承租人权益价值（单套）",INDIRECT("'"&amp;F2&amp;"'"&amp;"!c:c")))</f>
        <v>#REF!</v>
      </c>
      <c r="E2" s="1734" t="s">
        <v>1463</v>
      </c>
      <c r="F2" s="1735"/>
      <c r="G2" s="851"/>
      <c r="H2" s="851"/>
      <c r="I2" s="851"/>
      <c r="J2" s="851"/>
      <c r="K2" s="851"/>
      <c r="L2" s="2500"/>
      <c r="M2" s="2501"/>
      <c r="N2" s="2501"/>
      <c r="O2" s="2501"/>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74353.649999999776</v>
      </c>
      <c r="E3" s="1801"/>
      <c r="F3" s="852"/>
      <c r="G3" s="851"/>
      <c r="H3" s="851"/>
      <c r="I3" s="851"/>
      <c r="J3" s="851"/>
      <c r="K3" s="853"/>
      <c r="L3" s="2500"/>
      <c r="M3" s="2501"/>
      <c r="N3" s="2501"/>
      <c r="O3" s="2501"/>
      <c r="P3" s="339"/>
      <c r="Q3" s="339"/>
      <c r="R3" s="339"/>
      <c r="S3" s="339"/>
      <c r="T3" s="339"/>
      <c r="U3" s="339"/>
      <c r="V3" s="339"/>
      <c r="W3" s="339"/>
      <c r="X3" s="339"/>
      <c r="Y3" s="339"/>
      <c r="Z3" s="339"/>
      <c r="AA3" s="339"/>
      <c r="AB3" s="339"/>
      <c r="AC3" s="661"/>
    </row>
    <row r="4" spans="1:29" ht="15">
      <c r="A4" s="343" t="s">
        <v>1769</v>
      </c>
      <c r="B4" s="344"/>
      <c r="C4" s="3378" t="s">
        <v>1770</v>
      </c>
      <c r="D4" s="3390"/>
      <c r="E4" s="3391" t="s">
        <v>1771</v>
      </c>
      <c r="F4" s="3392"/>
      <c r="G4" s="3378" t="s">
        <v>1772</v>
      </c>
      <c r="H4" s="3390"/>
      <c r="I4" s="3378" t="s">
        <v>1773</v>
      </c>
      <c r="J4" s="3390"/>
      <c r="K4" s="535" t="s">
        <v>1774</v>
      </c>
      <c r="L4" s="2483"/>
      <c r="M4" s="2484"/>
      <c r="N4" s="2484"/>
      <c r="O4" s="2484"/>
      <c r="P4" s="3459" t="s">
        <v>1775</v>
      </c>
      <c r="Q4" s="3460"/>
      <c r="R4" s="3463" t="s">
        <v>1771</v>
      </c>
      <c r="S4" s="3464"/>
      <c r="T4" s="3463" t="s">
        <v>1772</v>
      </c>
      <c r="U4" s="3464"/>
      <c r="V4" s="3465" t="s">
        <v>1773</v>
      </c>
      <c r="W4" s="3465"/>
      <c r="X4" s="1805"/>
      <c r="Y4" s="3463" t="s">
        <v>1775</v>
      </c>
      <c r="Z4" s="3464"/>
      <c r="AA4" s="3467" t="s">
        <v>1771</v>
      </c>
      <c r="AB4" s="3467" t="s">
        <v>1772</v>
      </c>
      <c r="AC4" s="3456" t="s">
        <v>1773</v>
      </c>
    </row>
    <row r="5" spans="1:29" ht="15">
      <c r="A5" s="346"/>
      <c r="B5" s="347"/>
      <c r="C5" s="3412" t="s">
        <v>1673</v>
      </c>
      <c r="D5" s="3408"/>
      <c r="E5" s="3452" t="s">
        <v>1674</v>
      </c>
      <c r="F5" s="3416"/>
      <c r="G5" s="3412" t="s">
        <v>1675</v>
      </c>
      <c r="H5" s="3408"/>
      <c r="I5" s="3412" t="s">
        <v>1676</v>
      </c>
      <c r="J5" s="3408"/>
      <c r="K5" s="535"/>
      <c r="L5" s="2483"/>
      <c r="M5" s="2484"/>
      <c r="N5" s="2484"/>
      <c r="O5" s="2484"/>
      <c r="P5" s="3461"/>
      <c r="Q5" s="3396"/>
      <c r="R5" s="3401"/>
      <c r="S5" s="3402"/>
      <c r="T5" s="3401"/>
      <c r="U5" s="3402"/>
      <c r="V5" s="3386"/>
      <c r="W5" s="3386"/>
      <c r="X5" s="1261"/>
      <c r="Y5" s="3401"/>
      <c r="Z5" s="3402"/>
      <c r="AA5" s="3388"/>
      <c r="AB5" s="3388"/>
      <c r="AC5" s="3457"/>
    </row>
    <row r="6" spans="1:29" ht="15.75" thickBot="1">
      <c r="A6" s="348"/>
      <c r="B6" s="349"/>
      <c r="C6" s="3405" t="s">
        <v>1677</v>
      </c>
      <c r="D6" s="3406"/>
      <c r="E6" s="3413" t="s">
        <v>1677</v>
      </c>
      <c r="F6" s="3414"/>
      <c r="G6" s="3405" t="s">
        <v>1677</v>
      </c>
      <c r="H6" s="3406"/>
      <c r="I6" s="3405" t="s">
        <v>1677</v>
      </c>
      <c r="J6" s="3406"/>
      <c r="K6" s="535" t="s">
        <v>1678</v>
      </c>
      <c r="L6" s="2483"/>
      <c r="M6" s="2484"/>
      <c r="N6" s="2484"/>
      <c r="O6" s="2484"/>
      <c r="P6" s="3462"/>
      <c r="Q6" s="3398"/>
      <c r="R6" s="3401"/>
      <c r="S6" s="3402"/>
      <c r="T6" s="3403"/>
      <c r="U6" s="3404"/>
      <c r="V6" s="3386"/>
      <c r="W6" s="3386"/>
      <c r="X6" s="1261"/>
      <c r="Y6" s="3403"/>
      <c r="Z6" s="3404"/>
      <c r="AA6" s="3389"/>
      <c r="AB6" s="3389"/>
      <c r="AC6" s="3458"/>
    </row>
    <row r="7" spans="1:29" s="100" customFormat="1" ht="15.75" thickBot="1">
      <c r="A7" s="350" t="s">
        <v>1679</v>
      </c>
      <c r="B7" s="351"/>
      <c r="C7" s="352">
        <f>'数据-取费表'!B2</f>
        <v>45924</v>
      </c>
      <c r="D7" s="353">
        <v>100</v>
      </c>
      <c r="E7" s="354"/>
      <c r="F7" s="355">
        <f>SUMIF(59:59,YEAR(E7)&amp;"-"&amp;MONTH(E7),60:60)</f>
        <v>0</v>
      </c>
      <c r="G7" s="354"/>
      <c r="H7" s="353">
        <f>SUMIF(59:59,YEAR(G7)&amp;"-"&amp;MONTH(G7),60:60)</f>
        <v>0</v>
      </c>
      <c r="I7" s="354"/>
      <c r="J7" s="353">
        <f>SUMIF(59:59,YEAR(I7)&amp;"-"&amp;MONTH(I7),60:60)</f>
        <v>0</v>
      </c>
      <c r="K7" s="38"/>
      <c r="L7" s="2485"/>
      <c r="M7" s="2436"/>
      <c r="N7" s="2436"/>
      <c r="O7" s="2436"/>
      <c r="P7" s="3466" t="s">
        <v>1680</v>
      </c>
      <c r="Q7" s="3411"/>
      <c r="R7" s="662" t="s">
        <v>14</v>
      </c>
      <c r="S7" s="663">
        <f t="shared" ref="S7:S15" si="0">F7</f>
        <v>0</v>
      </c>
      <c r="T7" s="662" t="s">
        <v>14</v>
      </c>
      <c r="U7" s="663">
        <f t="shared" ref="U7:U15" si="1">H7</f>
        <v>0</v>
      </c>
      <c r="V7" s="662" t="s">
        <v>14</v>
      </c>
      <c r="W7" s="663">
        <f t="shared" ref="W7:W15" si="2">J7</f>
        <v>0</v>
      </c>
      <c r="X7" s="664"/>
      <c r="Y7" s="3409" t="s">
        <v>1680</v>
      </c>
      <c r="Z7" s="3410"/>
      <c r="AA7" s="50" t="e">
        <f>D7/F7</f>
        <v>#DIV/0!</v>
      </c>
      <c r="AB7" s="50" t="e">
        <f>D7/H7</f>
        <v>#DIV/0!</v>
      </c>
      <c r="AC7" s="798" t="e">
        <f>D7/J7</f>
        <v>#DIV/0!</v>
      </c>
    </row>
    <row r="8" spans="1:29" s="100"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5"/>
      <c r="M8" s="2436"/>
      <c r="N8" s="2436"/>
      <c r="O8" s="2436"/>
      <c r="P8" s="3466" t="s">
        <v>1683</v>
      </c>
      <c r="Q8" s="3410"/>
      <c r="R8" s="662" t="s">
        <v>14</v>
      </c>
      <c r="S8" s="663">
        <f t="shared" si="0"/>
        <v>100</v>
      </c>
      <c r="T8" s="662" t="s">
        <v>14</v>
      </c>
      <c r="U8" s="663">
        <f t="shared" si="1"/>
        <v>100</v>
      </c>
      <c r="V8" s="662" t="s">
        <v>14</v>
      </c>
      <c r="W8" s="663">
        <f t="shared" si="2"/>
        <v>100</v>
      </c>
      <c r="X8" s="664"/>
      <c r="Y8" s="3409" t="s">
        <v>1683</v>
      </c>
      <c r="Z8" s="3410"/>
      <c r="AA8" s="50">
        <f t="shared" ref="AA8:AA47" si="3">D8/F8</f>
        <v>1</v>
      </c>
      <c r="AB8" s="50">
        <f t="shared" ref="AB8:AB47" si="4">D8/H8</f>
        <v>1</v>
      </c>
      <c r="AC8" s="798">
        <f t="shared" ref="AC8:AC47" si="5">D8/J8</f>
        <v>1</v>
      </c>
    </row>
    <row r="9" spans="1:29" s="100"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5"/>
      <c r="M9" s="2436"/>
      <c r="N9" s="2436"/>
      <c r="O9" s="2436"/>
      <c r="P9" s="3380" t="s">
        <v>1686</v>
      </c>
      <c r="Q9" s="528"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798">
        <f t="shared" si="5"/>
        <v>1</v>
      </c>
    </row>
    <row r="10" spans="1:29" s="364" customFormat="1" ht="27">
      <c r="A10" s="361"/>
      <c r="B10" s="362" t="s">
        <v>1688</v>
      </c>
      <c r="C10" s="3129"/>
      <c r="D10" s="117">
        <v>100</v>
      </c>
      <c r="E10" s="3129"/>
      <c r="F10" s="117">
        <f>SUMIF(66:66,E10,67:67)-SUMIF(66:66,C10,67:67)+100</f>
        <v>100</v>
      </c>
      <c r="G10" s="3130"/>
      <c r="H10" s="117">
        <f>SUMIF(66:66,G10,67:67)-SUMIF(66:66,C10,67:67)+100</f>
        <v>100</v>
      </c>
      <c r="I10" s="3129"/>
      <c r="J10" s="117">
        <f>SUMIF(66:66,I10,67:67)-SUMIF(66:66,C10,67:67)+100</f>
        <v>100</v>
      </c>
      <c r="K10" s="38"/>
      <c r="L10" s="2486"/>
      <c r="M10" s="2487"/>
      <c r="N10" s="2487"/>
      <c r="O10" s="2487"/>
      <c r="P10" s="3380"/>
      <c r="Q10" s="528"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798">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8"/>
      <c r="M11" s="2484"/>
      <c r="N11" s="2484"/>
      <c r="O11" s="2484"/>
      <c r="P11" s="3380"/>
      <c r="Q11" s="528"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798">
        <f t="shared" si="5"/>
        <v>1</v>
      </c>
    </row>
    <row r="12" spans="1:29" s="100" customFormat="1" ht="15">
      <c r="A12" s="368"/>
      <c r="B12" s="445">
        <v>111</v>
      </c>
      <c r="C12" s="369"/>
      <c r="D12" s="370">
        <v>100</v>
      </c>
      <c r="E12" s="369"/>
      <c r="F12" s="117">
        <f>SUMIF(71:71,E12,72:72)-SUMIF(71:71,C12,72:72)+100</f>
        <v>100</v>
      </c>
      <c r="G12" s="1806"/>
      <c r="H12" s="117">
        <f>SUMIF(71:71,G12,72:72)-SUMIF(71:71,C12,72:72)+100</f>
        <v>100</v>
      </c>
      <c r="I12" s="369"/>
      <c r="J12" s="117">
        <f>SUMIF(71:71,I12,72:72)-SUMIF(71:71,C12,72:72)+100</f>
        <v>100</v>
      </c>
      <c r="K12" s="537"/>
      <c r="L12" s="2485"/>
      <c r="M12" s="2436"/>
      <c r="N12" s="2436"/>
      <c r="O12" s="2436"/>
      <c r="P12" s="3380"/>
      <c r="Q12" s="528">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798">
        <f>D12/J12</f>
        <v>1</v>
      </c>
    </row>
    <row r="13" spans="1:29" ht="15">
      <c r="A13" s="365"/>
      <c r="B13" s="445">
        <v>111</v>
      </c>
      <c r="C13" s="371"/>
      <c r="D13" s="372">
        <v>100</v>
      </c>
      <c r="E13" s="369"/>
      <c r="F13" s="117">
        <f>SUMIF(73:73,E13,74:74)-SUMIF(73:73,C13,74:74)+100</f>
        <v>100</v>
      </c>
      <c r="G13" s="1806"/>
      <c r="H13" s="372">
        <f>SUMIF(73:73,G13,74:74)-SUMIF(73:73,C13,74:74)+100</f>
        <v>100</v>
      </c>
      <c r="I13" s="369"/>
      <c r="J13" s="372">
        <f>SUMIF(73:73,I13,74:74)-SUMIF(73:73,C13,74:74)+100</f>
        <v>100</v>
      </c>
      <c r="K13" s="537"/>
      <c r="L13" s="2489"/>
      <c r="M13" s="2484"/>
      <c r="N13" s="2484"/>
      <c r="O13" s="2484"/>
      <c r="P13" s="3380"/>
      <c r="Q13" s="528">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798">
        <f t="shared" si="5"/>
        <v>1</v>
      </c>
    </row>
    <row r="14" spans="1:29" ht="15.75" thickBot="1">
      <c r="A14" s="373"/>
      <c r="B14" s="1745">
        <v>111</v>
      </c>
      <c r="C14" s="374"/>
      <c r="D14" s="375">
        <v>100</v>
      </c>
      <c r="E14" s="551"/>
      <c r="F14" s="375">
        <f>SUMIF(75:75,E14,76:76)-SUMIF(75:75,C14,76:76)+100</f>
        <v>100</v>
      </c>
      <c r="G14" s="1806"/>
      <c r="H14" s="375">
        <f>SUMIF(75:75,G14,76:76)-SUMIF(75:75,C14,76:76)+100</f>
        <v>100</v>
      </c>
      <c r="I14" s="369"/>
      <c r="J14" s="375">
        <f>SUMIF(75:75,I14,76:76)-SUMIF(75:75,C14,76:76)+100</f>
        <v>100</v>
      </c>
      <c r="K14" s="537"/>
      <c r="L14" s="2489"/>
      <c r="M14" s="2484"/>
      <c r="N14" s="2484"/>
      <c r="O14" s="2484"/>
      <c r="P14" s="3380"/>
      <c r="Q14" s="528">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798">
        <f t="shared" si="5"/>
        <v>1</v>
      </c>
    </row>
    <row r="15" spans="1:29" ht="15">
      <c r="A15" s="377" t="s">
        <v>1690</v>
      </c>
      <c r="B15" s="552" t="s">
        <v>1811</v>
      </c>
      <c r="C15" s="1807">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9"/>
      <c r="M15" s="2484"/>
      <c r="N15" s="2484"/>
      <c r="O15" s="2484"/>
      <c r="P15" s="3450" t="s">
        <v>1691</v>
      </c>
      <c r="Q15" s="1259" t="str">
        <f t="shared" si="6"/>
        <v>办公集聚程度</v>
      </c>
      <c r="R15" s="665" t="s">
        <v>14</v>
      </c>
      <c r="S15" s="666">
        <f t="shared" si="0"/>
        <v>100</v>
      </c>
      <c r="T15" s="665" t="s">
        <v>14</v>
      </c>
      <c r="U15" s="666">
        <f t="shared" si="1"/>
        <v>100</v>
      </c>
      <c r="V15" s="665" t="s">
        <v>14</v>
      </c>
      <c r="W15" s="666">
        <f t="shared" si="2"/>
        <v>100</v>
      </c>
      <c r="X15" s="1261"/>
      <c r="Y15" s="3382" t="s">
        <v>1691</v>
      </c>
      <c r="Z15" s="1260" t="str">
        <f t="shared" si="7"/>
        <v>办公集聚程度</v>
      </c>
      <c r="AA15" s="1260">
        <f t="shared" si="3"/>
        <v>1</v>
      </c>
      <c r="AB15" s="1260">
        <f t="shared" si="4"/>
        <v>1</v>
      </c>
      <c r="AC15" s="1808">
        <f t="shared" si="5"/>
        <v>1</v>
      </c>
    </row>
    <row r="16" spans="1:29" ht="15">
      <c r="A16" s="365"/>
      <c r="B16" s="553"/>
      <c r="C16" s="1754"/>
      <c r="D16" s="385"/>
      <c r="E16" s="384"/>
      <c r="F16" s="385"/>
      <c r="G16" s="1754"/>
      <c r="H16" s="387"/>
      <c r="I16" s="384"/>
      <c r="J16" s="385"/>
      <c r="K16" s="539"/>
      <c r="L16" s="2489"/>
      <c r="M16" s="2484"/>
      <c r="N16" s="2484"/>
      <c r="O16" s="2484"/>
      <c r="P16" s="3451"/>
      <c r="Q16" s="1259"/>
      <c r="R16" s="665"/>
      <c r="S16" s="666"/>
      <c r="T16" s="665"/>
      <c r="U16" s="666"/>
      <c r="V16" s="665"/>
      <c r="W16" s="666"/>
      <c r="X16" s="1261"/>
      <c r="Y16" s="3383"/>
      <c r="Z16" s="1260"/>
      <c r="AA16" s="1260">
        <v>1</v>
      </c>
      <c r="AB16" s="1260">
        <v>1</v>
      </c>
      <c r="AC16" s="1808">
        <v>1</v>
      </c>
    </row>
    <row r="17" spans="1:29" ht="15">
      <c r="A17" s="365"/>
      <c r="B17" s="554" t="s">
        <v>1259</v>
      </c>
      <c r="C17" s="1809">
        <f>估价对象房地状况!C6</f>
        <v>0</v>
      </c>
      <c r="D17" s="387">
        <v>100</v>
      </c>
      <c r="E17" s="391"/>
      <c r="F17" s="387">
        <f>SUMIF(79:79,E18,80:80)-SUMIF(79:79,C18,80:80)+100</f>
        <v>100</v>
      </c>
      <c r="G17" s="389"/>
      <c r="H17" s="392">
        <f>SUMIF(79:79,G18,80:80)-SUMIF(79:79,C18,80:80)+100</f>
        <v>100</v>
      </c>
      <c r="I17" s="389"/>
      <c r="J17" s="392">
        <f>SUMIF(79:79,I18,80:80)-SUMIF(79:79,C18,80:80)+100</f>
        <v>100</v>
      </c>
      <c r="K17" s="538"/>
      <c r="L17" s="2489"/>
      <c r="M17" s="2484"/>
      <c r="N17" s="2484"/>
      <c r="O17" s="2484"/>
      <c r="P17" s="3451"/>
      <c r="Q17" s="1259" t="str">
        <f>B17</f>
        <v>交通便捷度</v>
      </c>
      <c r="R17" s="665" t="s">
        <v>14</v>
      </c>
      <c r="S17" s="666">
        <f>F17</f>
        <v>100</v>
      </c>
      <c r="T17" s="665" t="s">
        <v>14</v>
      </c>
      <c r="U17" s="666">
        <f>H17</f>
        <v>100</v>
      </c>
      <c r="V17" s="665" t="s">
        <v>14</v>
      </c>
      <c r="W17" s="666">
        <f>J17</f>
        <v>100</v>
      </c>
      <c r="X17" s="1261"/>
      <c r="Y17" s="3383"/>
      <c r="Z17" s="1260" t="str">
        <f>Q17</f>
        <v>交通便捷度</v>
      </c>
      <c r="AA17" s="1260">
        <f t="shared" si="3"/>
        <v>1</v>
      </c>
      <c r="AB17" s="1260">
        <f t="shared" si="4"/>
        <v>1</v>
      </c>
      <c r="AC17" s="1808">
        <f t="shared" si="5"/>
        <v>1</v>
      </c>
    </row>
    <row r="18" spans="1:29" ht="15">
      <c r="A18" s="365"/>
      <c r="B18" s="399"/>
      <c r="C18" s="1810"/>
      <c r="D18" s="387"/>
      <c r="E18" s="1752"/>
      <c r="F18" s="387"/>
      <c r="G18" s="1753"/>
      <c r="H18" s="385"/>
      <c r="I18" s="1753"/>
      <c r="J18" s="385"/>
      <c r="K18" s="539"/>
      <c r="L18" s="2489"/>
      <c r="M18" s="2484"/>
      <c r="N18" s="2484"/>
      <c r="O18" s="2484"/>
      <c r="P18" s="3451"/>
      <c r="Q18" s="1259"/>
      <c r="R18" s="665"/>
      <c r="S18" s="666"/>
      <c r="T18" s="665"/>
      <c r="U18" s="666"/>
      <c r="V18" s="665"/>
      <c r="W18" s="666"/>
      <c r="X18" s="1261"/>
      <c r="Y18" s="3383"/>
      <c r="Z18" s="1260"/>
      <c r="AA18" s="1260">
        <v>1</v>
      </c>
      <c r="AB18" s="1260">
        <v>1</v>
      </c>
      <c r="AC18" s="1808">
        <v>1</v>
      </c>
    </row>
    <row r="19" spans="1:29" ht="15">
      <c r="A19" s="365"/>
      <c r="B19" s="554" t="s">
        <v>1812</v>
      </c>
      <c r="C19" s="1809">
        <f>估价对象房地状况!C7</f>
        <v>0</v>
      </c>
      <c r="D19" s="392">
        <v>100</v>
      </c>
      <c r="E19" s="396"/>
      <c r="F19" s="392">
        <f>SUMIF(81:81,E20,82:82)-SUMIF(81:81,C20,82:82)+100</f>
        <v>100</v>
      </c>
      <c r="G19" s="394"/>
      <c r="H19" s="387">
        <f>SUMIF(81:81,G20,82:82)-SUMIF(81:81,C20,82:82)+100</f>
        <v>100</v>
      </c>
      <c r="I19" s="394"/>
      <c r="J19" s="387">
        <f>SUMIF(81:81,I20,82:82)-SUMIF(81:81,C20,82:82)+100</f>
        <v>100</v>
      </c>
      <c r="K19" s="538"/>
      <c r="L19" s="2489"/>
      <c r="M19" s="2484"/>
      <c r="N19" s="2484"/>
      <c r="O19" s="2484"/>
      <c r="P19" s="3451"/>
      <c r="Q19" s="1259" t="str">
        <f>B19</f>
        <v>公共配套设施</v>
      </c>
      <c r="R19" s="665" t="s">
        <v>14</v>
      </c>
      <c r="S19" s="666">
        <f>F19</f>
        <v>100</v>
      </c>
      <c r="T19" s="665" t="s">
        <v>14</v>
      </c>
      <c r="U19" s="666">
        <f>H19</f>
        <v>100</v>
      </c>
      <c r="V19" s="665" t="s">
        <v>14</v>
      </c>
      <c r="W19" s="666">
        <f>J19</f>
        <v>100</v>
      </c>
      <c r="X19" s="1261"/>
      <c r="Y19" s="3383"/>
      <c r="Z19" s="1260" t="str">
        <f>Q19</f>
        <v>公共配套设施</v>
      </c>
      <c r="AA19" s="1260">
        <f t="shared" si="3"/>
        <v>1</v>
      </c>
      <c r="AB19" s="1260">
        <f t="shared" si="4"/>
        <v>1</v>
      </c>
      <c r="AC19" s="1808">
        <f t="shared" si="5"/>
        <v>1</v>
      </c>
    </row>
    <row r="20" spans="1:29" ht="15">
      <c r="A20" s="365"/>
      <c r="B20" s="399"/>
      <c r="C20" s="1754"/>
      <c r="D20" s="385"/>
      <c r="E20" s="1747"/>
      <c r="F20" s="385"/>
      <c r="G20" s="1748"/>
      <c r="H20" s="385"/>
      <c r="I20" s="1748"/>
      <c r="J20" s="385"/>
      <c r="K20" s="539"/>
      <c r="L20" s="2489"/>
      <c r="M20" s="2484"/>
      <c r="N20" s="2484"/>
      <c r="O20" s="2484"/>
      <c r="P20" s="3451"/>
      <c r="Q20" s="1259"/>
      <c r="R20" s="665"/>
      <c r="S20" s="666"/>
      <c r="T20" s="665"/>
      <c r="U20" s="666"/>
      <c r="V20" s="665"/>
      <c r="W20" s="666"/>
      <c r="X20" s="1261"/>
      <c r="Y20" s="3383"/>
      <c r="Z20" s="1260"/>
      <c r="AA20" s="1260">
        <v>1</v>
      </c>
      <c r="AB20" s="1260">
        <v>1</v>
      </c>
      <c r="AC20" s="1808">
        <v>1</v>
      </c>
    </row>
    <row r="21" spans="1:29" ht="15">
      <c r="A21" s="365"/>
      <c r="B21" s="555" t="s">
        <v>1813</v>
      </c>
      <c r="C21" s="1809">
        <f>估价对象房地状况!C8</f>
        <v>0</v>
      </c>
      <c r="D21" s="387">
        <v>100</v>
      </c>
      <c r="E21" s="396"/>
      <c r="F21" s="392">
        <f>SUMIF(83:83,E22,84:84)-SUMIF(83:83,C22,84:84)+100</f>
        <v>100</v>
      </c>
      <c r="G21" s="394"/>
      <c r="H21" s="387">
        <f>SUMIF(83:83,G22,84:84)-SUMIF(83:83,C22,84:84)+100</f>
        <v>100</v>
      </c>
      <c r="I21" s="394"/>
      <c r="J21" s="387">
        <f>SUMIF(83:83,I22,84:84)-SUMIF(83:83,C22,84:84)+100</f>
        <v>100</v>
      </c>
      <c r="K21" s="538"/>
      <c r="L21" s="2489"/>
      <c r="M21" s="2484"/>
      <c r="N21" s="2484"/>
      <c r="O21" s="2484"/>
      <c r="P21" s="3451"/>
      <c r="Q21" s="1259" t="str">
        <f>B21</f>
        <v>基础设施水平</v>
      </c>
      <c r="R21" s="665" t="s">
        <v>14</v>
      </c>
      <c r="S21" s="666">
        <f>F21</f>
        <v>100</v>
      </c>
      <c r="T21" s="665" t="s">
        <v>14</v>
      </c>
      <c r="U21" s="666">
        <f>H21</f>
        <v>100</v>
      </c>
      <c r="V21" s="665" t="s">
        <v>14</v>
      </c>
      <c r="W21" s="666">
        <f>J21</f>
        <v>100</v>
      </c>
      <c r="X21" s="1261"/>
      <c r="Y21" s="3383"/>
      <c r="Z21" s="1260" t="str">
        <f>Q21</f>
        <v>基础设施水平</v>
      </c>
      <c r="AA21" s="1260">
        <f t="shared" ref="AA21" si="8">D21/F21</f>
        <v>1</v>
      </c>
      <c r="AB21" s="1260">
        <f t="shared" ref="AB21" si="9">D21/H21</f>
        <v>1</v>
      </c>
      <c r="AC21" s="1808">
        <f t="shared" ref="AC21" si="10">D21/J21</f>
        <v>1</v>
      </c>
    </row>
    <row r="22" spans="1:29" ht="15">
      <c r="A22" s="365"/>
      <c r="B22" s="555"/>
      <c r="C22" s="1810"/>
      <c r="D22" s="385"/>
      <c r="E22" s="384"/>
      <c r="F22" s="385"/>
      <c r="G22" s="1754"/>
      <c r="H22" s="385"/>
      <c r="I22" s="1754"/>
      <c r="J22" s="385"/>
      <c r="K22" s="1060"/>
      <c r="L22" s="2489"/>
      <c r="M22" s="2484"/>
      <c r="N22" s="2484"/>
      <c r="O22" s="2484"/>
      <c r="P22" s="3451"/>
      <c r="Q22" s="1259"/>
      <c r="R22" s="665"/>
      <c r="S22" s="666"/>
      <c r="T22" s="665"/>
      <c r="U22" s="666"/>
      <c r="V22" s="665"/>
      <c r="W22" s="666"/>
      <c r="X22" s="1261"/>
      <c r="Y22" s="3383"/>
      <c r="Z22" s="1260"/>
      <c r="AA22" s="1260">
        <v>1</v>
      </c>
      <c r="AB22" s="1260">
        <v>1</v>
      </c>
      <c r="AC22" s="1808">
        <v>1</v>
      </c>
    </row>
    <row r="23" spans="1:29" ht="15">
      <c r="A23" s="365"/>
      <c r="B23" s="554" t="s">
        <v>1814</v>
      </c>
      <c r="C23" s="1809">
        <f>估价对象房地状况!C9</f>
        <v>0</v>
      </c>
      <c r="D23" s="387">
        <v>100</v>
      </c>
      <c r="E23" s="391"/>
      <c r="F23" s="387">
        <f>SUMIF(85:85,E24,86:86)-SUMIF(85:85,C24,86:86)+100</f>
        <v>100</v>
      </c>
      <c r="G23" s="389"/>
      <c r="H23" s="387">
        <f>SUMIF(85:85,G24,86:86)-SUMIF(85:85,C24,86:86)+100</f>
        <v>100</v>
      </c>
      <c r="I23" s="389"/>
      <c r="J23" s="387">
        <f>SUMIF(85:85,I24,86:86)-SUMIF(85:85,C24,86:86)+100</f>
        <v>100</v>
      </c>
      <c r="K23" s="538"/>
      <c r="L23" s="2489"/>
      <c r="M23" s="2484"/>
      <c r="N23" s="2484"/>
      <c r="O23" s="2484"/>
      <c r="P23" s="3451"/>
      <c r="Q23" s="1259" t="str">
        <f>B23</f>
        <v>环境质量</v>
      </c>
      <c r="R23" s="665" t="s">
        <v>14</v>
      </c>
      <c r="S23" s="666">
        <f>F23</f>
        <v>100</v>
      </c>
      <c r="T23" s="665" t="s">
        <v>14</v>
      </c>
      <c r="U23" s="666">
        <f>H23</f>
        <v>100</v>
      </c>
      <c r="V23" s="665" t="s">
        <v>14</v>
      </c>
      <c r="W23" s="666">
        <f>J23</f>
        <v>100</v>
      </c>
      <c r="X23" s="1261"/>
      <c r="Y23" s="3383"/>
      <c r="Z23" s="1260" t="str">
        <f>Q23</f>
        <v>环境质量</v>
      </c>
      <c r="AA23" s="1260">
        <f t="shared" si="3"/>
        <v>1</v>
      </c>
      <c r="AB23" s="1260">
        <f t="shared" si="4"/>
        <v>1</v>
      </c>
      <c r="AC23" s="1808">
        <f t="shared" si="5"/>
        <v>1</v>
      </c>
    </row>
    <row r="24" spans="1:29" ht="15">
      <c r="A24" s="365"/>
      <c r="B24" s="555"/>
      <c r="C24" s="1754"/>
      <c r="D24" s="385"/>
      <c r="E24" s="1747"/>
      <c r="F24" s="385"/>
      <c r="G24" s="1748"/>
      <c r="H24" s="385"/>
      <c r="I24" s="1748"/>
      <c r="J24" s="385"/>
      <c r="K24" s="539"/>
      <c r="L24" s="2489"/>
      <c r="M24" s="2484"/>
      <c r="N24" s="2484"/>
      <c r="O24" s="2484"/>
      <c r="P24" s="3451"/>
      <c r="Q24" s="1259"/>
      <c r="R24" s="665"/>
      <c r="S24" s="666"/>
      <c r="T24" s="665"/>
      <c r="U24" s="666"/>
      <c r="V24" s="665"/>
      <c r="W24" s="666"/>
      <c r="X24" s="1261"/>
      <c r="Y24" s="3383"/>
      <c r="Z24" s="1260"/>
      <c r="AA24" s="1260">
        <v>1</v>
      </c>
      <c r="AB24" s="1260">
        <v>1</v>
      </c>
      <c r="AC24" s="1808">
        <v>1</v>
      </c>
    </row>
    <row r="25" spans="1:29" ht="27">
      <c r="A25" s="346"/>
      <c r="B25" s="554" t="s">
        <v>1815</v>
      </c>
      <c r="C25" s="1758"/>
      <c r="D25" s="372">
        <v>100</v>
      </c>
      <c r="E25" s="371"/>
      <c r="F25" s="372">
        <f>SUMIF(87:87,E26,88:88)-SUMIF(87:87,C26,88:88)+100</f>
        <v>100</v>
      </c>
      <c r="G25" s="1758"/>
      <c r="H25" s="372">
        <f>SUMIF(87:87,G26,88:88)-SUMIF(87:87,C26,88:88)+100</f>
        <v>100</v>
      </c>
      <c r="I25" s="371"/>
      <c r="J25" s="372">
        <f>SUMIF(87:87,I26,88:88)-SUMIF(87:87,C26,88:88)+100</f>
        <v>100</v>
      </c>
      <c r="K25" s="538"/>
      <c r="L25" s="2489"/>
      <c r="M25" s="2484"/>
      <c r="N25" s="2484"/>
      <c r="O25" s="2484"/>
      <c r="P25" s="3451"/>
      <c r="Q25" s="1259" t="str">
        <f>B25</f>
        <v>毗邻道路的类型与等级</v>
      </c>
      <c r="R25" s="665" t="s">
        <v>14</v>
      </c>
      <c r="S25" s="666">
        <f>F25</f>
        <v>100</v>
      </c>
      <c r="T25" s="665" t="s">
        <v>14</v>
      </c>
      <c r="U25" s="666">
        <f>H25</f>
        <v>100</v>
      </c>
      <c r="V25" s="665" t="s">
        <v>14</v>
      </c>
      <c r="W25" s="666">
        <f>J25</f>
        <v>100</v>
      </c>
      <c r="X25" s="1261"/>
      <c r="Y25" s="3383"/>
      <c r="Z25" s="1260" t="str">
        <f>Q25</f>
        <v>毗邻道路的类型与等级</v>
      </c>
      <c r="AA25" s="1260">
        <f t="shared" si="3"/>
        <v>1</v>
      </c>
      <c r="AB25" s="1260">
        <f t="shared" si="4"/>
        <v>1</v>
      </c>
      <c r="AC25" s="1808">
        <f t="shared" si="5"/>
        <v>1</v>
      </c>
    </row>
    <row r="26" spans="1:29" ht="15">
      <c r="A26" s="346"/>
      <c r="B26" s="399"/>
      <c r="C26" s="556"/>
      <c r="D26" s="372"/>
      <c r="E26" s="540"/>
      <c r="F26" s="372"/>
      <c r="G26" s="556"/>
      <c r="H26" s="372"/>
      <c r="I26" s="540"/>
      <c r="J26" s="372"/>
      <c r="K26" s="539"/>
      <c r="L26" s="2489"/>
      <c r="M26" s="2484"/>
      <c r="N26" s="2484"/>
      <c r="O26" s="2484"/>
      <c r="P26" s="3451"/>
      <c r="Q26" s="1259"/>
      <c r="R26" s="665"/>
      <c r="S26" s="666"/>
      <c r="T26" s="665"/>
      <c r="U26" s="666"/>
      <c r="V26" s="665"/>
      <c r="W26" s="666"/>
      <c r="X26" s="1261"/>
      <c r="Y26" s="3383"/>
      <c r="Z26" s="1260"/>
      <c r="AA26" s="1260">
        <v>1</v>
      </c>
      <c r="AB26" s="1260">
        <v>1</v>
      </c>
      <c r="AC26" s="1808">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9"/>
      <c r="M27" s="2484"/>
      <c r="N27" s="2484"/>
      <c r="O27" s="2484"/>
      <c r="P27" s="3451"/>
      <c r="Q27" s="1259" t="str">
        <f t="shared" ref="Q27:Q47" si="11">B27</f>
        <v>楼层</v>
      </c>
      <c r="R27" s="665" t="s">
        <v>14</v>
      </c>
      <c r="S27" s="666">
        <f>F27</f>
        <v>100</v>
      </c>
      <c r="T27" s="665" t="s">
        <v>14</v>
      </c>
      <c r="U27" s="666">
        <f>H27</f>
        <v>100</v>
      </c>
      <c r="V27" s="665" t="s">
        <v>14</v>
      </c>
      <c r="W27" s="666">
        <f>J27</f>
        <v>100</v>
      </c>
      <c r="X27" s="1261"/>
      <c r="Y27" s="3383"/>
      <c r="Z27" s="1260" t="str">
        <f>Q27</f>
        <v>楼层</v>
      </c>
      <c r="AA27" s="1260">
        <f t="shared" si="3"/>
        <v>1</v>
      </c>
      <c r="AB27" s="1260">
        <f t="shared" si="4"/>
        <v>1</v>
      </c>
      <c r="AC27" s="1808">
        <f t="shared" si="5"/>
        <v>1</v>
      </c>
    </row>
    <row r="28" spans="1:29" s="100" customFormat="1" ht="15">
      <c r="A28" s="368"/>
      <c r="B28" s="554" t="s">
        <v>1816</v>
      </c>
      <c r="C28" s="1811"/>
      <c r="D28" s="399">
        <v>100</v>
      </c>
      <c r="E28" s="1803"/>
      <c r="F28" s="399">
        <f>SUMIF(91:91,E28,92:92)-SUMIF(91:91,C28,92:92)+100</f>
        <v>100</v>
      </c>
      <c r="G28" s="1811"/>
      <c r="H28" s="399">
        <f>SUMIF(91:91,G28,92:92)-SUMIF(91:91,C28,92:92)+100</f>
        <v>100</v>
      </c>
      <c r="I28" s="1803"/>
      <c r="J28" s="399">
        <f>SUMIF(91:91,I28,92:92)-SUMIF(91:91,C28,92:92)+100</f>
        <v>100</v>
      </c>
      <c r="K28" s="536"/>
      <c r="L28" s="2485"/>
      <c r="M28" s="2436"/>
      <c r="N28" s="2436"/>
      <c r="O28" s="2436"/>
      <c r="P28" s="3451"/>
      <c r="Q28" s="528" t="str">
        <f t="shared" si="11"/>
        <v>朝向</v>
      </c>
      <c r="R28" s="662" t="s">
        <v>14</v>
      </c>
      <c r="S28" s="663">
        <f>F28</f>
        <v>100</v>
      </c>
      <c r="T28" s="662" t="s">
        <v>14</v>
      </c>
      <c r="U28" s="663">
        <f>H28</f>
        <v>100</v>
      </c>
      <c r="V28" s="662" t="s">
        <v>14</v>
      </c>
      <c r="W28" s="663">
        <f>J28</f>
        <v>100</v>
      </c>
      <c r="X28" s="664"/>
      <c r="Y28" s="3383"/>
      <c r="Z28" s="50" t="str">
        <f>Q28</f>
        <v>朝向</v>
      </c>
      <c r="AA28" s="1260">
        <f>D28/F28</f>
        <v>1</v>
      </c>
      <c r="AB28" s="1260">
        <f>D28/H28</f>
        <v>1</v>
      </c>
      <c r="AC28" s="1808">
        <f>D28/J28</f>
        <v>1</v>
      </c>
    </row>
    <row r="29" spans="1:29" ht="15">
      <c r="A29" s="365"/>
      <c r="B29" s="1095">
        <v>111</v>
      </c>
      <c r="C29" s="1758"/>
      <c r="D29" s="372">
        <v>100</v>
      </c>
      <c r="E29" s="369"/>
      <c r="F29" s="372">
        <f>SUMIF(93:93,E29,94:94)-SUMIF(93:93,C29,94:94)+100</f>
        <v>100</v>
      </c>
      <c r="G29" s="1806"/>
      <c r="H29" s="372">
        <f>SUMIF(93:93,G29,94:94)-SUMIF(93:93,C29,94:94)+100</f>
        <v>100</v>
      </c>
      <c r="I29" s="369"/>
      <c r="J29" s="372">
        <f>SUMIF(93:93,I29,94:94)-SUMIF(93:93,C29,94:94)+100</f>
        <v>100</v>
      </c>
      <c r="K29" s="537"/>
      <c r="L29" s="2489"/>
      <c r="M29" s="2484"/>
      <c r="N29" s="2484"/>
      <c r="O29" s="2484"/>
      <c r="P29" s="3451"/>
      <c r="Q29" s="1259">
        <f t="shared" si="11"/>
        <v>111</v>
      </c>
      <c r="R29" s="665" t="s">
        <v>14</v>
      </c>
      <c r="S29" s="666">
        <f t="shared" ref="S29:S47" si="12">F29</f>
        <v>100</v>
      </c>
      <c r="T29" s="665" t="s">
        <v>14</v>
      </c>
      <c r="U29" s="666">
        <f t="shared" ref="U29:U47" si="13">H29</f>
        <v>100</v>
      </c>
      <c r="V29" s="665" t="s">
        <v>14</v>
      </c>
      <c r="W29" s="666">
        <f t="shared" ref="W29:W47" si="14">J29</f>
        <v>100</v>
      </c>
      <c r="X29" s="1261"/>
      <c r="Y29" s="3383"/>
      <c r="Z29" s="1260">
        <f t="shared" ref="Z29:Z47" si="15">Q29</f>
        <v>111</v>
      </c>
      <c r="AA29" s="1260">
        <f t="shared" si="3"/>
        <v>1</v>
      </c>
      <c r="AB29" s="1260">
        <f t="shared" si="4"/>
        <v>1</v>
      </c>
      <c r="AC29" s="1808">
        <f t="shared" si="5"/>
        <v>1</v>
      </c>
    </row>
    <row r="30" spans="1:29" ht="15">
      <c r="A30" s="365"/>
      <c r="B30" s="1095">
        <v>111</v>
      </c>
      <c r="C30" s="1758"/>
      <c r="D30" s="372">
        <v>100</v>
      </c>
      <c r="E30" s="369"/>
      <c r="F30" s="372">
        <f>SUMIF(95:95,E30,96:96)-SUMIF(95:95,C30,96:96)+100</f>
        <v>100</v>
      </c>
      <c r="G30" s="1806"/>
      <c r="H30" s="372">
        <f>SUMIF(95:95,G30,96:96)-SUMIF(95:95,C30,96:96)+100</f>
        <v>100</v>
      </c>
      <c r="I30" s="369"/>
      <c r="J30" s="372">
        <f>SUMIF(95:95,I30,96:96)-SUMIF(95:95,C30,96:96)+100</f>
        <v>100</v>
      </c>
      <c r="K30" s="537"/>
      <c r="L30" s="2489"/>
      <c r="M30" s="2484"/>
      <c r="N30" s="2484"/>
      <c r="O30" s="2484"/>
      <c r="P30" s="3451"/>
      <c r="Q30" s="1259">
        <f t="shared" si="11"/>
        <v>111</v>
      </c>
      <c r="R30" s="665" t="s">
        <v>14</v>
      </c>
      <c r="S30" s="666">
        <f t="shared" si="12"/>
        <v>100</v>
      </c>
      <c r="T30" s="665" t="s">
        <v>14</v>
      </c>
      <c r="U30" s="666">
        <f t="shared" si="13"/>
        <v>100</v>
      </c>
      <c r="V30" s="665" t="s">
        <v>14</v>
      </c>
      <c r="W30" s="666">
        <f t="shared" si="14"/>
        <v>100</v>
      </c>
      <c r="X30" s="1261"/>
      <c r="Y30" s="3383"/>
      <c r="Z30" s="1260">
        <f t="shared" si="15"/>
        <v>111</v>
      </c>
      <c r="AA30" s="1260">
        <f t="shared" si="3"/>
        <v>1</v>
      </c>
      <c r="AB30" s="1260">
        <f t="shared" si="4"/>
        <v>1</v>
      </c>
      <c r="AC30" s="1808">
        <f t="shared" si="5"/>
        <v>1</v>
      </c>
    </row>
    <row r="31" spans="1:29" ht="15">
      <c r="A31" s="365"/>
      <c r="B31" s="1095">
        <v>111</v>
      </c>
      <c r="C31" s="1758"/>
      <c r="D31" s="372">
        <v>100</v>
      </c>
      <c r="E31" s="369"/>
      <c r="F31" s="372">
        <f>SUMIF(97:97,E31,98:98)-SUMIF(97:97,C31,98:98)+100</f>
        <v>100</v>
      </c>
      <c r="G31" s="1806"/>
      <c r="H31" s="372">
        <f>SUMIF(97:97,G31,98:98)-SUMIF(97:97,C31,98:98)+100</f>
        <v>100</v>
      </c>
      <c r="I31" s="369"/>
      <c r="J31" s="372">
        <f>SUMIF(97:97,I31,98:98)-SUMIF(97:97,C31,98:98)+100</f>
        <v>100</v>
      </c>
      <c r="K31" s="537"/>
      <c r="L31" s="2489"/>
      <c r="M31" s="2484"/>
      <c r="N31" s="2484"/>
      <c r="O31" s="2484"/>
      <c r="P31" s="3451"/>
      <c r="Q31" s="1259">
        <f t="shared" si="11"/>
        <v>111</v>
      </c>
      <c r="R31" s="665" t="s">
        <v>14</v>
      </c>
      <c r="S31" s="666">
        <f t="shared" si="12"/>
        <v>100</v>
      </c>
      <c r="T31" s="665" t="s">
        <v>14</v>
      </c>
      <c r="U31" s="666">
        <f t="shared" si="13"/>
        <v>100</v>
      </c>
      <c r="V31" s="665" t="s">
        <v>14</v>
      </c>
      <c r="W31" s="666">
        <f t="shared" si="14"/>
        <v>100</v>
      </c>
      <c r="X31" s="1261"/>
      <c r="Y31" s="3383"/>
      <c r="Z31" s="1260">
        <f t="shared" si="15"/>
        <v>111</v>
      </c>
      <c r="AA31" s="1260">
        <f t="shared" si="3"/>
        <v>1</v>
      </c>
      <c r="AB31" s="1260">
        <f t="shared" si="4"/>
        <v>1</v>
      </c>
      <c r="AC31" s="1808">
        <f t="shared" si="5"/>
        <v>1</v>
      </c>
    </row>
    <row r="32" spans="1:29" ht="15.75" thickBot="1">
      <c r="A32" s="373"/>
      <c r="B32" s="557">
        <v>111</v>
      </c>
      <c r="C32" s="1759"/>
      <c r="D32" s="375">
        <v>100</v>
      </c>
      <c r="E32" s="551"/>
      <c r="F32" s="375">
        <f>SUMIF(99:99,E32,100:100)-SUMIF(99:99,C32,100:100)+100</f>
        <v>100</v>
      </c>
      <c r="G32" s="1806"/>
      <c r="H32" s="375">
        <f>SUMIF(99:99,G32,100:100)-SUMIF(99:99,C32,100:100)+100</f>
        <v>100</v>
      </c>
      <c r="I32" s="369"/>
      <c r="J32" s="375">
        <f>SUMIF(99:99,I32,100:100)-SUMIF(99:99,C32,100:100)+100</f>
        <v>100</v>
      </c>
      <c r="K32" s="537"/>
      <c r="L32" s="2489"/>
      <c r="M32" s="2484"/>
      <c r="N32" s="2484"/>
      <c r="O32" s="2484"/>
      <c r="P32" s="3451"/>
      <c r="Q32" s="1259">
        <f t="shared" si="11"/>
        <v>111</v>
      </c>
      <c r="R32" s="665" t="s">
        <v>14</v>
      </c>
      <c r="S32" s="666">
        <f t="shared" si="12"/>
        <v>100</v>
      </c>
      <c r="T32" s="665" t="s">
        <v>14</v>
      </c>
      <c r="U32" s="666">
        <f t="shared" si="13"/>
        <v>100</v>
      </c>
      <c r="V32" s="665" t="s">
        <v>14</v>
      </c>
      <c r="W32" s="666">
        <f t="shared" si="14"/>
        <v>100</v>
      </c>
      <c r="X32" s="1261"/>
      <c r="Y32" s="3383"/>
      <c r="Z32" s="1260">
        <f t="shared" si="15"/>
        <v>111</v>
      </c>
      <c r="AA32" s="1260">
        <f t="shared" si="3"/>
        <v>1</v>
      </c>
      <c r="AB32" s="1260">
        <f t="shared" si="4"/>
        <v>1</v>
      </c>
      <c r="AC32" s="1808">
        <f t="shared" si="5"/>
        <v>1</v>
      </c>
    </row>
    <row r="33" spans="1:29" ht="15">
      <c r="A33" s="377" t="s">
        <v>1694</v>
      </c>
      <c r="B33" s="60" t="s">
        <v>1817</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9"/>
      <c r="M33" s="2484"/>
      <c r="N33" s="2484"/>
      <c r="O33" s="2484"/>
      <c r="P33" s="3446" t="s">
        <v>1696</v>
      </c>
      <c r="Q33" s="1259" t="str">
        <f t="shared" si="11"/>
        <v>建筑类型</v>
      </c>
      <c r="R33" s="665" t="s">
        <v>14</v>
      </c>
      <c r="S33" s="666">
        <f t="shared" si="12"/>
        <v>100</v>
      </c>
      <c r="T33" s="665" t="s">
        <v>14</v>
      </c>
      <c r="U33" s="666">
        <f t="shared" si="13"/>
        <v>100</v>
      </c>
      <c r="V33" s="665" t="s">
        <v>14</v>
      </c>
      <c r="W33" s="666">
        <f t="shared" si="14"/>
        <v>100</v>
      </c>
      <c r="X33" s="1261"/>
      <c r="Y33" s="3385" t="s">
        <v>1696</v>
      </c>
      <c r="Z33" s="1260" t="str">
        <f t="shared" si="15"/>
        <v>建筑类型</v>
      </c>
      <c r="AA33" s="1260">
        <f t="shared" si="3"/>
        <v>1</v>
      </c>
      <c r="AB33" s="1260">
        <f t="shared" si="4"/>
        <v>1</v>
      </c>
      <c r="AC33" s="1808">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8"/>
      <c r="M34" s="2490"/>
      <c r="N34" s="2490"/>
      <c r="O34" s="2490"/>
      <c r="P34" s="3447"/>
      <c r="Q34" s="529" t="str">
        <f t="shared" si="11"/>
        <v>项目建筑规模</v>
      </c>
      <c r="R34" s="667" t="s">
        <v>14</v>
      </c>
      <c r="S34" s="668" t="e">
        <f t="shared" si="12"/>
        <v>#N/A</v>
      </c>
      <c r="T34" s="667" t="s">
        <v>14</v>
      </c>
      <c r="U34" s="668" t="e">
        <f t="shared" si="13"/>
        <v>#N/A</v>
      </c>
      <c r="V34" s="667" t="s">
        <v>14</v>
      </c>
      <c r="W34" s="668" t="e">
        <f t="shared" si="14"/>
        <v>#N/A</v>
      </c>
      <c r="X34" s="669"/>
      <c r="Y34" s="3385"/>
      <c r="Z34" s="670" t="str">
        <f t="shared" si="15"/>
        <v>项目建筑规模</v>
      </c>
      <c r="AA34" s="1260" t="e">
        <f t="shared" si="3"/>
        <v>#N/A</v>
      </c>
      <c r="AB34" s="1260" t="e">
        <f t="shared" si="4"/>
        <v>#N/A</v>
      </c>
      <c r="AC34" s="1808"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9"/>
      <c r="M35" s="2484"/>
      <c r="N35" s="2484"/>
      <c r="O35" s="2484"/>
      <c r="P35" s="3447"/>
      <c r="Q35" s="1259" t="str">
        <f t="shared" si="11"/>
        <v>建筑结构</v>
      </c>
      <c r="R35" s="665" t="s">
        <v>14</v>
      </c>
      <c r="S35" s="666">
        <f t="shared" si="12"/>
        <v>100</v>
      </c>
      <c r="T35" s="665" t="s">
        <v>14</v>
      </c>
      <c r="U35" s="666">
        <f t="shared" si="13"/>
        <v>100</v>
      </c>
      <c r="V35" s="665" t="s">
        <v>14</v>
      </c>
      <c r="W35" s="666">
        <f t="shared" si="14"/>
        <v>100</v>
      </c>
      <c r="X35" s="1261"/>
      <c r="Y35" s="3385"/>
      <c r="Z35" s="1260" t="str">
        <f t="shared" si="15"/>
        <v>建筑结构</v>
      </c>
      <c r="AA35" s="1260">
        <f t="shared" si="3"/>
        <v>1</v>
      </c>
      <c r="AB35" s="1260">
        <f t="shared" si="4"/>
        <v>1</v>
      </c>
      <c r="AC35" s="1808">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9"/>
      <c r="M36" s="2484"/>
      <c r="N36" s="2484"/>
      <c r="O36" s="2484"/>
      <c r="P36" s="3447"/>
      <c r="Q36" s="1259" t="str">
        <f t="shared" si="11"/>
        <v>公共部分装修</v>
      </c>
      <c r="R36" s="665" t="s">
        <v>14</v>
      </c>
      <c r="S36" s="666">
        <f t="shared" si="12"/>
        <v>100</v>
      </c>
      <c r="T36" s="665" t="s">
        <v>14</v>
      </c>
      <c r="U36" s="666">
        <f t="shared" si="13"/>
        <v>100</v>
      </c>
      <c r="V36" s="665" t="s">
        <v>14</v>
      </c>
      <c r="W36" s="666">
        <f t="shared" si="14"/>
        <v>100</v>
      </c>
      <c r="X36" s="1261"/>
      <c r="Y36" s="3385"/>
      <c r="Z36" s="1260" t="str">
        <f t="shared" si="15"/>
        <v>公共部分装修</v>
      </c>
      <c r="AA36" s="1260">
        <f t="shared" si="3"/>
        <v>1</v>
      </c>
      <c r="AB36" s="1260">
        <f t="shared" si="4"/>
        <v>1</v>
      </c>
      <c r="AC36" s="1808">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9"/>
      <c r="M37" s="2484"/>
      <c r="N37" s="2484"/>
      <c r="O37" s="2484"/>
      <c r="P37" s="3447"/>
      <c r="Q37" s="1259" t="str">
        <f t="shared" si="11"/>
        <v>成新度</v>
      </c>
      <c r="R37" s="665" t="s">
        <v>14</v>
      </c>
      <c r="S37" s="666" t="e">
        <f t="shared" si="12"/>
        <v>#N/A</v>
      </c>
      <c r="T37" s="665" t="s">
        <v>14</v>
      </c>
      <c r="U37" s="666" t="e">
        <f t="shared" si="13"/>
        <v>#N/A</v>
      </c>
      <c r="V37" s="665" t="s">
        <v>14</v>
      </c>
      <c r="W37" s="666" t="e">
        <f t="shared" si="14"/>
        <v>#N/A</v>
      </c>
      <c r="X37" s="1261"/>
      <c r="Y37" s="3385"/>
      <c r="Z37" s="1260" t="str">
        <f t="shared" si="15"/>
        <v>成新度</v>
      </c>
      <c r="AA37" s="1260" t="e">
        <f t="shared" si="3"/>
        <v>#N/A</v>
      </c>
      <c r="AB37" s="1260" t="e">
        <f t="shared" si="4"/>
        <v>#N/A</v>
      </c>
      <c r="AC37" s="1808" t="e">
        <f t="shared" si="5"/>
        <v>#N/A</v>
      </c>
    </row>
    <row r="38" spans="1:29" s="100"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5"/>
      <c r="M38" s="2436"/>
      <c r="N38" s="2436"/>
      <c r="O38" s="2436"/>
      <c r="P38" s="3447"/>
      <c r="Q38" s="528" t="str">
        <f t="shared" si="11"/>
        <v>写字楼等级</v>
      </c>
      <c r="R38" s="662" t="s">
        <v>14</v>
      </c>
      <c r="S38" s="663">
        <f t="shared" si="12"/>
        <v>100</v>
      </c>
      <c r="T38" s="662" t="s">
        <v>14</v>
      </c>
      <c r="U38" s="663">
        <f t="shared" si="13"/>
        <v>100</v>
      </c>
      <c r="V38" s="662" t="s">
        <v>14</v>
      </c>
      <c r="W38" s="663">
        <f t="shared" si="14"/>
        <v>100</v>
      </c>
      <c r="X38" s="664"/>
      <c r="Y38" s="3385"/>
      <c r="Z38" s="50" t="str">
        <f t="shared" si="15"/>
        <v>写字楼等级</v>
      </c>
      <c r="AA38" s="50">
        <f t="shared" si="3"/>
        <v>1</v>
      </c>
      <c r="AB38" s="50">
        <f t="shared" si="4"/>
        <v>1</v>
      </c>
      <c r="AC38" s="798">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9"/>
      <c r="M39" s="2484"/>
      <c r="N39" s="2484"/>
      <c r="O39" s="2484"/>
      <c r="P39" s="3447" t="s">
        <v>1696</v>
      </c>
      <c r="Q39" s="1259" t="str">
        <f t="shared" si="11"/>
        <v>物业管理</v>
      </c>
      <c r="R39" s="665" t="s">
        <v>14</v>
      </c>
      <c r="S39" s="666">
        <f t="shared" si="12"/>
        <v>100</v>
      </c>
      <c r="T39" s="665" t="s">
        <v>14</v>
      </c>
      <c r="U39" s="666">
        <f t="shared" si="13"/>
        <v>100</v>
      </c>
      <c r="V39" s="665" t="s">
        <v>14</v>
      </c>
      <c r="W39" s="666">
        <f t="shared" si="14"/>
        <v>100</v>
      </c>
      <c r="X39" s="1261"/>
      <c r="Y39" s="3385" t="s">
        <v>1696</v>
      </c>
      <c r="Z39" s="1260" t="str">
        <f t="shared" si="15"/>
        <v>物业管理</v>
      </c>
      <c r="AA39" s="1260">
        <f t="shared" si="3"/>
        <v>1</v>
      </c>
      <c r="AB39" s="1260">
        <f t="shared" si="4"/>
        <v>1</v>
      </c>
      <c r="AC39" s="1808">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9"/>
      <c r="M40" s="2484"/>
      <c r="N40" s="2484"/>
      <c r="O40" s="2484"/>
      <c r="P40" s="3447"/>
      <c r="Q40" s="1259" t="str">
        <f t="shared" si="11"/>
        <v>市政基础设施</v>
      </c>
      <c r="R40" s="665" t="s">
        <v>14</v>
      </c>
      <c r="S40" s="666">
        <f t="shared" si="12"/>
        <v>100</v>
      </c>
      <c r="T40" s="665" t="s">
        <v>14</v>
      </c>
      <c r="U40" s="666">
        <f t="shared" si="13"/>
        <v>100</v>
      </c>
      <c r="V40" s="665" t="s">
        <v>14</v>
      </c>
      <c r="W40" s="666">
        <f t="shared" si="14"/>
        <v>100</v>
      </c>
      <c r="X40" s="1261"/>
      <c r="Y40" s="3385"/>
      <c r="Z40" s="1260" t="str">
        <f t="shared" si="15"/>
        <v>市政基础设施</v>
      </c>
      <c r="AA40" s="1260">
        <f t="shared" si="3"/>
        <v>1</v>
      </c>
      <c r="AB40" s="1260">
        <f t="shared" si="4"/>
        <v>1</v>
      </c>
      <c r="AC40" s="1808">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9"/>
      <c r="M41" s="2484"/>
      <c r="N41" s="2484"/>
      <c r="O41" s="2484"/>
      <c r="P41" s="3447"/>
      <c r="Q41" s="1259" t="str">
        <f t="shared" si="11"/>
        <v>层高</v>
      </c>
      <c r="R41" s="665" t="s">
        <v>14</v>
      </c>
      <c r="S41" s="666">
        <f t="shared" si="12"/>
        <v>100</v>
      </c>
      <c r="T41" s="665" t="s">
        <v>14</v>
      </c>
      <c r="U41" s="666">
        <f t="shared" si="13"/>
        <v>100</v>
      </c>
      <c r="V41" s="665" t="s">
        <v>14</v>
      </c>
      <c r="W41" s="666">
        <f t="shared" si="14"/>
        <v>100</v>
      </c>
      <c r="X41" s="1261"/>
      <c r="Y41" s="3385"/>
      <c r="Z41" s="1260" t="str">
        <f t="shared" si="15"/>
        <v>层高</v>
      </c>
      <c r="AA41" s="1260">
        <f t="shared" si="3"/>
        <v>1</v>
      </c>
      <c r="AB41" s="1260">
        <f t="shared" si="4"/>
        <v>1</v>
      </c>
      <c r="AC41" s="1808">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8"/>
      <c r="M42" s="2490"/>
      <c r="N42" s="2490"/>
      <c r="O42" s="2490"/>
      <c r="P42" s="3447"/>
      <c r="Q42" s="529" t="str">
        <f t="shared" si="11"/>
        <v>单套建筑面积</v>
      </c>
      <c r="R42" s="667" t="s">
        <v>14</v>
      </c>
      <c r="S42" s="668">
        <f t="shared" si="12"/>
        <v>100</v>
      </c>
      <c r="T42" s="667" t="s">
        <v>14</v>
      </c>
      <c r="U42" s="668">
        <f t="shared" si="13"/>
        <v>100</v>
      </c>
      <c r="V42" s="667" t="s">
        <v>14</v>
      </c>
      <c r="W42" s="668">
        <f t="shared" si="14"/>
        <v>100</v>
      </c>
      <c r="X42" s="669"/>
      <c r="Y42" s="3385"/>
      <c r="Z42" s="670" t="str">
        <f t="shared" si="15"/>
        <v>单套建筑面积</v>
      </c>
      <c r="AA42" s="1260">
        <f t="shared" si="3"/>
        <v>1</v>
      </c>
      <c r="AB42" s="1260">
        <f t="shared" si="4"/>
        <v>1</v>
      </c>
      <c r="AC42" s="1808">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9"/>
      <c r="M43" s="2484"/>
      <c r="N43" s="2484"/>
      <c r="O43" s="2484"/>
      <c r="P43" s="3447"/>
      <c r="Q43" s="1259" t="str">
        <f t="shared" si="11"/>
        <v>内部装修</v>
      </c>
      <c r="R43" s="665" t="s">
        <v>14</v>
      </c>
      <c r="S43" s="666">
        <f t="shared" si="12"/>
        <v>100</v>
      </c>
      <c r="T43" s="665" t="s">
        <v>14</v>
      </c>
      <c r="U43" s="666">
        <f t="shared" si="13"/>
        <v>100</v>
      </c>
      <c r="V43" s="665" t="s">
        <v>14</v>
      </c>
      <c r="W43" s="666">
        <f t="shared" si="14"/>
        <v>100</v>
      </c>
      <c r="X43" s="1261"/>
      <c r="Y43" s="3385"/>
      <c r="Z43" s="1260" t="str">
        <f t="shared" si="15"/>
        <v>内部装修</v>
      </c>
      <c r="AA43" s="1260">
        <f t="shared" si="3"/>
        <v>1</v>
      </c>
      <c r="AB43" s="1260">
        <f t="shared" si="4"/>
        <v>1</v>
      </c>
      <c r="AC43" s="1808">
        <f t="shared" si="5"/>
        <v>1</v>
      </c>
    </row>
    <row r="44" spans="1:29" ht="15">
      <c r="A44" s="407"/>
      <c r="B44" s="362" t="s">
        <v>1707</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9"/>
      <c r="M44" s="2484"/>
      <c r="N44" s="2484"/>
      <c r="O44" s="2484"/>
      <c r="P44" s="3447"/>
      <c r="Q44" s="1259" t="str">
        <f t="shared" si="11"/>
        <v>内部装修维护情况</v>
      </c>
      <c r="R44" s="665" t="s">
        <v>14</v>
      </c>
      <c r="S44" s="666">
        <f t="shared" si="12"/>
        <v>100</v>
      </c>
      <c r="T44" s="665" t="s">
        <v>14</v>
      </c>
      <c r="U44" s="666">
        <f t="shared" si="13"/>
        <v>100</v>
      </c>
      <c r="V44" s="665" t="s">
        <v>14</v>
      </c>
      <c r="W44" s="666">
        <f t="shared" si="14"/>
        <v>100</v>
      </c>
      <c r="X44" s="1261"/>
      <c r="Y44" s="3385"/>
      <c r="Z44" s="1260" t="str">
        <f t="shared" si="15"/>
        <v>内部装修维护情况</v>
      </c>
      <c r="AA44" s="1260">
        <f t="shared" si="3"/>
        <v>1</v>
      </c>
      <c r="AB44" s="1260">
        <f t="shared" si="4"/>
        <v>1</v>
      </c>
      <c r="AC44" s="1808">
        <f t="shared" si="5"/>
        <v>1</v>
      </c>
    </row>
    <row r="45" spans="1:29" s="100" customFormat="1" ht="15">
      <c r="A45" s="408"/>
      <c r="B45" s="1062">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5"/>
      <c r="M45" s="2436"/>
      <c r="N45" s="2436"/>
      <c r="O45" s="2436"/>
      <c r="P45" s="3447"/>
      <c r="Q45" s="528">
        <f t="shared" si="11"/>
        <v>111</v>
      </c>
      <c r="R45" s="662" t="s">
        <v>14</v>
      </c>
      <c r="S45" s="663">
        <f t="shared" si="12"/>
        <v>100</v>
      </c>
      <c r="T45" s="662" t="s">
        <v>14</v>
      </c>
      <c r="U45" s="663">
        <f t="shared" si="13"/>
        <v>100</v>
      </c>
      <c r="V45" s="662" t="s">
        <v>14</v>
      </c>
      <c r="W45" s="663">
        <f t="shared" si="14"/>
        <v>100</v>
      </c>
      <c r="X45" s="664"/>
      <c r="Y45" s="3385"/>
      <c r="Z45" s="50">
        <f t="shared" si="15"/>
        <v>111</v>
      </c>
      <c r="AA45" s="50">
        <f t="shared" si="3"/>
        <v>1</v>
      </c>
      <c r="AB45" s="50">
        <f t="shared" si="4"/>
        <v>1</v>
      </c>
      <c r="AC45" s="798">
        <f t="shared" si="5"/>
        <v>1</v>
      </c>
    </row>
    <row r="46" spans="1:29" ht="15">
      <c r="A46" s="407"/>
      <c r="B46" s="1062">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9"/>
      <c r="M46" s="2484"/>
      <c r="N46" s="2484"/>
      <c r="O46" s="2484"/>
      <c r="P46" s="3447"/>
      <c r="Q46" s="1259">
        <f t="shared" si="11"/>
        <v>111</v>
      </c>
      <c r="R46" s="665" t="s">
        <v>14</v>
      </c>
      <c r="S46" s="666">
        <f t="shared" si="12"/>
        <v>100</v>
      </c>
      <c r="T46" s="665" t="s">
        <v>14</v>
      </c>
      <c r="U46" s="666">
        <f t="shared" si="13"/>
        <v>100</v>
      </c>
      <c r="V46" s="665" t="s">
        <v>14</v>
      </c>
      <c r="W46" s="666">
        <f t="shared" si="14"/>
        <v>100</v>
      </c>
      <c r="X46" s="1261"/>
      <c r="Y46" s="3385"/>
      <c r="Z46" s="1260">
        <f t="shared" si="15"/>
        <v>111</v>
      </c>
      <c r="AA46" s="1260">
        <f t="shared" si="3"/>
        <v>1</v>
      </c>
      <c r="AB46" s="1260">
        <f t="shared" si="4"/>
        <v>1</v>
      </c>
      <c r="AC46" s="1808">
        <f t="shared" si="5"/>
        <v>1</v>
      </c>
    </row>
    <row r="47" spans="1:29" ht="15.75"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9"/>
      <c r="M47" s="2484"/>
      <c r="N47" s="2484"/>
      <c r="O47" s="2484"/>
      <c r="P47" s="3448"/>
      <c r="Q47" s="1259">
        <f t="shared" si="11"/>
        <v>111</v>
      </c>
      <c r="R47" s="665" t="s">
        <v>14</v>
      </c>
      <c r="S47" s="666">
        <f t="shared" si="12"/>
        <v>100</v>
      </c>
      <c r="T47" s="665" t="s">
        <v>14</v>
      </c>
      <c r="U47" s="666">
        <f t="shared" si="13"/>
        <v>100</v>
      </c>
      <c r="V47" s="665" t="s">
        <v>14</v>
      </c>
      <c r="W47" s="666">
        <f t="shared" si="14"/>
        <v>100</v>
      </c>
      <c r="X47" s="1261"/>
      <c r="Y47" s="3449"/>
      <c r="Z47" s="1260">
        <f t="shared" si="15"/>
        <v>111</v>
      </c>
      <c r="AA47" s="1260">
        <f t="shared" si="3"/>
        <v>1</v>
      </c>
      <c r="AB47" s="1260">
        <f t="shared" si="4"/>
        <v>1</v>
      </c>
      <c r="AC47" s="1808">
        <f t="shared" si="5"/>
        <v>1</v>
      </c>
    </row>
    <row r="48" spans="1:29" ht="15">
      <c r="A48" s="414" t="s">
        <v>1708</v>
      </c>
      <c r="B48" s="415"/>
      <c r="C48" s="1077" t="s">
        <v>0</v>
      </c>
      <c r="D48" s="416"/>
      <c r="E48" s="417"/>
      <c r="F48" s="418"/>
      <c r="G48" s="419"/>
      <c r="H48" s="420"/>
      <c r="I48" s="417"/>
      <c r="J48" s="420"/>
      <c r="K48" s="672"/>
      <c r="L48" s="2491"/>
      <c r="M48" s="2484"/>
      <c r="N48" s="2484"/>
      <c r="O48" s="2484"/>
      <c r="P48" s="3380" t="str">
        <f>A48</f>
        <v>成交单价（元/平方米）</v>
      </c>
      <c r="Q48" s="3381"/>
      <c r="R48" s="3386">
        <f>E48</f>
        <v>0</v>
      </c>
      <c r="S48" s="3386"/>
      <c r="T48" s="3386">
        <f>G48</f>
        <v>0</v>
      </c>
      <c r="U48" s="3386"/>
      <c r="V48" s="3386">
        <f>I48</f>
        <v>0</v>
      </c>
      <c r="W48" s="3386"/>
      <c r="X48" s="383"/>
      <c r="Y48" s="671"/>
      <c r="Z48" s="383"/>
      <c r="AA48" s="383"/>
      <c r="AB48" s="383"/>
      <c r="AC48" s="553"/>
    </row>
    <row r="49" spans="1:29" ht="15.75" thickBot="1">
      <c r="A49" s="421" t="s">
        <v>1793</v>
      </c>
      <c r="B49" s="422"/>
      <c r="C49" s="1078" t="e">
        <f>R50</f>
        <v>#DIV/0!</v>
      </c>
      <c r="D49" s="2137" t="s">
        <v>2137</v>
      </c>
      <c r="E49" s="1079" t="e">
        <f>R49</f>
        <v>#DIV/0!</v>
      </c>
      <c r="F49" s="2138"/>
      <c r="G49" s="1078" t="e">
        <f>T49</f>
        <v>#DIV/0!</v>
      </c>
      <c r="H49" s="2138"/>
      <c r="I49" s="1079" t="e">
        <f>V49</f>
        <v>#DIV/0!</v>
      </c>
      <c r="J49" s="2138"/>
      <c r="K49" s="2140">
        <f>F49+H49+J49</f>
        <v>0</v>
      </c>
      <c r="L49" s="2491"/>
      <c r="M49" s="2484"/>
      <c r="N49" s="2484"/>
      <c r="O49" s="2484"/>
      <c r="P49" s="3380" t="str">
        <f>A49</f>
        <v>比较价值（元/平方米）</v>
      </c>
      <c r="Q49" s="3381"/>
      <c r="R49" s="3386" t="e">
        <f>IF(F1="售价",ROUND(PRODUCT(R48,AA7:AA47),0),ROUND(PRODUCT(R48,AA7:AA47),1))</f>
        <v>#DIV/0!</v>
      </c>
      <c r="S49" s="3386"/>
      <c r="T49" s="3386" t="e">
        <f>IF(F1="售价",ROUND(PRODUCT(T48,AB7:AB47),0),ROUND(PRODUCT(T48,AB7:AB47),1))</f>
        <v>#DIV/0!</v>
      </c>
      <c r="U49" s="3386"/>
      <c r="V49" s="3386" t="e">
        <f>IF(F1="售价",ROUND(PRODUCT(V48,AC7:AC47),0),ROUND(PRODUCT(V48,AC7:AC47),1))</f>
        <v>#DIV/0!</v>
      </c>
      <c r="W49" s="3386"/>
      <c r="X49" s="383"/>
      <c r="Y49" s="383"/>
      <c r="Z49" s="383"/>
      <c r="AA49" s="383"/>
      <c r="AB49" s="383"/>
      <c r="AC49" s="553"/>
    </row>
    <row r="50" spans="1:29" ht="15.75" thickBot="1">
      <c r="A50" s="425" t="s">
        <v>1794</v>
      </c>
      <c r="B50" s="426"/>
      <c r="C50" s="349" t="e">
        <f>R50</f>
        <v>#DIV/0!</v>
      </c>
      <c r="D50" s="349"/>
      <c r="E50" s="349"/>
      <c r="F50" s="349"/>
      <c r="G50" s="349"/>
      <c r="H50" s="349"/>
      <c r="I50" s="349"/>
      <c r="J50" s="427"/>
      <c r="K50" s="673"/>
      <c r="L50" s="2491"/>
      <c r="M50" s="2484"/>
      <c r="N50" s="2484"/>
      <c r="O50" s="2484"/>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794"/>
      <c r="Y50" s="1794"/>
      <c r="Z50" s="1794"/>
      <c r="AA50" s="1794"/>
      <c r="AB50" s="1794"/>
      <c r="AC50" s="1795"/>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5" customFormat="1" ht="13.5" customHeight="1">
      <c r="A55" s="2494"/>
      <c r="B55" s="2494"/>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5"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6" t="s">
        <v>1798</v>
      </c>
      <c r="B58" s="383"/>
      <c r="C58" s="657"/>
      <c r="D58" s="657"/>
      <c r="E58" s="657"/>
      <c r="F58" s="658"/>
      <c r="G58" s="658"/>
      <c r="H58" s="657"/>
      <c r="I58" s="657"/>
      <c r="J58" s="657"/>
      <c r="K58" s="659"/>
      <c r="L58" s="884"/>
      <c r="M58" s="882"/>
      <c r="N58" s="2534"/>
      <c r="O58" s="2534"/>
      <c r="P58" s="2523"/>
      <c r="Q58" s="2505"/>
      <c r="R58" s="2484"/>
      <c r="S58" s="2484"/>
      <c r="T58" s="2484"/>
      <c r="U58" s="2484"/>
      <c r="V58" s="2484"/>
      <c r="W58" s="2484"/>
      <c r="X58" s="2484"/>
      <c r="Y58" s="2484"/>
      <c r="Z58" s="2484"/>
      <c r="AA58" s="2484"/>
      <c r="AB58" s="2484"/>
      <c r="AC58" s="2484"/>
    </row>
    <row r="59" spans="1:29" s="440" customFormat="1" ht="15">
      <c r="A59" s="438" t="s">
        <v>1679</v>
      </c>
      <c r="B59" s="439"/>
      <c r="C59" s="1099" t="str">
        <f>YEAR(C7)&amp;"-"&amp;MONTH(C7)</f>
        <v>2025-9</v>
      </c>
      <c r="D59" s="1100">
        <f>EDATE(C59,-1)</f>
        <v>45870</v>
      </c>
      <c r="E59" s="1100">
        <f>EDATE(D59,-1)</f>
        <v>45839</v>
      </c>
      <c r="F59" s="1100">
        <f t="shared" ref="F59:O59" si="16">EDATE(E59,-1)</f>
        <v>45809</v>
      </c>
      <c r="G59" s="1100">
        <f t="shared" si="16"/>
        <v>45778</v>
      </c>
      <c r="H59" s="1100">
        <f t="shared" si="16"/>
        <v>45748</v>
      </c>
      <c r="I59" s="1100">
        <f t="shared" si="16"/>
        <v>45717</v>
      </c>
      <c r="J59" s="1100">
        <f t="shared" si="16"/>
        <v>45689</v>
      </c>
      <c r="K59" s="1100">
        <f t="shared" si="16"/>
        <v>45658</v>
      </c>
      <c r="L59" s="1100">
        <f t="shared" si="16"/>
        <v>45627</v>
      </c>
      <c r="M59" s="1100">
        <f t="shared" si="16"/>
        <v>45597</v>
      </c>
      <c r="N59" s="1100">
        <f t="shared" si="16"/>
        <v>45566</v>
      </c>
      <c r="O59" s="1100">
        <f t="shared" si="16"/>
        <v>45536</v>
      </c>
      <c r="P59" s="2524"/>
      <c r="Q59" s="2507"/>
      <c r="R59" s="2507"/>
      <c r="S59" s="2507"/>
      <c r="T59" s="2507"/>
      <c r="U59" s="2507"/>
      <c r="V59" s="2507"/>
      <c r="W59" s="2507"/>
      <c r="X59" s="2507"/>
      <c r="Y59" s="2507"/>
      <c r="Z59" s="2507"/>
      <c r="AA59" s="2507"/>
      <c r="AB59" s="2507"/>
      <c r="AC59" s="2507"/>
    </row>
    <row r="60" spans="1:29" s="100" customFormat="1" ht="15">
      <c r="A60" s="441"/>
      <c r="B60" s="442"/>
      <c r="C60" s="1098">
        <v>100</v>
      </c>
      <c r="D60" s="444"/>
      <c r="E60" s="444"/>
      <c r="F60" s="444"/>
      <c r="G60" s="444"/>
      <c r="H60" s="444"/>
      <c r="I60" s="444"/>
      <c r="J60" s="444"/>
      <c r="K60" s="444"/>
      <c r="L60" s="444"/>
      <c r="M60" s="445"/>
      <c r="N60" s="444"/>
      <c r="O60" s="445"/>
      <c r="P60" s="2525"/>
      <c r="Q60" s="2436"/>
      <c r="R60" s="2436"/>
      <c r="S60" s="2436"/>
      <c r="T60" s="2436"/>
      <c r="U60" s="2436"/>
      <c r="V60" s="2436"/>
      <c r="W60" s="2436"/>
      <c r="X60" s="2436"/>
      <c r="Y60" s="2436"/>
      <c r="Z60" s="2436"/>
      <c r="AA60" s="2436"/>
      <c r="AB60" s="2436"/>
      <c r="AC60" s="2436"/>
    </row>
    <row r="61" spans="1:29" s="100" customFormat="1" ht="15.75" thickBot="1">
      <c r="A61" s="447" t="s">
        <v>1716</v>
      </c>
      <c r="B61" s="448"/>
      <c r="C61" s="449"/>
      <c r="D61" s="450"/>
      <c r="E61" s="450"/>
      <c r="F61" s="450"/>
      <c r="G61" s="450"/>
      <c r="H61" s="450"/>
      <c r="I61" s="450"/>
      <c r="J61" s="450"/>
      <c r="K61" s="450"/>
      <c r="L61" s="450"/>
      <c r="M61" s="451"/>
      <c r="N61" s="450"/>
      <c r="O61" s="451"/>
      <c r="P61" s="2525"/>
      <c r="Q61" s="2505"/>
      <c r="R61" s="2436"/>
      <c r="S61" s="2436"/>
      <c r="T61" s="2436"/>
      <c r="U61" s="2436"/>
      <c r="V61" s="2436"/>
      <c r="W61" s="2436"/>
      <c r="X61" s="2436"/>
      <c r="Y61" s="2436"/>
      <c r="Z61" s="2436"/>
      <c r="AA61" s="2436"/>
      <c r="AB61" s="2436"/>
      <c r="AC61" s="2436"/>
    </row>
    <row r="62" spans="1:29" s="100" customFormat="1" ht="15">
      <c r="A62" s="453" t="s">
        <v>1681</v>
      </c>
      <c r="B62" s="442"/>
      <c r="C62" s="454" t="s">
        <v>1776</v>
      </c>
      <c r="D62" s="31"/>
      <c r="E62" s="31"/>
      <c r="F62" s="31"/>
      <c r="G62" s="31"/>
      <c r="H62" s="31"/>
      <c r="I62" s="31"/>
      <c r="J62" s="31"/>
      <c r="K62" s="31"/>
      <c r="L62" s="455"/>
      <c r="M62" s="456"/>
      <c r="N62" s="2517"/>
      <c r="O62" s="2517"/>
      <c r="P62" s="2526"/>
      <c r="Q62" s="2505"/>
      <c r="R62" s="2436"/>
      <c r="S62" s="2436"/>
      <c r="T62" s="2436"/>
      <c r="U62" s="2436"/>
      <c r="V62" s="2436"/>
      <c r="W62" s="2436"/>
      <c r="X62" s="2436"/>
      <c r="Y62" s="2436"/>
      <c r="Z62" s="2436"/>
      <c r="AA62" s="2436"/>
      <c r="AB62" s="2436"/>
      <c r="AC62" s="2436"/>
    </row>
    <row r="63" spans="1:29" s="100" customFormat="1" ht="15.75" thickBot="1">
      <c r="A63" s="453"/>
      <c r="B63" s="442"/>
      <c r="C63" s="443">
        <v>100</v>
      </c>
      <c r="D63" s="444"/>
      <c r="E63" s="444"/>
      <c r="F63" s="444"/>
      <c r="G63" s="444"/>
      <c r="H63" s="444"/>
      <c r="I63" s="444"/>
      <c r="J63" s="444"/>
      <c r="K63" s="444"/>
      <c r="L63" s="444"/>
      <c r="M63" s="446"/>
      <c r="N63" s="2517"/>
      <c r="O63" s="2517"/>
      <c r="P63" s="2525"/>
      <c r="Q63" s="2505"/>
      <c r="R63" s="2436"/>
      <c r="S63" s="2436"/>
      <c r="T63" s="2436"/>
      <c r="U63" s="2436"/>
      <c r="V63" s="2436"/>
      <c r="W63" s="2436"/>
      <c r="X63" s="2436"/>
      <c r="Y63" s="2436"/>
      <c r="Z63" s="2436"/>
      <c r="AA63" s="2436"/>
      <c r="AB63" s="2436"/>
      <c r="AC63" s="2436"/>
    </row>
    <row r="64" spans="1:29">
      <c r="A64" s="377" t="s">
        <v>1719</v>
      </c>
      <c r="B64" s="458" t="s">
        <v>1685</v>
      </c>
      <c r="C64" s="459">
        <f>C9</f>
        <v>0</v>
      </c>
      <c r="D64" s="460"/>
      <c r="E64" s="460"/>
      <c r="F64" s="460"/>
      <c r="G64" s="460"/>
      <c r="H64" s="460"/>
      <c r="I64" s="460"/>
      <c r="J64" s="460"/>
      <c r="K64" s="461"/>
      <c r="L64" s="462"/>
      <c r="M64" s="463"/>
      <c r="N64" s="2518"/>
      <c r="O64" s="2518"/>
      <c r="P64" s="2527"/>
      <c r="Q64" s="2505"/>
      <c r="R64" s="2484"/>
      <c r="S64" s="2484"/>
      <c r="T64" s="2484"/>
      <c r="U64" s="2484"/>
      <c r="V64" s="2484"/>
      <c r="W64" s="2484"/>
      <c r="X64" s="2484"/>
      <c r="Y64" s="2484"/>
      <c r="Z64" s="2484"/>
      <c r="AA64" s="2484"/>
      <c r="AB64" s="2484"/>
      <c r="AC64" s="2484"/>
    </row>
    <row r="65" spans="1:29" ht="15.75" thickBot="1">
      <c r="A65" s="365"/>
      <c r="B65" s="464"/>
      <c r="C65" s="465">
        <v>100</v>
      </c>
      <c r="D65" s="465"/>
      <c r="E65" s="465"/>
      <c r="F65" s="465"/>
      <c r="G65" s="465"/>
      <c r="H65" s="465"/>
      <c r="I65" s="465"/>
      <c r="J65" s="465"/>
      <c r="K65" s="465"/>
      <c r="L65" s="465"/>
      <c r="M65" s="466"/>
      <c r="N65" s="2519"/>
      <c r="O65" s="2519"/>
      <c r="P65" s="2527"/>
      <c r="Q65" s="2505"/>
      <c r="R65" s="2484"/>
      <c r="S65" s="2484"/>
      <c r="T65" s="2484"/>
      <c r="U65" s="2484"/>
      <c r="V65" s="2484"/>
      <c r="W65" s="2484"/>
      <c r="X65" s="2484"/>
      <c r="Y65" s="2484"/>
      <c r="Z65" s="2484"/>
      <c r="AA65" s="2484"/>
      <c r="AB65" s="2484"/>
      <c r="AC65" s="2484"/>
    </row>
    <row r="66" spans="1:29" ht="27.75" thickTop="1">
      <c r="A66" s="365"/>
      <c r="B66" s="467" t="s">
        <v>1688</v>
      </c>
      <c r="C66" s="511"/>
      <c r="D66" s="511"/>
      <c r="E66" s="511"/>
      <c r="F66" s="511"/>
      <c r="G66" s="511"/>
      <c r="H66" s="511"/>
      <c r="I66" s="511"/>
      <c r="J66" s="511"/>
      <c r="K66" s="512"/>
      <c r="L66" s="513"/>
      <c r="M66" s="514"/>
      <c r="N66" s="2518"/>
      <c r="O66" s="2518"/>
      <c r="P66" s="2527"/>
      <c r="Q66" s="2505"/>
      <c r="R66" s="2484"/>
      <c r="S66" s="2484"/>
      <c r="T66" s="2484"/>
      <c r="U66" s="2484"/>
      <c r="V66" s="2484"/>
      <c r="W66" s="2484"/>
      <c r="X66" s="2484"/>
      <c r="Y66" s="2484"/>
      <c r="Z66" s="2484"/>
      <c r="AA66" s="2484"/>
      <c r="AB66" s="2484"/>
      <c r="AC66" s="2484"/>
    </row>
    <row r="67" spans="1:29" ht="15.75" thickBot="1">
      <c r="A67" s="365"/>
      <c r="B67" s="472"/>
      <c r="C67" s="465"/>
      <c r="D67" s="465"/>
      <c r="E67" s="465"/>
      <c r="F67" s="465"/>
      <c r="G67" s="465"/>
      <c r="H67" s="465"/>
      <c r="I67" s="465"/>
      <c r="J67" s="465"/>
      <c r="K67" s="465"/>
      <c r="L67" s="465"/>
      <c r="M67" s="466"/>
      <c r="N67" s="2519"/>
      <c r="O67" s="2519"/>
      <c r="P67" s="2527"/>
      <c r="Q67" s="2505"/>
      <c r="R67" s="2484"/>
      <c r="S67" s="2484"/>
      <c r="T67" s="2484"/>
      <c r="U67" s="2484"/>
      <c r="V67" s="2484"/>
      <c r="W67" s="2484"/>
      <c r="X67" s="2484"/>
      <c r="Y67" s="2484"/>
      <c r="Z67" s="2484"/>
      <c r="AA67" s="2484"/>
      <c r="AB67" s="2484"/>
      <c r="AC67" s="2484"/>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5"/>
      <c r="B69" s="477"/>
      <c r="C69" s="478">
        <v>0</v>
      </c>
      <c r="D69" s="478">
        <v>3</v>
      </c>
      <c r="E69" s="478"/>
      <c r="F69" s="478"/>
      <c r="G69" s="478"/>
      <c r="H69" s="478"/>
      <c r="I69" s="478"/>
      <c r="J69" s="478"/>
      <c r="K69" s="479"/>
      <c r="L69" s="480"/>
      <c r="M69" s="481"/>
      <c r="N69" s="2518"/>
      <c r="O69" s="2518"/>
      <c r="P69" s="2527"/>
      <c r="Q69" s="2505"/>
      <c r="R69" s="2484"/>
      <c r="S69" s="2484"/>
      <c r="T69" s="2484"/>
      <c r="U69" s="2484"/>
      <c r="V69" s="2484"/>
      <c r="W69" s="2484"/>
      <c r="X69" s="2484"/>
      <c r="Y69" s="2484"/>
      <c r="Z69" s="2484"/>
      <c r="AA69" s="2484"/>
      <c r="AB69" s="2484"/>
      <c r="AC69" s="2484"/>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9"/>
      <c r="O70" s="2519"/>
      <c r="P70" s="2527"/>
      <c r="Q70" s="2505"/>
      <c r="R70" s="2484"/>
      <c r="S70" s="2484"/>
      <c r="T70" s="2484"/>
      <c r="U70" s="2484"/>
      <c r="V70" s="2484"/>
      <c r="W70" s="2484"/>
      <c r="X70" s="2484"/>
      <c r="Y70" s="2484"/>
      <c r="Z70" s="2484"/>
      <c r="AA70" s="2484"/>
      <c r="AB70" s="2484"/>
      <c r="AC70" s="2484"/>
    </row>
    <row r="71" spans="1:29" s="406" customFormat="1" ht="15.75" thickTop="1">
      <c r="A71" s="482"/>
      <c r="B71" s="467">
        <f>B12</f>
        <v>111</v>
      </c>
      <c r="C71" s="483"/>
      <c r="D71" s="483"/>
      <c r="E71" s="483"/>
      <c r="F71" s="483"/>
      <c r="G71" s="483"/>
      <c r="H71" s="484"/>
      <c r="I71" s="484"/>
      <c r="J71" s="484"/>
      <c r="K71" s="484"/>
      <c r="L71" s="485"/>
      <c r="M71" s="486"/>
      <c r="N71" s="2520"/>
      <c r="O71" s="2520"/>
      <c r="P71" s="2528"/>
      <c r="Q71" s="2512"/>
      <c r="R71" s="2490"/>
      <c r="S71" s="2490"/>
      <c r="T71" s="2490"/>
      <c r="U71" s="2490"/>
      <c r="V71" s="2490"/>
      <c r="W71" s="2490"/>
      <c r="X71" s="2490"/>
      <c r="Y71" s="2490"/>
      <c r="Z71" s="2490"/>
      <c r="AA71" s="2490"/>
      <c r="AB71" s="2490"/>
      <c r="AC71" s="2490"/>
    </row>
    <row r="72" spans="1:29" s="406" customFormat="1" ht="15.75" thickBot="1">
      <c r="A72" s="482"/>
      <c r="B72" s="472"/>
      <c r="C72" s="489"/>
      <c r="D72" s="465"/>
      <c r="E72" s="465"/>
      <c r="F72" s="465"/>
      <c r="G72" s="465"/>
      <c r="H72" s="465"/>
      <c r="I72" s="465"/>
      <c r="J72" s="465"/>
      <c r="K72" s="465"/>
      <c r="L72" s="465"/>
      <c r="M72" s="466"/>
      <c r="N72" s="2519"/>
      <c r="O72" s="2519"/>
      <c r="P72" s="2528"/>
      <c r="Q72" s="2512"/>
      <c r="R72" s="2490"/>
      <c r="S72" s="2490"/>
      <c r="T72" s="2490"/>
      <c r="U72" s="2490"/>
      <c r="V72" s="2490"/>
      <c r="W72" s="2490"/>
      <c r="X72" s="2490"/>
      <c r="Y72" s="2490"/>
      <c r="Z72" s="2490"/>
      <c r="AA72" s="2490"/>
      <c r="AB72" s="2490"/>
      <c r="AC72" s="2490"/>
    </row>
    <row r="73" spans="1:29" s="406" customFormat="1" ht="15.75" thickTop="1">
      <c r="A73" s="482"/>
      <c r="B73" s="467">
        <f>B13</f>
        <v>111</v>
      </c>
      <c r="C73" s="483"/>
      <c r="D73" s="483"/>
      <c r="E73" s="483"/>
      <c r="F73" s="483"/>
      <c r="G73" s="483"/>
      <c r="H73" s="484"/>
      <c r="I73" s="484"/>
      <c r="J73" s="484"/>
      <c r="K73" s="484"/>
      <c r="L73" s="485"/>
      <c r="M73" s="486"/>
      <c r="N73" s="2520"/>
      <c r="O73" s="2520"/>
      <c r="P73" s="2529"/>
      <c r="Q73" s="2514"/>
      <c r="R73" s="2490"/>
      <c r="S73" s="2490"/>
      <c r="T73" s="2490"/>
      <c r="U73" s="2490"/>
      <c r="V73" s="2490"/>
      <c r="W73" s="2490"/>
      <c r="X73" s="2490"/>
      <c r="Y73" s="2490"/>
      <c r="Z73" s="2490"/>
      <c r="AA73" s="2490"/>
      <c r="AB73" s="2490"/>
      <c r="AC73" s="2490"/>
    </row>
    <row r="74" spans="1:29" s="406" customFormat="1" ht="15.75" thickBot="1">
      <c r="A74" s="482"/>
      <c r="B74" s="472"/>
      <c r="C74" s="489"/>
      <c r="D74" s="489"/>
      <c r="E74" s="489"/>
      <c r="F74" s="489"/>
      <c r="G74" s="489"/>
      <c r="H74" s="491"/>
      <c r="I74" s="491"/>
      <c r="J74" s="491"/>
      <c r="K74" s="491"/>
      <c r="L74" s="491"/>
      <c r="M74" s="492"/>
      <c r="N74" s="2520"/>
      <c r="O74" s="2520"/>
      <c r="P74" s="2528"/>
      <c r="Q74" s="2512"/>
      <c r="R74" s="2490"/>
      <c r="S74" s="2490"/>
      <c r="T74" s="2490"/>
      <c r="U74" s="2490"/>
      <c r="V74" s="2490"/>
      <c r="W74" s="2490"/>
      <c r="X74" s="2490"/>
      <c r="Y74" s="2490"/>
      <c r="Z74" s="2490"/>
      <c r="AA74" s="2490"/>
      <c r="AB74" s="2490"/>
      <c r="AC74" s="2490"/>
    </row>
    <row r="75" spans="1:29" s="406" customFormat="1" ht="15.75" thickTop="1">
      <c r="A75" s="482"/>
      <c r="B75" s="475">
        <f>B14</f>
        <v>111</v>
      </c>
      <c r="C75" s="31"/>
      <c r="D75" s="31"/>
      <c r="E75" s="31"/>
      <c r="F75" s="31"/>
      <c r="G75" s="31"/>
      <c r="H75" s="493"/>
      <c r="I75" s="493"/>
      <c r="J75" s="493"/>
      <c r="K75" s="493"/>
      <c r="L75" s="494"/>
      <c r="M75" s="495"/>
      <c r="N75" s="2520"/>
      <c r="O75" s="2520"/>
      <c r="P75" s="2530"/>
      <c r="Q75" s="2512"/>
      <c r="R75" s="2490"/>
      <c r="S75" s="2490"/>
      <c r="T75" s="2490"/>
      <c r="U75" s="2490"/>
      <c r="V75" s="2490"/>
      <c r="W75" s="2490"/>
      <c r="X75" s="2490"/>
      <c r="Y75" s="2490"/>
      <c r="Z75" s="2490"/>
      <c r="AA75" s="2490"/>
      <c r="AB75" s="2490"/>
      <c r="AC75" s="2490"/>
    </row>
    <row r="76" spans="1:29" s="406" customFormat="1" ht="15.75" thickBot="1">
      <c r="A76" s="497"/>
      <c r="B76" s="498"/>
      <c r="C76" s="499"/>
      <c r="D76" s="499"/>
      <c r="E76" s="499"/>
      <c r="F76" s="499"/>
      <c r="G76" s="499"/>
      <c r="H76" s="500"/>
      <c r="I76" s="500"/>
      <c r="J76" s="500"/>
      <c r="K76" s="500"/>
      <c r="L76" s="500"/>
      <c r="M76" s="501"/>
      <c r="N76" s="2520"/>
      <c r="O76" s="2520"/>
      <c r="P76" s="2528"/>
      <c r="Q76" s="2512"/>
      <c r="R76" s="2490"/>
      <c r="S76" s="2490"/>
      <c r="T76" s="2490"/>
      <c r="U76" s="2490"/>
      <c r="V76" s="2490"/>
      <c r="W76" s="2490"/>
      <c r="X76" s="2490"/>
      <c r="Y76" s="2490"/>
      <c r="Z76" s="2490"/>
      <c r="AA76" s="2490"/>
      <c r="AB76" s="2490"/>
      <c r="AC76" s="2490"/>
    </row>
    <row r="77" spans="1:29">
      <c r="A77" s="377" t="s">
        <v>1690</v>
      </c>
      <c r="B77" s="458" t="s">
        <v>1821</v>
      </c>
      <c r="C77" s="502" t="s">
        <v>1721</v>
      </c>
      <c r="D77" s="502" t="s">
        <v>1722</v>
      </c>
      <c r="E77" s="502" t="s">
        <v>1723</v>
      </c>
      <c r="F77" s="502" t="s">
        <v>1724</v>
      </c>
      <c r="G77" s="502" t="s">
        <v>1725</v>
      </c>
      <c r="H77" s="459"/>
      <c r="I77" s="459"/>
      <c r="J77" s="459"/>
      <c r="K77" s="503"/>
      <c r="L77" s="504"/>
      <c r="M77" s="505"/>
      <c r="N77" s="2518"/>
      <c r="O77" s="2518"/>
      <c r="P77" s="2531"/>
      <c r="Q77" s="2505"/>
      <c r="R77" s="2484"/>
      <c r="S77" s="2484"/>
      <c r="T77" s="2484"/>
      <c r="U77" s="2484"/>
      <c r="V77" s="2484"/>
      <c r="W77" s="2484"/>
      <c r="X77" s="2484"/>
      <c r="Y77" s="2484"/>
      <c r="Z77" s="2484"/>
      <c r="AA77" s="2484"/>
      <c r="AB77" s="2484"/>
      <c r="AC77" s="2484"/>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9"/>
      <c r="O78" s="2519"/>
      <c r="P78" s="2527"/>
      <c r="Q78" s="2505"/>
      <c r="R78" s="2484"/>
      <c r="S78" s="2484"/>
      <c r="T78" s="2484"/>
      <c r="U78" s="2484"/>
      <c r="V78" s="2484"/>
      <c r="W78" s="2484"/>
      <c r="X78" s="2484"/>
      <c r="Y78" s="2484"/>
      <c r="Z78" s="2484"/>
      <c r="AA78" s="2484"/>
      <c r="AB78" s="2484"/>
      <c r="AC78" s="2484"/>
    </row>
    <row r="79" spans="1:29" ht="15.75" thickTop="1">
      <c r="A79" s="365"/>
      <c r="B79" s="467" t="s">
        <v>1726</v>
      </c>
      <c r="C79" s="507" t="s">
        <v>1721</v>
      </c>
      <c r="D79" s="507" t="s">
        <v>1722</v>
      </c>
      <c r="E79" s="507" t="s">
        <v>1723</v>
      </c>
      <c r="F79" s="507" t="s">
        <v>1724</v>
      </c>
      <c r="G79" s="507" t="s">
        <v>1725</v>
      </c>
      <c r="H79" s="468"/>
      <c r="I79" s="468"/>
      <c r="J79" s="468"/>
      <c r="K79" s="469"/>
      <c r="L79" s="470"/>
      <c r="M79" s="471"/>
      <c r="N79" s="2518"/>
      <c r="O79" s="2518"/>
      <c r="P79" s="2527"/>
      <c r="Q79" s="2505"/>
      <c r="R79" s="2484"/>
      <c r="S79" s="2484"/>
      <c r="T79" s="2484"/>
      <c r="U79" s="2484"/>
      <c r="V79" s="2484"/>
      <c r="W79" s="2484"/>
      <c r="X79" s="2484"/>
      <c r="Y79" s="2484"/>
      <c r="Z79" s="2484"/>
      <c r="AA79" s="2484"/>
      <c r="AB79" s="2484"/>
      <c r="AC79" s="2484"/>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9"/>
      <c r="O80" s="2519"/>
      <c r="P80" s="2527"/>
      <c r="Q80" s="2505"/>
      <c r="R80" s="2484"/>
      <c r="S80" s="2484"/>
      <c r="T80" s="2484"/>
      <c r="U80" s="2484"/>
      <c r="V80" s="2484"/>
      <c r="W80" s="2484"/>
      <c r="X80" s="2484"/>
      <c r="Y80" s="2484"/>
      <c r="Z80" s="2484"/>
      <c r="AA80" s="2484"/>
      <c r="AB80" s="2484"/>
      <c r="AC80" s="2484"/>
    </row>
    <row r="81" spans="1:29" ht="15.75" thickTop="1">
      <c r="A81" s="365"/>
      <c r="B81" s="467" t="s">
        <v>1727</v>
      </c>
      <c r="C81" s="507" t="s">
        <v>1721</v>
      </c>
      <c r="D81" s="507" t="s">
        <v>1722</v>
      </c>
      <c r="E81" s="507" t="s">
        <v>1723</v>
      </c>
      <c r="F81" s="507" t="s">
        <v>1724</v>
      </c>
      <c r="G81" s="507" t="s">
        <v>1725</v>
      </c>
      <c r="H81" s="468"/>
      <c r="I81" s="468"/>
      <c r="J81" s="468"/>
      <c r="K81" s="469"/>
      <c r="L81" s="470"/>
      <c r="M81" s="471"/>
      <c r="N81" s="2518"/>
      <c r="O81" s="2518"/>
      <c r="P81" s="2527"/>
      <c r="Q81" s="2505"/>
      <c r="R81" s="2484"/>
      <c r="S81" s="2484"/>
      <c r="T81" s="2484"/>
      <c r="U81" s="2484"/>
      <c r="V81" s="2484"/>
      <c r="W81" s="2484"/>
      <c r="X81" s="2484"/>
      <c r="Y81" s="2484"/>
      <c r="Z81" s="2484"/>
      <c r="AA81" s="2484"/>
      <c r="AB81" s="2484"/>
      <c r="AC81" s="2484"/>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9"/>
      <c r="O82" s="2519"/>
      <c r="P82" s="2527"/>
      <c r="Q82" s="2505"/>
      <c r="R82" s="2484"/>
      <c r="S82" s="2484"/>
      <c r="T82" s="2484"/>
      <c r="U82" s="2484"/>
      <c r="V82" s="2484"/>
      <c r="W82" s="2484"/>
      <c r="X82" s="2484"/>
      <c r="Y82" s="2484"/>
      <c r="Z82" s="2484"/>
      <c r="AA82" s="2484"/>
      <c r="AB82" s="2484"/>
      <c r="AC82" s="2484"/>
    </row>
    <row r="83" spans="1:29" ht="15.75" thickTop="1">
      <c r="A83" s="365"/>
      <c r="B83" s="475" t="s">
        <v>1813</v>
      </c>
      <c r="C83" s="579" t="s">
        <v>1799</v>
      </c>
      <c r="D83" s="579" t="s">
        <v>1800</v>
      </c>
      <c r="E83" s="579" t="s">
        <v>1801</v>
      </c>
      <c r="F83" s="579" t="s">
        <v>1802</v>
      </c>
      <c r="G83" s="579" t="s">
        <v>1803</v>
      </c>
      <c r="H83" s="468"/>
      <c r="I83" s="468"/>
      <c r="J83" s="468"/>
      <c r="K83" s="468"/>
      <c r="L83" s="468"/>
      <c r="M83" s="1059"/>
      <c r="N83" s="2519"/>
      <c r="O83" s="2519"/>
      <c r="P83" s="2527"/>
      <c r="Q83" s="2505"/>
      <c r="R83" s="2484"/>
      <c r="S83" s="2484"/>
      <c r="T83" s="2484"/>
      <c r="U83" s="2484"/>
      <c r="V83" s="2484"/>
      <c r="W83" s="2484"/>
      <c r="X83" s="2484"/>
      <c r="Y83" s="2484"/>
      <c r="Z83" s="2484"/>
      <c r="AA83" s="2484"/>
      <c r="AB83" s="2484"/>
      <c r="AC83" s="2484"/>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9"/>
      <c r="O84" s="2519"/>
      <c r="P84" s="2527"/>
      <c r="Q84" s="2505"/>
      <c r="R84" s="2484"/>
      <c r="S84" s="2484"/>
      <c r="T84" s="2484"/>
      <c r="U84" s="2484"/>
      <c r="V84" s="2484"/>
      <c r="W84" s="2484"/>
      <c r="X84" s="2484"/>
      <c r="Y84" s="2484"/>
      <c r="Z84" s="2484"/>
      <c r="AA84" s="2484"/>
      <c r="AB84" s="2484"/>
      <c r="AC84" s="2484"/>
    </row>
    <row r="85" spans="1:29" ht="15.75" thickTop="1">
      <c r="A85" s="365"/>
      <c r="B85" s="467" t="s">
        <v>1822</v>
      </c>
      <c r="C85" s="507" t="s">
        <v>1721</v>
      </c>
      <c r="D85" s="507" t="s">
        <v>1722</v>
      </c>
      <c r="E85" s="507" t="s">
        <v>1723</v>
      </c>
      <c r="F85" s="507" t="s">
        <v>1724</v>
      </c>
      <c r="G85" s="507" t="s">
        <v>1725</v>
      </c>
      <c r="H85" s="468"/>
      <c r="I85" s="468"/>
      <c r="J85" s="468"/>
      <c r="K85" s="469"/>
      <c r="L85" s="470"/>
      <c r="M85" s="471"/>
      <c r="N85" s="2518"/>
      <c r="O85" s="2518"/>
      <c r="P85" s="2527"/>
      <c r="Q85" s="2505"/>
      <c r="R85" s="2484"/>
      <c r="S85" s="2484"/>
      <c r="T85" s="2484"/>
      <c r="U85" s="2484"/>
      <c r="V85" s="2484"/>
      <c r="W85" s="2484"/>
      <c r="X85" s="2484"/>
      <c r="Y85" s="2484"/>
      <c r="Z85" s="2484"/>
      <c r="AA85" s="2484"/>
      <c r="AB85" s="2484"/>
      <c r="AC85" s="2484"/>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9"/>
      <c r="O86" s="2519"/>
      <c r="P86" s="2527"/>
      <c r="Q86" s="2505"/>
      <c r="R86" s="2484"/>
      <c r="S86" s="2484"/>
      <c r="T86" s="2484"/>
      <c r="U86" s="2484"/>
      <c r="V86" s="2484"/>
      <c r="W86" s="2484"/>
      <c r="X86" s="2484"/>
      <c r="Y86" s="2484"/>
      <c r="Z86" s="2484"/>
      <c r="AA86" s="2484"/>
      <c r="AB86" s="2484"/>
      <c r="AC86" s="2484"/>
    </row>
    <row r="87" spans="1:29" s="100" customFormat="1" ht="27.75" thickTop="1">
      <c r="A87" s="368"/>
      <c r="B87" s="467" t="s">
        <v>1823</v>
      </c>
      <c r="C87" s="483"/>
      <c r="D87" s="483"/>
      <c r="E87" s="483"/>
      <c r="F87" s="483"/>
      <c r="G87" s="483"/>
      <c r="H87" s="483"/>
      <c r="I87" s="483"/>
      <c r="J87" s="483"/>
      <c r="K87" s="483"/>
      <c r="L87" s="508"/>
      <c r="M87" s="509"/>
      <c r="N87" s="2517"/>
      <c r="O87" s="2517"/>
      <c r="P87" s="2527"/>
      <c r="Q87" s="2505"/>
      <c r="R87" s="2436"/>
      <c r="S87" s="2436"/>
      <c r="T87" s="2436"/>
      <c r="U87" s="2436"/>
      <c r="V87" s="2436"/>
      <c r="W87" s="2436"/>
      <c r="X87" s="2436"/>
      <c r="Y87" s="2436"/>
      <c r="Z87" s="2436"/>
      <c r="AA87" s="2436"/>
      <c r="AB87" s="2436"/>
      <c r="AC87" s="2436"/>
    </row>
    <row r="88" spans="1:29" s="100"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9"/>
      <c r="O88" s="2519"/>
      <c r="P88" s="2527"/>
      <c r="Q88" s="2505"/>
      <c r="R88" s="2436"/>
      <c r="S88" s="2436"/>
      <c r="T88" s="2436"/>
      <c r="U88" s="2436"/>
      <c r="V88" s="2436"/>
      <c r="W88" s="2436"/>
      <c r="X88" s="2436"/>
      <c r="Y88" s="2436"/>
      <c r="Z88" s="2436"/>
      <c r="AA88" s="2436"/>
      <c r="AB88" s="2436"/>
      <c r="AC88" s="2436"/>
    </row>
    <row r="89" spans="1:29" s="100" customFormat="1" ht="15.75" thickTop="1">
      <c r="A89" s="368"/>
      <c r="B89" s="467" t="str">
        <f>B27</f>
        <v>楼层</v>
      </c>
      <c r="C89" s="483"/>
      <c r="D89" s="483"/>
      <c r="E89" s="483"/>
      <c r="F89" s="1776"/>
      <c r="G89" s="483"/>
      <c r="H89" s="483"/>
      <c r="I89" s="483"/>
      <c r="J89" s="483"/>
      <c r="K89" s="483"/>
      <c r="L89" s="483"/>
      <c r="M89" s="509"/>
      <c r="N89" s="2517"/>
      <c r="O89" s="2517"/>
      <c r="P89" s="2527"/>
      <c r="Q89" s="2505"/>
      <c r="R89" s="2436"/>
      <c r="S89" s="2436"/>
      <c r="T89" s="2436"/>
      <c r="U89" s="2436"/>
      <c r="V89" s="2436"/>
      <c r="W89" s="2436"/>
      <c r="X89" s="2436"/>
      <c r="Y89" s="2436"/>
      <c r="Z89" s="2436"/>
      <c r="AA89" s="2436"/>
      <c r="AB89" s="2436"/>
      <c r="AC89" s="2436"/>
    </row>
    <row r="90" spans="1:29" s="100"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9"/>
      <c r="O90" s="2519"/>
      <c r="P90" s="2527"/>
      <c r="Q90" s="2505"/>
      <c r="R90" s="2436"/>
      <c r="S90" s="2436"/>
      <c r="T90" s="2436"/>
      <c r="U90" s="2436"/>
      <c r="V90" s="2436"/>
      <c r="W90" s="2436"/>
      <c r="X90" s="2436"/>
      <c r="Y90" s="2436"/>
      <c r="Z90" s="2436"/>
      <c r="AA90" s="2436"/>
      <c r="AB90" s="2436"/>
      <c r="AC90" s="2436"/>
    </row>
    <row r="91" spans="1:29" s="406" customFormat="1" ht="15.75" thickTop="1">
      <c r="A91" s="482"/>
      <c r="B91" s="467" t="str">
        <f>B28</f>
        <v>朝向</v>
      </c>
      <c r="C91" s="483"/>
      <c r="D91" s="483"/>
      <c r="E91" s="483"/>
      <c r="F91" s="483"/>
      <c r="G91" s="483"/>
      <c r="H91" s="484"/>
      <c r="I91" s="484"/>
      <c r="J91" s="484"/>
      <c r="K91" s="484"/>
      <c r="L91" s="485"/>
      <c r="M91" s="486"/>
      <c r="N91" s="2520"/>
      <c r="O91" s="2520"/>
      <c r="P91" s="2528"/>
      <c r="Q91" s="2512"/>
      <c r="R91" s="2490"/>
      <c r="S91" s="2490"/>
      <c r="T91" s="2490"/>
      <c r="U91" s="2490"/>
      <c r="V91" s="2490"/>
      <c r="W91" s="2490"/>
      <c r="X91" s="2490"/>
      <c r="Y91" s="2490"/>
      <c r="Z91" s="2490"/>
      <c r="AA91" s="2490"/>
      <c r="AB91" s="2490"/>
      <c r="AC91" s="2490"/>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5"/>
      <c r="B93" s="467">
        <f>B29</f>
        <v>111</v>
      </c>
      <c r="C93" s="483"/>
      <c r="D93" s="483"/>
      <c r="E93" s="483"/>
      <c r="F93" s="483"/>
      <c r="G93" s="483"/>
      <c r="H93" s="483"/>
      <c r="I93" s="483"/>
      <c r="J93" s="483"/>
      <c r="K93" s="483"/>
      <c r="L93" s="508"/>
      <c r="M93" s="509"/>
      <c r="N93" s="2518"/>
      <c r="O93" s="2518"/>
      <c r="P93" s="2527"/>
      <c r="Q93" s="2505"/>
      <c r="R93" s="2484"/>
      <c r="S93" s="2484"/>
      <c r="T93" s="2484"/>
      <c r="U93" s="2484"/>
      <c r="V93" s="2484"/>
      <c r="W93" s="2484"/>
      <c r="X93" s="2484"/>
      <c r="Y93" s="2484"/>
      <c r="Z93" s="2484"/>
      <c r="AA93" s="2484"/>
      <c r="AB93" s="2484"/>
      <c r="AC93" s="2484"/>
    </row>
    <row r="94" spans="1:29" ht="15.75" thickBot="1">
      <c r="A94" s="365"/>
      <c r="B94" s="472"/>
      <c r="C94" s="489"/>
      <c r="D94" s="465"/>
      <c r="E94" s="465"/>
      <c r="F94" s="465"/>
      <c r="G94" s="465"/>
      <c r="H94" s="465"/>
      <c r="I94" s="465"/>
      <c r="J94" s="465"/>
      <c r="K94" s="465"/>
      <c r="L94" s="465"/>
      <c r="M94" s="466"/>
      <c r="N94" s="2519"/>
      <c r="O94" s="2519"/>
      <c r="P94" s="2527"/>
      <c r="Q94" s="2505"/>
      <c r="R94" s="2484"/>
      <c r="S94" s="2484"/>
      <c r="T94" s="2484"/>
      <c r="U94" s="2484"/>
      <c r="V94" s="2484"/>
      <c r="W94" s="2484"/>
      <c r="X94" s="2484"/>
      <c r="Y94" s="2484"/>
      <c r="Z94" s="2484"/>
      <c r="AA94" s="2484"/>
      <c r="AB94" s="2484"/>
      <c r="AC94" s="2484"/>
    </row>
    <row r="95" spans="1:29" ht="15.75" thickTop="1">
      <c r="A95" s="365"/>
      <c r="B95" s="467">
        <f>B30</f>
        <v>111</v>
      </c>
      <c r="C95" s="483"/>
      <c r="D95" s="483"/>
      <c r="E95" s="483"/>
      <c r="F95" s="483"/>
      <c r="G95" s="511"/>
      <c r="H95" s="511"/>
      <c r="I95" s="511"/>
      <c r="J95" s="511"/>
      <c r="K95" s="512"/>
      <c r="L95" s="513"/>
      <c r="M95" s="514"/>
      <c r="N95" s="2518"/>
      <c r="O95" s="2518"/>
      <c r="P95" s="2527"/>
      <c r="Q95" s="2505"/>
      <c r="R95" s="2484"/>
      <c r="S95" s="2484"/>
      <c r="T95" s="2484"/>
      <c r="U95" s="2484"/>
      <c r="V95" s="2484"/>
      <c r="W95" s="2484"/>
      <c r="X95" s="2484"/>
      <c r="Y95" s="2484"/>
      <c r="Z95" s="2484"/>
      <c r="AA95" s="2484"/>
      <c r="AB95" s="2484"/>
      <c r="AC95" s="2484"/>
    </row>
    <row r="96" spans="1:29" ht="15.75" thickBot="1">
      <c r="A96" s="365"/>
      <c r="B96" s="472"/>
      <c r="C96" s="489"/>
      <c r="D96" s="489"/>
      <c r="E96" s="489"/>
      <c r="F96" s="489"/>
      <c r="G96" s="465"/>
      <c r="H96" s="465"/>
      <c r="I96" s="465"/>
      <c r="J96" s="465"/>
      <c r="K96" s="465"/>
      <c r="L96" s="465"/>
      <c r="M96" s="466"/>
      <c r="N96" s="2519"/>
      <c r="O96" s="2519"/>
      <c r="P96" s="2527"/>
      <c r="Q96" s="2505"/>
      <c r="R96" s="2484"/>
      <c r="S96" s="2484"/>
      <c r="T96" s="2484"/>
      <c r="U96" s="2484"/>
      <c r="V96" s="2484"/>
      <c r="W96" s="2484"/>
      <c r="X96" s="2484"/>
      <c r="Y96" s="2484"/>
      <c r="Z96" s="2484"/>
      <c r="AA96" s="2484"/>
      <c r="AB96" s="2484"/>
      <c r="AC96" s="2484"/>
    </row>
    <row r="97" spans="1:29" ht="15.75" thickTop="1">
      <c r="A97" s="365"/>
      <c r="B97" s="467">
        <f>B31</f>
        <v>111</v>
      </c>
      <c r="C97" s="483"/>
      <c r="D97" s="483"/>
      <c r="E97" s="483"/>
      <c r="F97" s="483"/>
      <c r="G97" s="511"/>
      <c r="H97" s="511"/>
      <c r="I97" s="511"/>
      <c r="J97" s="511"/>
      <c r="K97" s="512"/>
      <c r="L97" s="513"/>
      <c r="M97" s="514"/>
      <c r="N97" s="2518"/>
      <c r="O97" s="2518"/>
      <c r="P97" s="2527"/>
      <c r="Q97" s="2505"/>
      <c r="R97" s="2484"/>
      <c r="S97" s="2484"/>
      <c r="T97" s="2484"/>
      <c r="U97" s="2484"/>
      <c r="V97" s="2484"/>
      <c r="W97" s="2484"/>
      <c r="X97" s="2484"/>
      <c r="Y97" s="2484"/>
      <c r="Z97" s="2484"/>
      <c r="AA97" s="2484"/>
      <c r="AB97" s="2484"/>
      <c r="AC97" s="2484"/>
    </row>
    <row r="98" spans="1:29" ht="15.75" thickBot="1">
      <c r="A98" s="365"/>
      <c r="B98" s="472"/>
      <c r="C98" s="489"/>
      <c r="D98" s="465"/>
      <c r="E98" s="465"/>
      <c r="F98" s="465"/>
      <c r="G98" s="465"/>
      <c r="H98" s="465"/>
      <c r="I98" s="465"/>
      <c r="J98" s="465"/>
      <c r="K98" s="465"/>
      <c r="L98" s="465"/>
      <c r="M98" s="466"/>
      <c r="N98" s="2519"/>
      <c r="O98" s="2519"/>
      <c r="P98" s="2527"/>
      <c r="Q98" s="2505"/>
      <c r="R98" s="2484"/>
      <c r="S98" s="2484"/>
      <c r="T98" s="2484"/>
      <c r="U98" s="2484"/>
      <c r="V98" s="2484"/>
      <c r="W98" s="2484"/>
      <c r="X98" s="2484"/>
      <c r="Y98" s="2484"/>
      <c r="Z98" s="2484"/>
      <c r="AA98" s="2484"/>
      <c r="AB98" s="2484"/>
      <c r="AC98" s="2484"/>
    </row>
    <row r="99" spans="1:29" ht="15.75" thickTop="1">
      <c r="A99" s="365"/>
      <c r="B99" s="475">
        <f>B32</f>
        <v>111</v>
      </c>
      <c r="C99" s="31"/>
      <c r="D99" s="31"/>
      <c r="E99" s="31"/>
      <c r="F99" s="31"/>
      <c r="G99" s="515"/>
      <c r="H99" s="515"/>
      <c r="I99" s="515"/>
      <c r="J99" s="515"/>
      <c r="K99" s="516"/>
      <c r="L99" s="517"/>
      <c r="M99" s="518"/>
      <c r="N99" s="2518"/>
      <c r="O99" s="2518"/>
      <c r="P99" s="2527"/>
      <c r="Q99" s="2505"/>
      <c r="R99" s="2484"/>
      <c r="S99" s="2484"/>
      <c r="T99" s="2484"/>
      <c r="U99" s="2484"/>
      <c r="V99" s="2484"/>
      <c r="W99" s="2484"/>
      <c r="X99" s="2484"/>
      <c r="Y99" s="2484"/>
      <c r="Z99" s="2484"/>
      <c r="AA99" s="2484"/>
      <c r="AB99" s="2484"/>
      <c r="AC99" s="2484"/>
    </row>
    <row r="100" spans="1:29" ht="15.75" thickBot="1">
      <c r="A100" s="373"/>
      <c r="B100" s="498"/>
      <c r="C100" s="499"/>
      <c r="D100" s="499"/>
      <c r="E100" s="499"/>
      <c r="F100" s="499"/>
      <c r="G100" s="519"/>
      <c r="H100" s="519"/>
      <c r="I100" s="519"/>
      <c r="J100" s="519"/>
      <c r="K100" s="519"/>
      <c r="L100" s="519"/>
      <c r="M100" s="520"/>
      <c r="N100" s="2519"/>
      <c r="O100" s="2519"/>
      <c r="P100" s="2527"/>
      <c r="Q100" s="2505"/>
      <c r="R100" s="2484"/>
      <c r="S100" s="2484"/>
      <c r="T100" s="2484"/>
      <c r="U100" s="2484"/>
      <c r="V100" s="2484"/>
      <c r="W100" s="2484"/>
      <c r="X100" s="2484"/>
      <c r="Y100" s="2484"/>
      <c r="Z100" s="2484"/>
      <c r="AA100" s="2484"/>
      <c r="AB100" s="2484"/>
      <c r="AC100" s="2484"/>
    </row>
    <row r="101" spans="1:29">
      <c r="A101" s="377" t="s">
        <v>1694</v>
      </c>
      <c r="B101" s="458" t="s">
        <v>1736</v>
      </c>
      <c r="C101" s="460"/>
      <c r="D101" s="460"/>
      <c r="E101" s="460"/>
      <c r="F101" s="460"/>
      <c r="G101" s="460"/>
      <c r="H101" s="460"/>
      <c r="I101" s="460"/>
      <c r="J101" s="460"/>
      <c r="K101" s="461"/>
      <c r="L101" s="462"/>
      <c r="M101" s="463"/>
      <c r="N101" s="2518"/>
      <c r="O101" s="2518"/>
      <c r="P101" s="2527"/>
      <c r="Q101" s="2505"/>
      <c r="R101" s="2484"/>
      <c r="S101" s="2484"/>
      <c r="T101" s="2484"/>
      <c r="U101" s="2484"/>
      <c r="V101" s="2484"/>
      <c r="W101" s="2484"/>
      <c r="X101" s="2484"/>
      <c r="Y101" s="2484"/>
      <c r="Z101" s="2484"/>
      <c r="AA101" s="2484"/>
      <c r="AB101" s="2484"/>
      <c r="AC101" s="2484"/>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6" customFormat="1">
      <c r="A104" s="404"/>
      <c r="B104" s="521"/>
      <c r="C104" s="6"/>
      <c r="D104" s="6"/>
      <c r="E104" s="6"/>
      <c r="F104" s="6"/>
      <c r="G104" s="6"/>
      <c r="H104" s="6"/>
      <c r="I104" s="6"/>
      <c r="J104" s="522"/>
      <c r="K104" s="522"/>
      <c r="L104" s="523"/>
      <c r="M104" s="524"/>
      <c r="N104" s="2520"/>
      <c r="O104" s="2520"/>
      <c r="P104" s="2528"/>
      <c r="Q104" s="2512"/>
      <c r="R104" s="2490"/>
      <c r="S104" s="2490"/>
      <c r="T104" s="2490"/>
      <c r="U104" s="2490"/>
      <c r="V104" s="2490"/>
      <c r="W104" s="2490"/>
      <c r="X104" s="2490"/>
      <c r="Y104" s="2490"/>
      <c r="Z104" s="2490"/>
      <c r="AA104" s="2490"/>
      <c r="AB104" s="2490"/>
      <c r="AC104" s="2490"/>
    </row>
    <row r="105" spans="1:29" s="406" customFormat="1" ht="15.75" thickBot="1">
      <c r="A105" s="482"/>
      <c r="B105" s="472"/>
      <c r="C105" s="489"/>
      <c r="D105" s="465"/>
      <c r="E105" s="465"/>
      <c r="F105" s="465"/>
      <c r="G105" s="465"/>
      <c r="H105" s="465"/>
      <c r="I105" s="465"/>
      <c r="J105" s="465"/>
      <c r="K105" s="465"/>
      <c r="L105" s="465"/>
      <c r="M105" s="466"/>
      <c r="N105" s="2519"/>
      <c r="O105" s="2519"/>
      <c r="P105" s="2528"/>
      <c r="Q105" s="2512"/>
      <c r="R105" s="2490"/>
      <c r="S105" s="2490"/>
      <c r="T105" s="2490"/>
      <c r="U105" s="2490"/>
      <c r="V105" s="2490"/>
      <c r="W105" s="2490"/>
      <c r="X105" s="2490"/>
      <c r="Y105" s="2490"/>
      <c r="Z105" s="2490"/>
      <c r="AA105" s="2490"/>
      <c r="AB105" s="2490"/>
      <c r="AC105" s="2490"/>
    </row>
    <row r="106" spans="1:29" ht="15" thickTop="1">
      <c r="A106" s="407"/>
      <c r="B106" s="467" t="s">
        <v>1738</v>
      </c>
      <c r="C106" s="483"/>
      <c r="D106" s="483"/>
      <c r="E106" s="511"/>
      <c r="F106" s="511"/>
      <c r="G106" s="511"/>
      <c r="H106" s="511"/>
      <c r="I106" s="511"/>
      <c r="J106" s="511"/>
      <c r="K106" s="512"/>
      <c r="L106" s="513"/>
      <c r="M106" s="514"/>
      <c r="N106" s="2518"/>
      <c r="O106" s="2518"/>
      <c r="P106" s="2527"/>
      <c r="Q106" s="2505"/>
      <c r="R106" s="2484"/>
      <c r="S106" s="2484"/>
      <c r="T106" s="2484"/>
      <c r="U106" s="2484"/>
      <c r="V106" s="2484"/>
      <c r="W106" s="2484"/>
      <c r="X106" s="2484"/>
      <c r="Y106" s="2484"/>
      <c r="Z106" s="2484"/>
      <c r="AA106" s="2484"/>
      <c r="AB106" s="2484"/>
      <c r="AC106" s="2484"/>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7"/>
      <c r="B108" s="467" t="s">
        <v>1740</v>
      </c>
      <c r="C108" s="483"/>
      <c r="D108" s="483"/>
      <c r="E108" s="483"/>
      <c r="F108" s="511"/>
      <c r="G108" s="511"/>
      <c r="H108" s="511"/>
      <c r="I108" s="511"/>
      <c r="J108" s="511"/>
      <c r="K108" s="512"/>
      <c r="L108" s="513"/>
      <c r="M108" s="514"/>
      <c r="N108" s="2518"/>
      <c r="O108" s="2518"/>
      <c r="P108" s="2527"/>
      <c r="Q108" s="2505"/>
      <c r="R108" s="2484"/>
      <c r="S108" s="2484"/>
      <c r="T108" s="2484"/>
      <c r="U108" s="2484"/>
      <c r="V108" s="2484"/>
      <c r="W108" s="2484"/>
      <c r="X108" s="2484"/>
      <c r="Y108" s="2484"/>
      <c r="Z108" s="2484"/>
      <c r="AA108" s="2484"/>
      <c r="AB108" s="2484"/>
      <c r="AC108" s="2484"/>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8"/>
      <c r="O110" s="2518"/>
      <c r="P110" s="2527"/>
      <c r="Q110" s="2505"/>
      <c r="R110" s="2484"/>
      <c r="S110" s="2484"/>
      <c r="T110" s="2484"/>
      <c r="U110" s="2484"/>
      <c r="V110" s="2484"/>
      <c r="W110" s="2484"/>
      <c r="X110" s="2484"/>
      <c r="Y110" s="2484"/>
      <c r="Z110" s="2484"/>
      <c r="AA110" s="2484"/>
      <c r="AB110" s="2484"/>
      <c r="AC110" s="2484"/>
    </row>
    <row r="111" spans="1:29">
      <c r="A111" s="407"/>
      <c r="B111" s="475"/>
      <c r="C111" s="528">
        <v>0.5</v>
      </c>
      <c r="D111" s="528">
        <v>0.6</v>
      </c>
      <c r="E111" s="528">
        <v>0.7</v>
      </c>
      <c r="F111" s="528">
        <v>0.8</v>
      </c>
      <c r="G111" s="528">
        <v>0.9</v>
      </c>
      <c r="H111" s="528">
        <v>1.0001</v>
      </c>
      <c r="I111" s="546"/>
      <c r="J111" s="546"/>
      <c r="K111" s="547"/>
      <c r="L111" s="548"/>
      <c r="M111" s="549"/>
      <c r="N111" s="2518"/>
      <c r="O111" s="2518"/>
      <c r="P111" s="2527"/>
      <c r="Q111" s="2505"/>
      <c r="R111" s="2484"/>
      <c r="S111" s="2484"/>
      <c r="T111" s="2484"/>
      <c r="U111" s="2484"/>
      <c r="V111" s="2484"/>
      <c r="W111" s="2484"/>
      <c r="X111" s="2484"/>
      <c r="Y111" s="2484"/>
      <c r="Z111" s="2484"/>
      <c r="AA111" s="2484"/>
      <c r="AB111" s="2484"/>
      <c r="AC111" s="2484"/>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9"/>
      <c r="O112" s="2519"/>
      <c r="P112" s="2527"/>
      <c r="Q112" s="2505"/>
      <c r="R112" s="2484"/>
      <c r="S112" s="2484"/>
      <c r="T112" s="2484"/>
      <c r="U112" s="2484"/>
      <c r="V112" s="2484"/>
      <c r="W112" s="2484"/>
      <c r="X112" s="2484"/>
      <c r="Y112" s="2484"/>
      <c r="Z112" s="2484"/>
      <c r="AA112" s="2484"/>
      <c r="AB112" s="2484"/>
      <c r="AC112" s="2484"/>
    </row>
    <row r="113" spans="1:29" s="406" customFormat="1" ht="15" thickTop="1">
      <c r="A113" s="404"/>
      <c r="B113" s="467" t="s">
        <v>1824</v>
      </c>
      <c r="C113" s="483"/>
      <c r="D113" s="483"/>
      <c r="E113" s="483"/>
      <c r="F113" s="483"/>
      <c r="G113" s="483"/>
      <c r="H113" s="511"/>
      <c r="I113" s="511"/>
      <c r="J113" s="511"/>
      <c r="K113" s="512"/>
      <c r="L113" s="513"/>
      <c r="M113" s="514"/>
      <c r="N113" s="2520"/>
      <c r="O113" s="2520"/>
      <c r="P113" s="2528"/>
      <c r="Q113" s="2512"/>
      <c r="R113" s="2490"/>
      <c r="S113" s="2490"/>
      <c r="T113" s="2490"/>
      <c r="U113" s="2490"/>
      <c r="V113" s="2490"/>
      <c r="W113" s="2490"/>
      <c r="X113" s="2490"/>
      <c r="Y113" s="2490"/>
      <c r="Z113" s="2490"/>
      <c r="AA113" s="2490"/>
      <c r="AB113" s="2490"/>
      <c r="AC113" s="2490"/>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7"/>
      <c r="B115" s="467" t="s">
        <v>1741</v>
      </c>
      <c r="C115" s="483"/>
      <c r="D115" s="483"/>
      <c r="E115" s="511"/>
      <c r="F115" s="511"/>
      <c r="G115" s="511"/>
      <c r="H115" s="511"/>
      <c r="I115" s="511"/>
      <c r="J115" s="511"/>
      <c r="K115" s="512"/>
      <c r="L115" s="513"/>
      <c r="M115" s="514"/>
      <c r="N115" s="2518"/>
      <c r="O115" s="2518"/>
      <c r="P115" s="2527"/>
      <c r="Q115" s="2505"/>
      <c r="R115" s="2484"/>
      <c r="S115" s="2484"/>
      <c r="T115" s="2484"/>
      <c r="U115" s="2484"/>
      <c r="V115" s="2484"/>
      <c r="W115" s="2484"/>
      <c r="X115" s="2484"/>
      <c r="Y115" s="2484"/>
      <c r="Z115" s="2484"/>
      <c r="AA115" s="2484"/>
      <c r="AB115" s="2484"/>
      <c r="AC115" s="2484"/>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7"/>
      <c r="B117" s="467" t="s">
        <v>1742</v>
      </c>
      <c r="C117" s="483"/>
      <c r="D117" s="483"/>
      <c r="E117" s="483"/>
      <c r="F117" s="483"/>
      <c r="G117" s="483"/>
      <c r="H117" s="511"/>
      <c r="I117" s="511"/>
      <c r="J117" s="511"/>
      <c r="K117" s="512"/>
      <c r="L117" s="513"/>
      <c r="M117" s="514"/>
      <c r="N117" s="2518"/>
      <c r="O117" s="2518"/>
      <c r="P117" s="2527"/>
      <c r="Q117" s="2505"/>
      <c r="R117" s="2484"/>
      <c r="S117" s="2484"/>
      <c r="T117" s="2484"/>
      <c r="U117" s="2484"/>
      <c r="V117" s="2484"/>
      <c r="W117" s="2484"/>
      <c r="X117" s="2484"/>
      <c r="Y117" s="2484"/>
      <c r="Z117" s="2484"/>
      <c r="AA117" s="2484"/>
      <c r="AB117" s="2484"/>
      <c r="AC117" s="2484"/>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9"/>
      <c r="O118" s="2519"/>
      <c r="P118" s="2527"/>
      <c r="Q118" s="2505"/>
      <c r="R118" s="2484"/>
      <c r="S118" s="2484"/>
      <c r="T118" s="2484"/>
      <c r="U118" s="2484"/>
      <c r="V118" s="2484"/>
      <c r="W118" s="2484"/>
      <c r="X118" s="2484"/>
      <c r="Y118" s="2484"/>
      <c r="Z118" s="2484"/>
      <c r="AA118" s="2484"/>
      <c r="AB118" s="2484"/>
      <c r="AC118" s="2484"/>
    </row>
    <row r="119" spans="1:29" ht="15" thickTop="1">
      <c r="A119" s="407"/>
      <c r="B119" s="558" t="s">
        <v>1825</v>
      </c>
      <c r="C119" s="511"/>
      <c r="D119" s="511"/>
      <c r="E119" s="511"/>
      <c r="F119" s="511"/>
      <c r="G119" s="511"/>
      <c r="H119" s="511"/>
      <c r="I119" s="511"/>
      <c r="J119" s="511"/>
      <c r="K119" s="511"/>
      <c r="L119" s="1812"/>
      <c r="M119" s="1813"/>
      <c r="N119" s="2519"/>
      <c r="O119" s="2519"/>
      <c r="P119" s="2532"/>
      <c r="Q119" s="2533"/>
      <c r="R119" s="2484"/>
      <c r="S119" s="2484"/>
      <c r="T119" s="2484"/>
      <c r="U119" s="2484"/>
      <c r="V119" s="2484"/>
      <c r="W119" s="2484"/>
      <c r="X119" s="2484"/>
      <c r="Y119" s="2484"/>
      <c r="Z119" s="2484"/>
      <c r="AA119" s="2484"/>
      <c r="AB119" s="2484"/>
      <c r="AC119" s="2484"/>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9"/>
      <c r="O120" s="2519"/>
      <c r="P120" s="2527"/>
      <c r="Q120" s="2505"/>
      <c r="R120" s="2484"/>
      <c r="S120" s="2484"/>
      <c r="T120" s="2484"/>
      <c r="U120" s="2484"/>
      <c r="V120" s="2484"/>
      <c r="W120" s="2484"/>
      <c r="X120" s="2484"/>
      <c r="Y120" s="2484"/>
      <c r="Z120" s="2484"/>
      <c r="AA120" s="2484"/>
      <c r="AB120" s="2484"/>
      <c r="AC120" s="2484"/>
    </row>
    <row r="121" spans="1:29" s="406" customFormat="1" ht="15" thickTop="1">
      <c r="A121" s="404"/>
      <c r="B121" s="467" t="s">
        <v>1808</v>
      </c>
      <c r="C121" s="483"/>
      <c r="D121" s="483"/>
      <c r="E121" s="483"/>
      <c r="F121" s="511"/>
      <c r="G121" s="484"/>
      <c r="H121" s="484"/>
      <c r="I121" s="484"/>
      <c r="J121" s="484"/>
      <c r="K121" s="484"/>
      <c r="L121" s="485"/>
      <c r="M121" s="486"/>
      <c r="N121" s="2520"/>
      <c r="O121" s="2520"/>
      <c r="P121" s="2528"/>
      <c r="Q121" s="2512"/>
      <c r="R121" s="2490"/>
      <c r="S121" s="2490"/>
      <c r="T121" s="2490"/>
      <c r="U121" s="2490"/>
      <c r="V121" s="2490"/>
      <c r="W121" s="2490"/>
      <c r="X121" s="2490"/>
      <c r="Y121" s="2490"/>
      <c r="Z121" s="2490"/>
      <c r="AA121" s="2490"/>
      <c r="AB121" s="2490"/>
      <c r="AC121" s="2490"/>
    </row>
    <row r="122" spans="1:29" s="406" customFormat="1" ht="15.75" thickBot="1">
      <c r="A122" s="482"/>
      <c r="B122" s="464"/>
      <c r="C122" s="489"/>
      <c r="D122" s="489"/>
      <c r="E122" s="489"/>
      <c r="F122" s="489"/>
      <c r="G122" s="489"/>
      <c r="H122" s="489"/>
      <c r="I122" s="489"/>
      <c r="J122" s="489"/>
      <c r="K122" s="489"/>
      <c r="L122" s="489"/>
      <c r="M122" s="489"/>
      <c r="N122" s="2520"/>
      <c r="O122" s="2520"/>
      <c r="P122" s="2528"/>
      <c r="Q122" s="2512"/>
      <c r="R122" s="2490"/>
      <c r="S122" s="2490"/>
      <c r="T122" s="2490"/>
      <c r="U122" s="2490"/>
      <c r="V122" s="2490"/>
      <c r="W122" s="2490"/>
      <c r="X122" s="2490"/>
      <c r="Y122" s="2490"/>
      <c r="Z122" s="2490"/>
      <c r="AA122" s="2490"/>
      <c r="AB122" s="2490"/>
      <c r="AC122" s="2490"/>
    </row>
    <row r="123" spans="1:29" ht="15" thickTop="1">
      <c r="A123" s="407"/>
      <c r="B123" s="467" t="s">
        <v>1744</v>
      </c>
      <c r="C123" s="483"/>
      <c r="D123" s="483"/>
      <c r="E123" s="483"/>
      <c r="F123" s="511"/>
      <c r="G123" s="511"/>
      <c r="H123" s="511"/>
      <c r="I123" s="511"/>
      <c r="J123" s="511"/>
      <c r="K123" s="512"/>
      <c r="L123" s="513"/>
      <c r="M123" s="514"/>
      <c r="N123" s="2518"/>
      <c r="O123" s="2518"/>
      <c r="P123" s="2527"/>
      <c r="Q123" s="2505"/>
      <c r="R123" s="2484"/>
      <c r="S123" s="2484"/>
      <c r="T123" s="2484"/>
      <c r="U123" s="2484"/>
      <c r="V123" s="2484"/>
      <c r="W123" s="2484"/>
      <c r="X123" s="2484"/>
      <c r="Y123" s="2484"/>
      <c r="Z123" s="2484"/>
      <c r="AA123" s="2484"/>
      <c r="AB123" s="2484"/>
      <c r="AC123" s="2484"/>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8"/>
      <c r="O125" s="2518"/>
      <c r="P125" s="2528"/>
      <c r="Q125" s="2505"/>
      <c r="R125" s="2484"/>
      <c r="S125" s="2484"/>
      <c r="T125" s="2484"/>
      <c r="U125" s="2484"/>
      <c r="V125" s="2484"/>
      <c r="W125" s="2484"/>
      <c r="X125" s="2484"/>
      <c r="Y125" s="2484"/>
      <c r="Z125" s="2484"/>
      <c r="AA125" s="2484"/>
      <c r="AB125" s="2484"/>
      <c r="AC125" s="2484"/>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9"/>
      <c r="O126" s="2519"/>
      <c r="P126" s="2527"/>
      <c r="Q126" s="2505"/>
      <c r="R126" s="2484"/>
      <c r="S126" s="2484"/>
      <c r="T126" s="2484"/>
      <c r="U126" s="2484"/>
      <c r="V126" s="2484"/>
      <c r="W126" s="2484"/>
      <c r="X126" s="2484"/>
      <c r="Y126" s="2484"/>
      <c r="Z126" s="2484"/>
      <c r="AA126" s="2484"/>
      <c r="AB126" s="2484"/>
      <c r="AC126" s="2484"/>
    </row>
    <row r="127" spans="1:29" s="406" customFormat="1" ht="15" thickTop="1">
      <c r="A127" s="404"/>
      <c r="B127" s="467">
        <f>B45</f>
        <v>111</v>
      </c>
      <c r="C127" s="483"/>
      <c r="D127" s="483"/>
      <c r="E127" s="483"/>
      <c r="F127" s="483"/>
      <c r="G127" s="483"/>
      <c r="H127" s="484"/>
      <c r="I127" s="484"/>
      <c r="J127" s="484"/>
      <c r="K127" s="484"/>
      <c r="L127" s="485"/>
      <c r="M127" s="486"/>
      <c r="N127" s="2520"/>
      <c r="O127" s="2520"/>
      <c r="P127" s="2528"/>
      <c r="Q127" s="2512"/>
      <c r="R127" s="2490"/>
      <c r="S127" s="2490"/>
      <c r="T127" s="2490"/>
      <c r="U127" s="2490"/>
      <c r="V127" s="2490"/>
      <c r="W127" s="2490"/>
      <c r="X127" s="2490"/>
      <c r="Y127" s="2490"/>
      <c r="Z127" s="2490"/>
      <c r="AA127" s="2490"/>
      <c r="AB127" s="2490"/>
      <c r="AC127" s="2490"/>
    </row>
    <row r="128" spans="1:29" s="406" customFormat="1" ht="15.75" thickBot="1">
      <c r="A128" s="482"/>
      <c r="B128" s="472"/>
      <c r="C128" s="489"/>
      <c r="D128" s="465"/>
      <c r="E128" s="465"/>
      <c r="F128" s="465"/>
      <c r="G128" s="489"/>
      <c r="H128" s="491"/>
      <c r="I128" s="491"/>
      <c r="J128" s="491"/>
      <c r="K128" s="491"/>
      <c r="L128" s="491"/>
      <c r="M128" s="492"/>
      <c r="N128" s="2520"/>
      <c r="O128" s="2520"/>
      <c r="P128" s="2528"/>
      <c r="Q128" s="2512"/>
      <c r="R128" s="2490"/>
      <c r="S128" s="2490"/>
      <c r="T128" s="2490"/>
      <c r="U128" s="2490"/>
      <c r="V128" s="2490"/>
      <c r="W128" s="2490"/>
      <c r="X128" s="2490"/>
      <c r="Y128" s="2490"/>
      <c r="Z128" s="2490"/>
      <c r="AA128" s="2490"/>
      <c r="AB128" s="2490"/>
      <c r="AC128" s="2490"/>
    </row>
    <row r="129" spans="1:29" ht="15" thickTop="1">
      <c r="A129" s="407"/>
      <c r="B129" s="467">
        <f>B46</f>
        <v>111</v>
      </c>
      <c r="C129" s="483"/>
      <c r="D129" s="483"/>
      <c r="E129" s="483"/>
      <c r="F129" s="483"/>
      <c r="G129" s="511"/>
      <c r="H129" s="511"/>
      <c r="I129" s="511"/>
      <c r="J129" s="511"/>
      <c r="K129" s="512"/>
      <c r="L129" s="513"/>
      <c r="M129" s="514"/>
      <c r="N129" s="2518"/>
      <c r="O129" s="2518"/>
      <c r="P129" s="2527"/>
      <c r="Q129" s="2505"/>
      <c r="R129" s="2484"/>
      <c r="S129" s="2484"/>
      <c r="T129" s="2484"/>
      <c r="U129" s="2484"/>
      <c r="V129" s="2484"/>
      <c r="W129" s="2484"/>
      <c r="X129" s="2484"/>
      <c r="Y129" s="2484"/>
      <c r="Z129" s="2484"/>
      <c r="AA129" s="2484"/>
      <c r="AB129" s="2484"/>
      <c r="AC129" s="2484"/>
    </row>
    <row r="130" spans="1:29" ht="15.75" thickBot="1">
      <c r="A130" s="365"/>
      <c r="B130" s="472"/>
      <c r="C130" s="489"/>
      <c r="D130" s="489"/>
      <c r="E130" s="489"/>
      <c r="F130" s="489"/>
      <c r="G130" s="465"/>
      <c r="H130" s="465"/>
      <c r="I130" s="465"/>
      <c r="J130" s="465"/>
      <c r="K130" s="465"/>
      <c r="L130" s="465"/>
      <c r="M130" s="466"/>
      <c r="N130" s="2519"/>
      <c r="O130" s="2519"/>
      <c r="P130" s="2527"/>
      <c r="Q130" s="2505"/>
      <c r="R130" s="2484"/>
      <c r="S130" s="2484"/>
      <c r="T130" s="2484"/>
      <c r="U130" s="2484"/>
      <c r="V130" s="2484"/>
      <c r="W130" s="2484"/>
      <c r="X130" s="2484"/>
      <c r="Y130" s="2484"/>
      <c r="Z130" s="2484"/>
      <c r="AA130" s="2484"/>
      <c r="AB130" s="2484"/>
      <c r="AC130" s="2484"/>
    </row>
    <row r="131" spans="1:29" ht="15" thickTop="1">
      <c r="A131" s="407"/>
      <c r="B131" s="475">
        <f>B47</f>
        <v>111</v>
      </c>
      <c r="C131" s="31"/>
      <c r="D131" s="31"/>
      <c r="E131" s="31"/>
      <c r="F131" s="31"/>
      <c r="G131" s="515"/>
      <c r="H131" s="515"/>
      <c r="I131" s="515"/>
      <c r="J131" s="515"/>
      <c r="K131" s="31"/>
      <c r="L131" s="455"/>
      <c r="M131" s="518"/>
      <c r="N131" s="2518"/>
      <c r="O131" s="2518"/>
      <c r="P131" s="2527"/>
      <c r="Q131" s="2505"/>
      <c r="R131" s="2484"/>
      <c r="S131" s="2484"/>
      <c r="T131" s="2484"/>
      <c r="U131" s="2484"/>
      <c r="V131" s="2484"/>
      <c r="W131" s="2484"/>
      <c r="X131" s="2484"/>
      <c r="Y131" s="2484"/>
      <c r="Z131" s="2484"/>
      <c r="AA131" s="2484"/>
      <c r="AB131" s="2484"/>
      <c r="AC131" s="2484"/>
    </row>
    <row r="132" spans="1:29" ht="15.75" thickBot="1">
      <c r="A132" s="373"/>
      <c r="B132" s="498"/>
      <c r="C132" s="499"/>
      <c r="D132" s="499"/>
      <c r="E132" s="499"/>
      <c r="F132" s="499"/>
      <c r="G132" s="519"/>
      <c r="H132" s="519"/>
      <c r="I132" s="519"/>
      <c r="J132" s="519"/>
      <c r="K132" s="519"/>
      <c r="L132" s="519"/>
      <c r="M132" s="520"/>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6" customFormat="1" ht="28.5" customHeight="1" thickBot="1">
      <c r="A1" s="1135" t="s">
        <v>1660</v>
      </c>
      <c r="B1" s="1804" t="s">
        <v>1826</v>
      </c>
      <c r="C1" s="1137" t="s">
        <v>1662</v>
      </c>
      <c r="D1" s="1138"/>
      <c r="E1" s="3128"/>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0" customFormat="1" ht="28.5" customHeight="1" thickTop="1">
      <c r="A2" s="1134" t="s">
        <v>1462</v>
      </c>
      <c r="B2" s="1081" t="b">
        <f>IF(E1="项目模式",IF(C2="——",ROUND(C43*D3/10000,0),ROUND(C43*D3/10000,0)-D2),IF(E1="单套模式",IF(C2="——",ROUND(C43*D3/10000,4),ROUND(C43*D3/10000,4)-D2)))</f>
        <v>0</v>
      </c>
      <c r="C2" s="1733"/>
      <c r="D2" s="850" t="e">
        <f ca="1">IF(E1="项目模式",SUMIF(INDIRECT("'"&amp;F2&amp;"'"&amp;"!A:A"),"承租人权益价值",INDIRECT("'"&amp;F2&amp;"'"&amp;"!c:c")),SUMIF(INDIRECT("'"&amp;F2&amp;"'"&amp;"!A:A"),"承租人权益价值（单套）",INDIRECT("'"&amp;F2&amp;"'"&amp;"!c:c")))</f>
        <v>#REF!</v>
      </c>
      <c r="E2" s="1734" t="s">
        <v>1463</v>
      </c>
      <c r="F2" s="1735"/>
      <c r="G2" s="851"/>
      <c r="H2" s="851"/>
      <c r="I2" s="851"/>
      <c r="J2" s="851"/>
      <c r="K2" s="851"/>
      <c r="L2" s="854"/>
      <c r="M2" s="855"/>
      <c r="N2" s="855"/>
      <c r="O2" s="855"/>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74353.649999999776</v>
      </c>
      <c r="E3" s="851"/>
      <c r="F3" s="852"/>
      <c r="G3" s="851"/>
      <c r="H3" s="851"/>
      <c r="I3" s="851"/>
      <c r="J3" s="851"/>
      <c r="K3" s="853"/>
      <c r="L3" s="854"/>
      <c r="M3" s="855"/>
      <c r="N3" s="855"/>
      <c r="O3" s="855"/>
      <c r="P3" s="339"/>
      <c r="Q3" s="339"/>
      <c r="R3" s="339"/>
      <c r="S3" s="339"/>
      <c r="T3" s="339"/>
      <c r="U3" s="339"/>
      <c r="V3" s="339"/>
      <c r="W3" s="339"/>
      <c r="X3" s="339"/>
      <c r="Y3" s="339"/>
      <c r="Z3" s="339"/>
      <c r="AA3" s="339"/>
      <c r="AB3" s="674"/>
      <c r="AC3" s="661"/>
    </row>
    <row r="4" spans="1:29" ht="15">
      <c r="A4" s="343" t="s">
        <v>1769</v>
      </c>
      <c r="B4" s="344"/>
      <c r="C4" s="3378" t="s">
        <v>1770</v>
      </c>
      <c r="D4" s="3390"/>
      <c r="E4" s="3391" t="s">
        <v>1771</v>
      </c>
      <c r="F4" s="3392"/>
      <c r="G4" s="3378" t="s">
        <v>1772</v>
      </c>
      <c r="H4" s="3390"/>
      <c r="I4" s="3378" t="s">
        <v>1773</v>
      </c>
      <c r="J4" s="3390"/>
      <c r="K4" s="535" t="s">
        <v>1774</v>
      </c>
      <c r="L4" s="856"/>
      <c r="M4" s="857"/>
      <c r="N4" s="857"/>
      <c r="O4" s="857"/>
      <c r="P4" s="3393" t="s">
        <v>1775</v>
      </c>
      <c r="Q4" s="3394"/>
      <c r="R4" s="3399" t="s">
        <v>1771</v>
      </c>
      <c r="S4" s="3400"/>
      <c r="T4" s="3399" t="s">
        <v>1772</v>
      </c>
      <c r="U4" s="3400"/>
      <c r="V4" s="3386" t="s">
        <v>1773</v>
      </c>
      <c r="W4" s="3386"/>
      <c r="X4" s="1261"/>
      <c r="Y4" s="3399" t="s">
        <v>1775</v>
      </c>
      <c r="Z4" s="3400"/>
      <c r="AA4" s="3387" t="s">
        <v>1771</v>
      </c>
      <c r="AB4" s="3388" t="s">
        <v>1772</v>
      </c>
      <c r="AC4" s="3387" t="s">
        <v>1773</v>
      </c>
    </row>
    <row r="5" spans="1:29" ht="15">
      <c r="A5" s="346"/>
      <c r="B5" s="347"/>
      <c r="C5" s="3412" t="s">
        <v>1673</v>
      </c>
      <c r="D5" s="3408"/>
      <c r="E5" s="3452" t="s">
        <v>1674</v>
      </c>
      <c r="F5" s="3416"/>
      <c r="G5" s="3412" t="s">
        <v>1675</v>
      </c>
      <c r="H5" s="3408"/>
      <c r="I5" s="3412" t="s">
        <v>1676</v>
      </c>
      <c r="J5" s="3408"/>
      <c r="K5" s="535"/>
      <c r="L5" s="856"/>
      <c r="M5" s="857"/>
      <c r="N5" s="857"/>
      <c r="O5" s="857"/>
      <c r="P5" s="3395"/>
      <c r="Q5" s="3396"/>
      <c r="R5" s="3401"/>
      <c r="S5" s="3402"/>
      <c r="T5" s="3401"/>
      <c r="U5" s="3402"/>
      <c r="V5" s="3386"/>
      <c r="W5" s="3386"/>
      <c r="X5" s="1261"/>
      <c r="Y5" s="3401"/>
      <c r="Z5" s="3402"/>
      <c r="AA5" s="3388"/>
      <c r="AB5" s="3388"/>
      <c r="AC5" s="3388"/>
    </row>
    <row r="6" spans="1:29" ht="15.75" thickBot="1">
      <c r="A6" s="348"/>
      <c r="B6" s="349"/>
      <c r="C6" s="3405" t="s">
        <v>1677</v>
      </c>
      <c r="D6" s="3406"/>
      <c r="E6" s="3413" t="s">
        <v>1677</v>
      </c>
      <c r="F6" s="3414"/>
      <c r="G6" s="3405" t="s">
        <v>1677</v>
      </c>
      <c r="H6" s="3406"/>
      <c r="I6" s="3405" t="s">
        <v>1677</v>
      </c>
      <c r="J6" s="3406"/>
      <c r="K6" s="535" t="s">
        <v>1678</v>
      </c>
      <c r="L6" s="856"/>
      <c r="M6" s="857"/>
      <c r="N6" s="857"/>
      <c r="O6" s="857"/>
      <c r="P6" s="3397"/>
      <c r="Q6" s="3398"/>
      <c r="R6" s="3401"/>
      <c r="S6" s="3402"/>
      <c r="T6" s="3403"/>
      <c r="U6" s="3404"/>
      <c r="V6" s="3386"/>
      <c r="W6" s="3386"/>
      <c r="X6" s="1261"/>
      <c r="Y6" s="3403"/>
      <c r="Z6" s="3404"/>
      <c r="AA6" s="3389"/>
      <c r="AB6" s="3389"/>
      <c r="AC6" s="3389"/>
    </row>
    <row r="7" spans="1:29" s="100" customFormat="1" ht="15.75" thickBot="1">
      <c r="A7" s="350" t="s">
        <v>1679</v>
      </c>
      <c r="B7" s="351"/>
      <c r="C7" s="352">
        <f>'数据-取费表'!B2</f>
        <v>45924</v>
      </c>
      <c r="D7" s="353">
        <v>100</v>
      </c>
      <c r="E7" s="354"/>
      <c r="F7" s="355">
        <f>SUMIF(52:52,YEAR(E7)&amp;"-"&amp;MONTH(E7),53:53)</f>
        <v>0</v>
      </c>
      <c r="G7" s="354"/>
      <c r="H7" s="353">
        <f>SUMIF(52:52,YEAR(G7)&amp;"-"&amp;MONTH(G7),53:53)</f>
        <v>0</v>
      </c>
      <c r="I7" s="354"/>
      <c r="J7" s="353">
        <f>SUMIF(52:52,YEAR(I7)&amp;"-"&amp;MONTH(I7),53:53)</f>
        <v>0</v>
      </c>
      <c r="K7" s="38"/>
      <c r="L7" s="858"/>
      <c r="M7" s="859"/>
      <c r="N7" s="859"/>
      <c r="O7" s="859"/>
      <c r="P7" s="3409" t="s">
        <v>1680</v>
      </c>
      <c r="Q7" s="3411"/>
      <c r="R7" s="662" t="s">
        <v>14</v>
      </c>
      <c r="S7" s="663">
        <f t="shared" ref="S7:S15" si="0">F7</f>
        <v>0</v>
      </c>
      <c r="T7" s="662" t="s">
        <v>14</v>
      </c>
      <c r="U7" s="663">
        <f t="shared" ref="U7:U15" si="1">H7</f>
        <v>0</v>
      </c>
      <c r="V7" s="662" t="s">
        <v>14</v>
      </c>
      <c r="W7" s="663">
        <f t="shared" ref="W7:W15" si="2">J7</f>
        <v>0</v>
      </c>
      <c r="X7" s="664"/>
      <c r="Y7" s="3409" t="s">
        <v>1680</v>
      </c>
      <c r="Z7" s="3410"/>
      <c r="AA7" s="50" t="e">
        <f>D7/F7</f>
        <v>#DIV/0!</v>
      </c>
      <c r="AB7" s="50" t="e">
        <f>D7/H7</f>
        <v>#DIV/0!</v>
      </c>
      <c r="AC7" s="50" t="e">
        <f>D7/J7</f>
        <v>#DIV/0!</v>
      </c>
    </row>
    <row r="8" spans="1:29" s="100"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8"/>
      <c r="M8" s="859"/>
      <c r="N8" s="859"/>
      <c r="O8" s="859"/>
      <c r="P8" s="3409" t="s">
        <v>1683</v>
      </c>
      <c r="Q8" s="3410"/>
      <c r="R8" s="662" t="s">
        <v>14</v>
      </c>
      <c r="S8" s="663">
        <f t="shared" si="0"/>
        <v>100</v>
      </c>
      <c r="T8" s="662" t="s">
        <v>14</v>
      </c>
      <c r="U8" s="663">
        <f t="shared" si="1"/>
        <v>100</v>
      </c>
      <c r="V8" s="662" t="s">
        <v>14</v>
      </c>
      <c r="W8" s="663">
        <f t="shared" si="2"/>
        <v>100</v>
      </c>
      <c r="X8" s="664"/>
      <c r="Y8" s="3409" t="s">
        <v>1683</v>
      </c>
      <c r="Z8" s="3410"/>
      <c r="AA8" s="50">
        <f t="shared" ref="AA8:AA40" si="3">D8/F8</f>
        <v>1</v>
      </c>
      <c r="AB8" s="50">
        <f t="shared" ref="AB8:AB40" si="4">D8/H8</f>
        <v>1</v>
      </c>
      <c r="AC8" s="50">
        <f t="shared" ref="AC8:AC40" si="5">D8/J8</f>
        <v>1</v>
      </c>
    </row>
    <row r="9" spans="1:29" s="100"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8"/>
      <c r="M9" s="859"/>
      <c r="N9" s="859"/>
      <c r="O9" s="860"/>
      <c r="P9" s="3381" t="s">
        <v>1686</v>
      </c>
      <c r="Q9" s="528"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4" customFormat="1" ht="27">
      <c r="A10" s="361"/>
      <c r="B10" s="362" t="s">
        <v>1688</v>
      </c>
      <c r="C10" s="3129"/>
      <c r="D10" s="117">
        <v>100</v>
      </c>
      <c r="E10" s="3129"/>
      <c r="F10" s="117">
        <f>SUMIF(59:59,E10,60:60)-SUMIF(59:59,C10,60:60)+100</f>
        <v>100</v>
      </c>
      <c r="G10" s="3130"/>
      <c r="H10" s="117">
        <f>SUMIF(59:59,G10,60:60)-SUMIF(59:59,C10,60:60)+100</f>
        <v>100</v>
      </c>
      <c r="I10" s="3129"/>
      <c r="J10" s="117">
        <f>SUMIF(59:59,I10,60:60)-SUMIF(59:59,C10,60:60)+100</f>
        <v>100</v>
      </c>
      <c r="K10" s="38"/>
      <c r="L10" s="861"/>
      <c r="M10" s="862"/>
      <c r="N10" s="862"/>
      <c r="O10" s="863"/>
      <c r="P10" s="3381"/>
      <c r="Q10" s="528"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4"/>
      <c r="M11" s="857"/>
      <c r="N11" s="857"/>
      <c r="O11" s="865"/>
      <c r="P11" s="3381"/>
      <c r="Q11" s="528"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0" customFormat="1" ht="15">
      <c r="A12" s="368"/>
      <c r="B12" s="445">
        <v>111</v>
      </c>
      <c r="C12" s="369"/>
      <c r="D12" s="370">
        <v>100</v>
      </c>
      <c r="E12" s="371"/>
      <c r="F12" s="117">
        <f>SUMIF(64:64,E12,65:65)-SUMIF(64:64,C12,65:65)+100</f>
        <v>100</v>
      </c>
      <c r="G12" s="1814"/>
      <c r="H12" s="117">
        <f>SUMIF(64:64,G12,65:65)-SUMIF(64:64,C12,65:65)+100</f>
        <v>100</v>
      </c>
      <c r="I12" s="405"/>
      <c r="J12" s="117">
        <f>SUMIF(64:64,I12,65:65)-SUMIF(64:64,C12,65:65)+100</f>
        <v>100</v>
      </c>
      <c r="K12" s="537"/>
      <c r="L12" s="858"/>
      <c r="M12" s="859"/>
      <c r="N12" s="859"/>
      <c r="O12" s="860"/>
      <c r="P12" s="3381"/>
      <c r="Q12" s="528">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4"/>
      <c r="H13" s="372">
        <f>SUMIF(66:66,G13,67:67)-SUMIF(66:66,C13,67:67)+100</f>
        <v>100</v>
      </c>
      <c r="I13" s="405"/>
      <c r="J13" s="372">
        <f>SUMIF(66:66,I13,67:67)-SUMIF(66:66,C13,67:67)+100</f>
        <v>100</v>
      </c>
      <c r="K13" s="537"/>
      <c r="L13" s="866"/>
      <c r="M13" s="857"/>
      <c r="N13" s="857"/>
      <c r="O13" s="865"/>
      <c r="P13" s="3381"/>
      <c r="Q13" s="528">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75" thickBot="1">
      <c r="A14" s="373"/>
      <c r="B14" s="1745">
        <v>111</v>
      </c>
      <c r="C14" s="374"/>
      <c r="D14" s="375">
        <v>100</v>
      </c>
      <c r="E14" s="374"/>
      <c r="F14" s="375">
        <f>SUMIF(68:68,E14,69:69)-SUMIF(68:68,C14,69:69)+100</f>
        <v>100</v>
      </c>
      <c r="G14" s="1814"/>
      <c r="H14" s="375">
        <f>SUMIF(68:68,G14,69:69)-SUMIF(68:68,C14,69:69)+100</f>
        <v>100</v>
      </c>
      <c r="I14" s="405"/>
      <c r="J14" s="375">
        <f>SUMIF(68:68,I14,69:69)-SUMIF(68:68,C14,69:69)+100</f>
        <v>100</v>
      </c>
      <c r="K14" s="537"/>
      <c r="L14" s="866"/>
      <c r="M14" s="857"/>
      <c r="N14" s="857"/>
      <c r="O14" s="865"/>
      <c r="P14" s="3381"/>
      <c r="Q14" s="528">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7" t="s">
        <v>1690</v>
      </c>
      <c r="B15" s="58" t="s">
        <v>1827</v>
      </c>
      <c r="C15" s="1815">
        <f>估价对象房地状况!G3</f>
        <v>0</v>
      </c>
      <c r="D15" s="378">
        <v>100</v>
      </c>
      <c r="E15" s="379"/>
      <c r="F15" s="380">
        <f>SUMIF(70:70,E16,71:71)-SUMIF(70:70,C16,71:71)+100</f>
        <v>100</v>
      </c>
      <c r="G15" s="381"/>
      <c r="H15" s="378">
        <f>SUMIF(70:70,G16,71:71)-SUMIF(70:70,C16,71:71)+100</f>
        <v>100</v>
      </c>
      <c r="I15" s="379"/>
      <c r="J15" s="378">
        <f>SUMIF(70:70,I16,71:71)-SUMIF(70:70,C16,71:71)+100</f>
        <v>100</v>
      </c>
      <c r="K15" s="538"/>
      <c r="L15" s="866"/>
      <c r="M15" s="857"/>
      <c r="N15" s="857"/>
      <c r="O15" s="865"/>
      <c r="P15" s="3382" t="s">
        <v>1691</v>
      </c>
      <c r="Q15" s="1259" t="str">
        <f t="shared" si="6"/>
        <v>产业集聚程度</v>
      </c>
      <c r="R15" s="665" t="s">
        <v>14</v>
      </c>
      <c r="S15" s="666">
        <f t="shared" si="0"/>
        <v>100</v>
      </c>
      <c r="T15" s="665" t="s">
        <v>14</v>
      </c>
      <c r="U15" s="666">
        <f t="shared" si="1"/>
        <v>100</v>
      </c>
      <c r="V15" s="665" t="s">
        <v>14</v>
      </c>
      <c r="W15" s="666">
        <f t="shared" si="2"/>
        <v>100</v>
      </c>
      <c r="X15" s="1261"/>
      <c r="Y15" s="3382" t="s">
        <v>1691</v>
      </c>
      <c r="Z15" s="1260" t="str">
        <f t="shared" si="7"/>
        <v>产业集聚程度</v>
      </c>
      <c r="AA15" s="1260">
        <f t="shared" si="3"/>
        <v>1</v>
      </c>
      <c r="AB15" s="1260">
        <f t="shared" si="4"/>
        <v>1</v>
      </c>
      <c r="AC15" s="1260">
        <f t="shared" si="5"/>
        <v>1</v>
      </c>
    </row>
    <row r="16" spans="1:29" ht="15">
      <c r="A16" s="365"/>
      <c r="B16" s="383"/>
      <c r="C16" s="384"/>
      <c r="D16" s="385"/>
      <c r="E16" s="384"/>
      <c r="F16" s="386"/>
      <c r="G16" s="384"/>
      <c r="H16" s="387"/>
      <c r="I16" s="384"/>
      <c r="J16" s="385"/>
      <c r="K16" s="539"/>
      <c r="L16" s="866"/>
      <c r="M16" s="857"/>
      <c r="N16" s="857"/>
      <c r="O16" s="865"/>
      <c r="P16" s="3383"/>
      <c r="Q16" s="1259"/>
      <c r="R16" s="665"/>
      <c r="S16" s="666"/>
      <c r="T16" s="665"/>
      <c r="U16" s="666"/>
      <c r="V16" s="665"/>
      <c r="W16" s="666"/>
      <c r="X16" s="1261"/>
      <c r="Y16" s="3383"/>
      <c r="Z16" s="1260"/>
      <c r="AA16" s="1260">
        <v>1</v>
      </c>
      <c r="AB16" s="1260">
        <v>1</v>
      </c>
      <c r="AC16" s="1260">
        <v>1</v>
      </c>
    </row>
    <row r="17" spans="1:29" ht="15">
      <c r="A17" s="365"/>
      <c r="B17" s="388" t="s">
        <v>1259</v>
      </c>
      <c r="C17" s="1750">
        <f>估价对象房地状况!G4</f>
        <v>0</v>
      </c>
      <c r="D17" s="387">
        <v>100</v>
      </c>
      <c r="E17" s="389"/>
      <c r="F17" s="390">
        <f>SUMIF(72:72,E18,73:73)-SUMIF(72:72,C18,73:73)+100</f>
        <v>100</v>
      </c>
      <c r="G17" s="391"/>
      <c r="H17" s="392">
        <f>SUMIF(72:72,G18,73:73)-SUMIF(72:72,C18,73:73)+100</f>
        <v>100</v>
      </c>
      <c r="I17" s="389"/>
      <c r="J17" s="392">
        <f>SUMIF(72:72,I18,73:73)-SUMIF(72:72,C18,73:73)+100</f>
        <v>100</v>
      </c>
      <c r="K17" s="538"/>
      <c r="L17" s="866"/>
      <c r="M17" s="857"/>
      <c r="N17" s="857"/>
      <c r="O17" s="865"/>
      <c r="P17" s="3383"/>
      <c r="Q17" s="1259" t="str">
        <f>B17</f>
        <v>交通便捷度</v>
      </c>
      <c r="R17" s="665" t="s">
        <v>14</v>
      </c>
      <c r="S17" s="666">
        <f>F17</f>
        <v>100</v>
      </c>
      <c r="T17" s="665" t="s">
        <v>14</v>
      </c>
      <c r="U17" s="666">
        <f>H17</f>
        <v>100</v>
      </c>
      <c r="V17" s="665" t="s">
        <v>14</v>
      </c>
      <c r="W17" s="666">
        <f>J17</f>
        <v>100</v>
      </c>
      <c r="X17" s="1261"/>
      <c r="Y17" s="3383"/>
      <c r="Z17" s="1260" t="str">
        <f>Q17</f>
        <v>交通便捷度</v>
      </c>
      <c r="AA17" s="1260">
        <f t="shared" si="3"/>
        <v>1</v>
      </c>
      <c r="AB17" s="1260">
        <f t="shared" si="4"/>
        <v>1</v>
      </c>
      <c r="AC17" s="1260">
        <f t="shared" si="5"/>
        <v>1</v>
      </c>
    </row>
    <row r="18" spans="1:29" ht="15">
      <c r="A18" s="365"/>
      <c r="B18" s="393"/>
      <c r="C18" s="1751"/>
      <c r="D18" s="387"/>
      <c r="E18" s="1753"/>
      <c r="F18" s="390"/>
      <c r="G18" s="1752"/>
      <c r="H18" s="385"/>
      <c r="I18" s="1753"/>
      <c r="J18" s="385"/>
      <c r="K18" s="539"/>
      <c r="L18" s="866"/>
      <c r="M18" s="857"/>
      <c r="N18" s="857"/>
      <c r="O18" s="865"/>
      <c r="P18" s="3383"/>
      <c r="Q18" s="1259"/>
      <c r="R18" s="665"/>
      <c r="S18" s="666"/>
      <c r="T18" s="665"/>
      <c r="U18" s="666"/>
      <c r="V18" s="665"/>
      <c r="W18" s="666"/>
      <c r="X18" s="1261"/>
      <c r="Y18" s="3383"/>
      <c r="Z18" s="1260"/>
      <c r="AA18" s="1260">
        <v>1</v>
      </c>
      <c r="AB18" s="1260">
        <v>1</v>
      </c>
      <c r="AC18" s="1260">
        <v>1</v>
      </c>
    </row>
    <row r="19" spans="1:29" ht="15">
      <c r="A19" s="365"/>
      <c r="B19" s="388" t="s">
        <v>1812</v>
      </c>
      <c r="C19" s="1750">
        <f>估价对象房地状况!G5</f>
        <v>0</v>
      </c>
      <c r="D19" s="392">
        <v>100</v>
      </c>
      <c r="E19" s="394"/>
      <c r="F19" s="395">
        <f>SUMIF(74:74,E20,75:75)-SUMIF(74:74,C20,75:75)+100</f>
        <v>100</v>
      </c>
      <c r="G19" s="396"/>
      <c r="H19" s="387">
        <f>SUMIF(74:74,G20,75:75)-SUMIF(74:74,C20,75:75)+100</f>
        <v>100</v>
      </c>
      <c r="I19" s="394"/>
      <c r="J19" s="387">
        <f>SUMIF(74:74,I20,75:75)-SUMIF(74:74,C20,75:75)+100</f>
        <v>100</v>
      </c>
      <c r="K19" s="538"/>
      <c r="L19" s="866"/>
      <c r="M19" s="857"/>
      <c r="N19" s="857"/>
      <c r="O19" s="865"/>
      <c r="P19" s="3383"/>
      <c r="Q19" s="1259" t="str">
        <f>B19</f>
        <v>公共配套设施</v>
      </c>
      <c r="R19" s="665" t="s">
        <v>14</v>
      </c>
      <c r="S19" s="666">
        <f>F19</f>
        <v>100</v>
      </c>
      <c r="T19" s="665" t="s">
        <v>14</v>
      </c>
      <c r="U19" s="666">
        <f>H19</f>
        <v>100</v>
      </c>
      <c r="V19" s="665" t="s">
        <v>14</v>
      </c>
      <c r="W19" s="666">
        <f>J19</f>
        <v>100</v>
      </c>
      <c r="X19" s="1261"/>
      <c r="Y19" s="3383"/>
      <c r="Z19" s="1260" t="str">
        <f>Q19</f>
        <v>公共配套设施</v>
      </c>
      <c r="AA19" s="1260">
        <f t="shared" si="3"/>
        <v>1</v>
      </c>
      <c r="AB19" s="1260">
        <f t="shared" si="4"/>
        <v>1</v>
      </c>
      <c r="AC19" s="1260">
        <f t="shared" si="5"/>
        <v>1</v>
      </c>
    </row>
    <row r="20" spans="1:29" ht="15">
      <c r="A20" s="365"/>
      <c r="B20" s="393"/>
      <c r="C20" s="384"/>
      <c r="D20" s="385"/>
      <c r="E20" s="1748"/>
      <c r="F20" s="386"/>
      <c r="G20" s="1747"/>
      <c r="H20" s="385"/>
      <c r="I20" s="1748"/>
      <c r="J20" s="385"/>
      <c r="K20" s="539"/>
      <c r="L20" s="866"/>
      <c r="M20" s="857"/>
      <c r="N20" s="857"/>
      <c r="O20" s="865"/>
      <c r="P20" s="3383"/>
      <c r="Q20" s="1259"/>
      <c r="R20" s="665"/>
      <c r="S20" s="666"/>
      <c r="T20" s="665"/>
      <c r="U20" s="666"/>
      <c r="V20" s="665"/>
      <c r="W20" s="666"/>
      <c r="X20" s="1261"/>
      <c r="Y20" s="3383"/>
      <c r="Z20" s="1260"/>
      <c r="AA20" s="1260">
        <v>1</v>
      </c>
      <c r="AB20" s="1260">
        <v>1</v>
      </c>
      <c r="AC20" s="1260">
        <v>1</v>
      </c>
    </row>
    <row r="21" spans="1:29" ht="15">
      <c r="A21" s="365"/>
      <c r="B21" s="584" t="s">
        <v>1813</v>
      </c>
      <c r="C21" s="1750">
        <f>估价对象房地状况!G6</f>
        <v>0</v>
      </c>
      <c r="D21" s="387">
        <v>100</v>
      </c>
      <c r="E21" s="394"/>
      <c r="F21" s="395">
        <f>SUMIF(76:76,E22,77:77)-SUMIF(76:76,C22,77:77)+100</f>
        <v>100</v>
      </c>
      <c r="G21" s="396"/>
      <c r="H21" s="387">
        <f>SUMIF(76:76,G22,77:77)-SUMIF(76:76,C22,77:77)+100</f>
        <v>100</v>
      </c>
      <c r="I21" s="394"/>
      <c r="J21" s="387">
        <f>SUMIF(76:76,I22,77:77)-SUMIF(76:76,C22,77:77)+100</f>
        <v>100</v>
      </c>
      <c r="K21" s="538"/>
      <c r="L21" s="866"/>
      <c r="M21" s="857"/>
      <c r="N21" s="857"/>
      <c r="O21" s="865"/>
      <c r="P21" s="3383"/>
      <c r="Q21" s="1259" t="str">
        <f>B21</f>
        <v>基础设施水平</v>
      </c>
      <c r="R21" s="665" t="s">
        <v>14</v>
      </c>
      <c r="S21" s="666">
        <f>F21</f>
        <v>100</v>
      </c>
      <c r="T21" s="665" t="s">
        <v>14</v>
      </c>
      <c r="U21" s="666">
        <f>H21</f>
        <v>100</v>
      </c>
      <c r="V21" s="665" t="s">
        <v>14</v>
      </c>
      <c r="W21" s="666">
        <f>J21</f>
        <v>100</v>
      </c>
      <c r="X21" s="1261"/>
      <c r="Y21" s="3383"/>
      <c r="Z21" s="1260" t="str">
        <f>Q21</f>
        <v>基础设施水平</v>
      </c>
      <c r="AA21" s="1260">
        <f t="shared" ref="AA21" si="8">D21/F21</f>
        <v>1</v>
      </c>
      <c r="AB21" s="1260">
        <f t="shared" ref="AB21" si="9">D21/H21</f>
        <v>1</v>
      </c>
      <c r="AC21" s="1260">
        <f t="shared" ref="AC21" si="10">D21/J21</f>
        <v>1</v>
      </c>
    </row>
    <row r="22" spans="1:29" ht="15">
      <c r="A22" s="365"/>
      <c r="B22" s="584"/>
      <c r="C22" s="1751"/>
      <c r="D22" s="385"/>
      <c r="E22" s="384"/>
      <c r="F22" s="386"/>
      <c r="G22" s="384"/>
      <c r="H22" s="385"/>
      <c r="I22" s="384"/>
      <c r="J22" s="385"/>
      <c r="K22" s="1060"/>
      <c r="L22" s="866"/>
      <c r="M22" s="857"/>
      <c r="N22" s="857"/>
      <c r="O22" s="865"/>
      <c r="P22" s="3383"/>
      <c r="Q22" s="1259"/>
      <c r="R22" s="665"/>
      <c r="S22" s="666"/>
      <c r="T22" s="665"/>
      <c r="U22" s="666"/>
      <c r="V22" s="665"/>
      <c r="W22" s="666"/>
      <c r="X22" s="1261"/>
      <c r="Y22" s="3383"/>
      <c r="Z22" s="1260"/>
      <c r="AA22" s="1260">
        <v>1</v>
      </c>
      <c r="AB22" s="1260">
        <v>1</v>
      </c>
      <c r="AC22" s="1260">
        <v>1</v>
      </c>
    </row>
    <row r="23" spans="1:29" ht="15">
      <c r="A23" s="365"/>
      <c r="B23" s="388" t="s">
        <v>1814</v>
      </c>
      <c r="C23" s="1750">
        <f>估价对象房地状况!G7</f>
        <v>0</v>
      </c>
      <c r="D23" s="387">
        <v>100</v>
      </c>
      <c r="E23" s="389"/>
      <c r="F23" s="390">
        <f>SUMIF(78:78,E24,79:79)-SUMIF(78:78,C24,79:79)+100</f>
        <v>100</v>
      </c>
      <c r="G23" s="391"/>
      <c r="H23" s="387">
        <f>SUMIF(78:78,G24,79:79)-SUMIF(78:78,C24,79:79)+100</f>
        <v>100</v>
      </c>
      <c r="I23" s="389"/>
      <c r="J23" s="387">
        <f>SUMIF(78:78,I24,79:79)-SUMIF(78:78,C24,79:79)+100</f>
        <v>100</v>
      </c>
      <c r="K23" s="538"/>
      <c r="L23" s="866"/>
      <c r="M23" s="857"/>
      <c r="N23" s="857"/>
      <c r="O23" s="865"/>
      <c r="P23" s="3383"/>
      <c r="Q23" s="1259" t="str">
        <f>B23</f>
        <v>环境质量</v>
      </c>
      <c r="R23" s="665" t="s">
        <v>14</v>
      </c>
      <c r="S23" s="666">
        <f>F23</f>
        <v>100</v>
      </c>
      <c r="T23" s="665" t="s">
        <v>14</v>
      </c>
      <c r="U23" s="666">
        <f>H23</f>
        <v>100</v>
      </c>
      <c r="V23" s="665" t="s">
        <v>14</v>
      </c>
      <c r="W23" s="666">
        <f>J23</f>
        <v>100</v>
      </c>
      <c r="X23" s="1261"/>
      <c r="Y23" s="3383"/>
      <c r="Z23" s="1260" t="str">
        <f>Q23</f>
        <v>环境质量</v>
      </c>
      <c r="AA23" s="1260">
        <f t="shared" si="3"/>
        <v>1</v>
      </c>
      <c r="AB23" s="1260">
        <f t="shared" si="4"/>
        <v>1</v>
      </c>
      <c r="AC23" s="1260">
        <f t="shared" si="5"/>
        <v>1</v>
      </c>
    </row>
    <row r="24" spans="1:29" ht="15">
      <c r="A24" s="365"/>
      <c r="B24" s="584"/>
      <c r="C24" s="384"/>
      <c r="D24" s="385"/>
      <c r="E24" s="1748"/>
      <c r="F24" s="386"/>
      <c r="G24" s="1747"/>
      <c r="H24" s="385"/>
      <c r="I24" s="1748"/>
      <c r="J24" s="385"/>
      <c r="K24" s="539"/>
      <c r="L24" s="866"/>
      <c r="M24" s="857"/>
      <c r="N24" s="857"/>
      <c r="O24" s="865"/>
      <c r="P24" s="3383"/>
      <c r="Q24" s="1259"/>
      <c r="R24" s="665"/>
      <c r="S24" s="666"/>
      <c r="T24" s="665"/>
      <c r="U24" s="666"/>
      <c r="V24" s="665"/>
      <c r="W24" s="666"/>
      <c r="X24" s="1261"/>
      <c r="Y24" s="3383"/>
      <c r="Z24" s="1260"/>
      <c r="AA24" s="1260">
        <v>1</v>
      </c>
      <c r="AB24" s="1260">
        <v>1</v>
      </c>
      <c r="AC24" s="1260">
        <v>1</v>
      </c>
    </row>
    <row r="25" spans="1:29" ht="15">
      <c r="A25" s="346"/>
      <c r="B25" s="1062">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6"/>
      <c r="M25" s="857"/>
      <c r="N25" s="857"/>
      <c r="O25" s="865"/>
      <c r="P25" s="3383"/>
      <c r="Q25" s="1259">
        <f>B25</f>
        <v>111</v>
      </c>
      <c r="R25" s="665" t="s">
        <v>14</v>
      </c>
      <c r="S25" s="666">
        <f>F25</f>
        <v>100</v>
      </c>
      <c r="T25" s="665" t="s">
        <v>14</v>
      </c>
      <c r="U25" s="666">
        <f>H25</f>
        <v>100</v>
      </c>
      <c r="V25" s="665" t="s">
        <v>14</v>
      </c>
      <c r="W25" s="666">
        <f>J25</f>
        <v>100</v>
      </c>
      <c r="X25" s="1261"/>
      <c r="Y25" s="3383"/>
      <c r="Z25" s="1260">
        <f>Q25</f>
        <v>111</v>
      </c>
      <c r="AA25" s="1260">
        <f t="shared" si="3"/>
        <v>1</v>
      </c>
      <c r="AB25" s="1260">
        <f t="shared" si="4"/>
        <v>1</v>
      </c>
      <c r="AC25" s="1260">
        <f t="shared" si="5"/>
        <v>1</v>
      </c>
    </row>
    <row r="26" spans="1:29" ht="15">
      <c r="A26" s="365"/>
      <c r="B26" s="1062">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6"/>
      <c r="M26" s="857"/>
      <c r="N26" s="857"/>
      <c r="O26" s="865"/>
      <c r="P26" s="3383"/>
      <c r="Q26" s="1259">
        <f t="shared" ref="Q26:Q40" si="11">B26</f>
        <v>111</v>
      </c>
      <c r="R26" s="665" t="s">
        <v>14</v>
      </c>
      <c r="S26" s="666">
        <f>F26</f>
        <v>100</v>
      </c>
      <c r="T26" s="665" t="s">
        <v>14</v>
      </c>
      <c r="U26" s="666">
        <f>H26</f>
        <v>100</v>
      </c>
      <c r="V26" s="665" t="s">
        <v>14</v>
      </c>
      <c r="W26" s="666">
        <f>J26</f>
        <v>100</v>
      </c>
      <c r="X26" s="1261"/>
      <c r="Y26" s="3383"/>
      <c r="Z26" s="1260">
        <f>Q26</f>
        <v>111</v>
      </c>
      <c r="AA26" s="1260">
        <f t="shared" si="3"/>
        <v>1</v>
      </c>
      <c r="AB26" s="1260">
        <f t="shared" si="4"/>
        <v>1</v>
      </c>
      <c r="AC26" s="1260">
        <f t="shared" si="5"/>
        <v>1</v>
      </c>
    </row>
    <row r="27" spans="1:29" s="100" customFormat="1" ht="15">
      <c r="A27" s="368"/>
      <c r="B27" s="1062">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8"/>
      <c r="M27" s="859"/>
      <c r="N27" s="859"/>
      <c r="O27" s="860"/>
      <c r="P27" s="3383"/>
      <c r="Q27" s="528">
        <f t="shared" si="11"/>
        <v>111</v>
      </c>
      <c r="R27" s="662" t="s">
        <v>14</v>
      </c>
      <c r="S27" s="663">
        <f>F27</f>
        <v>100</v>
      </c>
      <c r="T27" s="662" t="s">
        <v>14</v>
      </c>
      <c r="U27" s="663">
        <f>H27</f>
        <v>100</v>
      </c>
      <c r="V27" s="662" t="s">
        <v>14</v>
      </c>
      <c r="W27" s="663">
        <f>J27</f>
        <v>100</v>
      </c>
      <c r="X27" s="664"/>
      <c r="Y27" s="3383"/>
      <c r="Z27" s="50">
        <f>Q27</f>
        <v>111</v>
      </c>
      <c r="AA27" s="1260">
        <f>D27/F27</f>
        <v>1</v>
      </c>
      <c r="AB27" s="1260">
        <f>D27/H27</f>
        <v>1</v>
      </c>
      <c r="AC27" s="1260">
        <f>D27/J27</f>
        <v>1</v>
      </c>
    </row>
    <row r="28" spans="1:29" ht="15.75" thickBot="1">
      <c r="A28" s="373"/>
      <c r="B28" s="1062">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6"/>
      <c r="M28" s="857"/>
      <c r="N28" s="857"/>
      <c r="O28" s="865"/>
      <c r="P28" s="3383"/>
      <c r="Q28" s="1259">
        <f t="shared" si="11"/>
        <v>111</v>
      </c>
      <c r="R28" s="665" t="s">
        <v>14</v>
      </c>
      <c r="S28" s="666">
        <f t="shared" ref="S28:S40" si="12">F28</f>
        <v>100</v>
      </c>
      <c r="T28" s="665" t="s">
        <v>14</v>
      </c>
      <c r="U28" s="666">
        <f t="shared" ref="U28:U40" si="13">H28</f>
        <v>100</v>
      </c>
      <c r="V28" s="665" t="s">
        <v>14</v>
      </c>
      <c r="W28" s="666">
        <f t="shared" ref="W28:W40" si="14">J28</f>
        <v>100</v>
      </c>
      <c r="X28" s="1261"/>
      <c r="Y28" s="3383"/>
      <c r="Z28" s="1260">
        <f t="shared" ref="Z28:Z40" si="15">Q28</f>
        <v>111</v>
      </c>
      <c r="AA28" s="1260">
        <f t="shared" si="3"/>
        <v>1</v>
      </c>
      <c r="AB28" s="1260">
        <f t="shared" si="4"/>
        <v>1</v>
      </c>
      <c r="AC28" s="1260">
        <f t="shared" si="5"/>
        <v>1</v>
      </c>
    </row>
    <row r="29" spans="1:29" ht="28.5">
      <c r="A29" s="402" t="s">
        <v>1694</v>
      </c>
      <c r="B29" s="60" t="s">
        <v>1817</v>
      </c>
      <c r="C29" s="1760"/>
      <c r="D29" s="403">
        <v>100</v>
      </c>
      <c r="E29" s="1760"/>
      <c r="F29" s="398">
        <f>SUMIF(88:88,E29,89:89)-SUMIF(88:88,C29,89:89)+100</f>
        <v>100</v>
      </c>
      <c r="G29" s="1760"/>
      <c r="H29" s="372">
        <f>SUMIF(88:88,G29,89:89)-SUMIF(88:88,C29,89:89)+100</f>
        <v>100</v>
      </c>
      <c r="I29" s="1760"/>
      <c r="J29" s="403">
        <f>SUMIF(88:88,I29,89:89)-SUMIF(88:88,C29,89:89)+100</f>
        <v>100</v>
      </c>
      <c r="K29" s="536"/>
      <c r="L29" s="866"/>
      <c r="M29" s="857"/>
      <c r="N29" s="857"/>
      <c r="O29" s="865"/>
      <c r="P29" s="3384" t="s">
        <v>1696</v>
      </c>
      <c r="Q29" s="1259" t="str">
        <f t="shared" si="11"/>
        <v>建筑类型</v>
      </c>
      <c r="R29" s="665" t="s">
        <v>14</v>
      </c>
      <c r="S29" s="666">
        <f t="shared" si="12"/>
        <v>100</v>
      </c>
      <c r="T29" s="665" t="s">
        <v>14</v>
      </c>
      <c r="U29" s="666">
        <f t="shared" si="13"/>
        <v>100</v>
      </c>
      <c r="V29" s="665" t="s">
        <v>14</v>
      </c>
      <c r="W29" s="666">
        <f t="shared" si="14"/>
        <v>100</v>
      </c>
      <c r="X29" s="1261"/>
      <c r="Y29" s="3385" t="s">
        <v>1696</v>
      </c>
      <c r="Z29" s="1260" t="str">
        <f t="shared" si="15"/>
        <v>建筑类型</v>
      </c>
      <c r="AA29" s="1260">
        <f t="shared" si="3"/>
        <v>1</v>
      </c>
      <c r="AB29" s="1260">
        <f t="shared" si="4"/>
        <v>1</v>
      </c>
      <c r="AC29" s="1260">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4"/>
      <c r="M30" s="867"/>
      <c r="N30" s="867"/>
      <c r="O30" s="868"/>
      <c r="P30" s="3385"/>
      <c r="Q30" s="529" t="str">
        <f t="shared" si="11"/>
        <v>项目建筑规模</v>
      </c>
      <c r="R30" s="667" t="s">
        <v>14</v>
      </c>
      <c r="S30" s="668" t="e">
        <f t="shared" si="12"/>
        <v>#N/A</v>
      </c>
      <c r="T30" s="667" t="s">
        <v>14</v>
      </c>
      <c r="U30" s="668" t="e">
        <f t="shared" si="13"/>
        <v>#N/A</v>
      </c>
      <c r="V30" s="667" t="s">
        <v>14</v>
      </c>
      <c r="W30" s="668" t="e">
        <f t="shared" si="14"/>
        <v>#N/A</v>
      </c>
      <c r="X30" s="669"/>
      <c r="Y30" s="3385"/>
      <c r="Z30" s="670" t="str">
        <f t="shared" si="15"/>
        <v>项目建筑规模</v>
      </c>
      <c r="AA30" s="1260" t="e">
        <f t="shared" si="3"/>
        <v>#N/A</v>
      </c>
      <c r="AB30" s="1260" t="e">
        <f t="shared" si="4"/>
        <v>#N/A</v>
      </c>
      <c r="AC30" s="1260"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6"/>
      <c r="M31" s="857"/>
      <c r="N31" s="857"/>
      <c r="O31" s="865"/>
      <c r="P31" s="3385"/>
      <c r="Q31" s="1259" t="str">
        <f t="shared" si="11"/>
        <v>建筑结构</v>
      </c>
      <c r="R31" s="665" t="s">
        <v>14</v>
      </c>
      <c r="S31" s="666">
        <f t="shared" si="12"/>
        <v>100</v>
      </c>
      <c r="T31" s="665" t="s">
        <v>14</v>
      </c>
      <c r="U31" s="666">
        <f t="shared" si="13"/>
        <v>100</v>
      </c>
      <c r="V31" s="665" t="s">
        <v>14</v>
      </c>
      <c r="W31" s="666">
        <f t="shared" si="14"/>
        <v>100</v>
      </c>
      <c r="X31" s="1261"/>
      <c r="Y31" s="3385"/>
      <c r="Z31" s="1260" t="str">
        <f t="shared" si="15"/>
        <v>建筑结构</v>
      </c>
      <c r="AA31" s="1260">
        <f t="shared" si="3"/>
        <v>1</v>
      </c>
      <c r="AB31" s="1260">
        <f t="shared" si="4"/>
        <v>1</v>
      </c>
      <c r="AC31" s="1260">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6"/>
      <c r="M32" s="857"/>
      <c r="N32" s="857"/>
      <c r="O32" s="865"/>
      <c r="P32" s="3385"/>
      <c r="Q32" s="1259" t="str">
        <f t="shared" si="11"/>
        <v>公共部分装修</v>
      </c>
      <c r="R32" s="665" t="s">
        <v>14</v>
      </c>
      <c r="S32" s="666">
        <f t="shared" si="12"/>
        <v>100</v>
      </c>
      <c r="T32" s="665" t="s">
        <v>14</v>
      </c>
      <c r="U32" s="666">
        <f t="shared" si="13"/>
        <v>100</v>
      </c>
      <c r="V32" s="665" t="s">
        <v>14</v>
      </c>
      <c r="W32" s="666">
        <f t="shared" si="14"/>
        <v>100</v>
      </c>
      <c r="X32" s="1261"/>
      <c r="Y32" s="3385"/>
      <c r="Z32" s="1260" t="str">
        <f t="shared" si="15"/>
        <v>公共部分装修</v>
      </c>
      <c r="AA32" s="1260">
        <f t="shared" si="3"/>
        <v>1</v>
      </c>
      <c r="AB32" s="1260">
        <f t="shared" si="4"/>
        <v>1</v>
      </c>
      <c r="AC32" s="1260">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6"/>
      <c r="M33" s="857"/>
      <c r="N33" s="857"/>
      <c r="O33" s="865"/>
      <c r="P33" s="3385"/>
      <c r="Q33" s="1259" t="str">
        <f t="shared" si="11"/>
        <v>成新度</v>
      </c>
      <c r="R33" s="665" t="s">
        <v>14</v>
      </c>
      <c r="S33" s="666" t="e">
        <f t="shared" si="12"/>
        <v>#N/A</v>
      </c>
      <c r="T33" s="665" t="s">
        <v>14</v>
      </c>
      <c r="U33" s="666" t="e">
        <f t="shared" si="13"/>
        <v>#N/A</v>
      </c>
      <c r="V33" s="665" t="s">
        <v>14</v>
      </c>
      <c r="W33" s="666" t="e">
        <f t="shared" si="14"/>
        <v>#N/A</v>
      </c>
      <c r="X33" s="1261"/>
      <c r="Y33" s="3385"/>
      <c r="Z33" s="1260" t="str">
        <f t="shared" si="15"/>
        <v>成新度</v>
      </c>
      <c r="AA33" s="1260" t="e">
        <f t="shared" si="3"/>
        <v>#N/A</v>
      </c>
      <c r="AB33" s="1260" t="e">
        <f t="shared" si="4"/>
        <v>#N/A</v>
      </c>
      <c r="AC33" s="1260" t="e">
        <f t="shared" si="5"/>
        <v>#N/A</v>
      </c>
    </row>
    <row r="34" spans="1:29" s="100"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8"/>
      <c r="M34" s="859"/>
      <c r="N34" s="859"/>
      <c r="O34" s="860"/>
      <c r="P34" s="3385"/>
      <c r="Q34" s="528" t="str">
        <f t="shared" si="11"/>
        <v>物业管理</v>
      </c>
      <c r="R34" s="662" t="s">
        <v>14</v>
      </c>
      <c r="S34" s="663">
        <f t="shared" si="12"/>
        <v>100</v>
      </c>
      <c r="T34" s="662" t="s">
        <v>14</v>
      </c>
      <c r="U34" s="663">
        <f t="shared" si="13"/>
        <v>100</v>
      </c>
      <c r="V34" s="662" t="s">
        <v>14</v>
      </c>
      <c r="W34" s="663">
        <f t="shared" si="14"/>
        <v>100</v>
      </c>
      <c r="X34" s="664"/>
      <c r="Y34" s="3385"/>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6"/>
      <c r="M35" s="857"/>
      <c r="N35" s="857"/>
      <c r="O35" s="865"/>
      <c r="P35" s="3385" t="s">
        <v>1696</v>
      </c>
      <c r="Q35" s="1259" t="str">
        <f t="shared" si="11"/>
        <v>市政基础设施</v>
      </c>
      <c r="R35" s="665" t="s">
        <v>14</v>
      </c>
      <c r="S35" s="666">
        <f t="shared" si="12"/>
        <v>100</v>
      </c>
      <c r="T35" s="665" t="s">
        <v>14</v>
      </c>
      <c r="U35" s="666">
        <f t="shared" si="13"/>
        <v>100</v>
      </c>
      <c r="V35" s="665" t="s">
        <v>14</v>
      </c>
      <c r="W35" s="666">
        <f t="shared" si="14"/>
        <v>100</v>
      </c>
      <c r="X35" s="1261"/>
      <c r="Y35" s="3385" t="s">
        <v>1696</v>
      </c>
      <c r="Z35" s="1260" t="str">
        <f t="shared" si="15"/>
        <v>市政基础设施</v>
      </c>
      <c r="AA35" s="1260">
        <f t="shared" si="3"/>
        <v>1</v>
      </c>
      <c r="AB35" s="1260">
        <f t="shared" si="4"/>
        <v>1</v>
      </c>
      <c r="AC35" s="1260">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6"/>
      <c r="M36" s="857"/>
      <c r="N36" s="857"/>
      <c r="O36" s="865"/>
      <c r="P36" s="3385"/>
      <c r="Q36" s="1259" t="str">
        <f t="shared" si="11"/>
        <v>内部装修</v>
      </c>
      <c r="R36" s="665" t="s">
        <v>14</v>
      </c>
      <c r="S36" s="666">
        <f t="shared" si="12"/>
        <v>100</v>
      </c>
      <c r="T36" s="665" t="s">
        <v>14</v>
      </c>
      <c r="U36" s="666">
        <f t="shared" si="13"/>
        <v>100</v>
      </c>
      <c r="V36" s="665" t="s">
        <v>14</v>
      </c>
      <c r="W36" s="666">
        <f t="shared" si="14"/>
        <v>100</v>
      </c>
      <c r="X36" s="1261"/>
      <c r="Y36" s="3385"/>
      <c r="Z36" s="1260" t="str">
        <f t="shared" si="15"/>
        <v>内部装修</v>
      </c>
      <c r="AA36" s="1260">
        <f t="shared" si="3"/>
        <v>1</v>
      </c>
      <c r="AB36" s="1260">
        <f t="shared" si="4"/>
        <v>1</v>
      </c>
      <c r="AC36" s="1260">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6"/>
      <c r="M37" s="857"/>
      <c r="N37" s="857"/>
      <c r="O37" s="865"/>
      <c r="P37" s="3385"/>
      <c r="Q37" s="1259" t="str">
        <f t="shared" si="11"/>
        <v>内部装修状况</v>
      </c>
      <c r="R37" s="665" t="s">
        <v>14</v>
      </c>
      <c r="S37" s="666">
        <f t="shared" si="12"/>
        <v>100</v>
      </c>
      <c r="T37" s="665" t="s">
        <v>14</v>
      </c>
      <c r="U37" s="666">
        <f t="shared" si="13"/>
        <v>100</v>
      </c>
      <c r="V37" s="665" t="s">
        <v>14</v>
      </c>
      <c r="W37" s="666">
        <f t="shared" si="14"/>
        <v>100</v>
      </c>
      <c r="X37" s="1261"/>
      <c r="Y37" s="3385"/>
      <c r="Z37" s="1260" t="str">
        <f t="shared" si="15"/>
        <v>内部装修状况</v>
      </c>
      <c r="AA37" s="1260">
        <f t="shared" si="3"/>
        <v>1</v>
      </c>
      <c r="AB37" s="1260">
        <f t="shared" si="4"/>
        <v>1</v>
      </c>
      <c r="AC37" s="1260">
        <f t="shared" si="5"/>
        <v>1</v>
      </c>
    </row>
    <row r="38" spans="1:29" s="406" customFormat="1" ht="15">
      <c r="A38" s="404"/>
      <c r="B38" s="1062">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4"/>
      <c r="M38" s="867"/>
      <c r="N38" s="867"/>
      <c r="O38" s="868"/>
      <c r="P38" s="3385"/>
      <c r="Q38" s="529">
        <f t="shared" si="11"/>
        <v>111</v>
      </c>
      <c r="R38" s="667" t="s">
        <v>14</v>
      </c>
      <c r="S38" s="668">
        <f t="shared" si="12"/>
        <v>100</v>
      </c>
      <c r="T38" s="667" t="s">
        <v>14</v>
      </c>
      <c r="U38" s="668">
        <f t="shared" si="13"/>
        <v>100</v>
      </c>
      <c r="V38" s="667" t="s">
        <v>14</v>
      </c>
      <c r="W38" s="668">
        <f t="shared" si="14"/>
        <v>100</v>
      </c>
      <c r="X38" s="669"/>
      <c r="Y38" s="3385"/>
      <c r="Z38" s="670">
        <f t="shared" si="15"/>
        <v>111</v>
      </c>
      <c r="AA38" s="1260">
        <f t="shared" si="3"/>
        <v>1</v>
      </c>
      <c r="AB38" s="1260">
        <f t="shared" si="4"/>
        <v>1</v>
      </c>
      <c r="AC38" s="1260">
        <f t="shared" si="5"/>
        <v>1</v>
      </c>
    </row>
    <row r="39" spans="1:29" ht="15">
      <c r="A39" s="407"/>
      <c r="B39" s="1062">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6"/>
      <c r="M39" s="857"/>
      <c r="N39" s="857"/>
      <c r="O39" s="865"/>
      <c r="P39" s="3385"/>
      <c r="Q39" s="1259">
        <f t="shared" si="11"/>
        <v>111</v>
      </c>
      <c r="R39" s="665" t="s">
        <v>14</v>
      </c>
      <c r="S39" s="666">
        <f t="shared" si="12"/>
        <v>100</v>
      </c>
      <c r="T39" s="665" t="s">
        <v>14</v>
      </c>
      <c r="U39" s="666">
        <f t="shared" si="13"/>
        <v>100</v>
      </c>
      <c r="V39" s="665" t="s">
        <v>14</v>
      </c>
      <c r="W39" s="666">
        <f t="shared" si="14"/>
        <v>100</v>
      </c>
      <c r="X39" s="1261"/>
      <c r="Y39" s="3385"/>
      <c r="Z39" s="1260">
        <f t="shared" si="15"/>
        <v>111</v>
      </c>
      <c r="AA39" s="1260">
        <f t="shared" si="3"/>
        <v>1</v>
      </c>
      <c r="AB39" s="1260">
        <f t="shared" si="4"/>
        <v>1</v>
      </c>
      <c r="AC39" s="1260">
        <f t="shared" si="5"/>
        <v>1</v>
      </c>
    </row>
    <row r="40" spans="1:29" ht="15.75"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6"/>
      <c r="M40" s="857"/>
      <c r="N40" s="857"/>
      <c r="O40" s="865"/>
      <c r="P40" s="3449"/>
      <c r="Q40" s="1259">
        <f t="shared" si="11"/>
        <v>111</v>
      </c>
      <c r="R40" s="665" t="s">
        <v>14</v>
      </c>
      <c r="S40" s="666">
        <f t="shared" si="12"/>
        <v>100</v>
      </c>
      <c r="T40" s="665" t="s">
        <v>14</v>
      </c>
      <c r="U40" s="666">
        <f t="shared" si="13"/>
        <v>100</v>
      </c>
      <c r="V40" s="665" t="s">
        <v>14</v>
      </c>
      <c r="W40" s="666">
        <f t="shared" si="14"/>
        <v>100</v>
      </c>
      <c r="X40" s="1261"/>
      <c r="Y40" s="3449"/>
      <c r="Z40" s="1260">
        <f t="shared" si="15"/>
        <v>111</v>
      </c>
      <c r="AA40" s="1260">
        <f t="shared" si="3"/>
        <v>1</v>
      </c>
      <c r="AB40" s="1260">
        <f t="shared" si="4"/>
        <v>1</v>
      </c>
      <c r="AC40" s="1260">
        <f t="shared" si="5"/>
        <v>1</v>
      </c>
    </row>
    <row r="41" spans="1:29" ht="15">
      <c r="A41" s="414" t="s">
        <v>1708</v>
      </c>
      <c r="B41" s="415"/>
      <c r="C41" s="1077" t="s">
        <v>0</v>
      </c>
      <c r="D41" s="416"/>
      <c r="E41" s="417"/>
      <c r="F41" s="418"/>
      <c r="G41" s="419"/>
      <c r="H41" s="420"/>
      <c r="I41" s="417"/>
      <c r="J41" s="420"/>
      <c r="K41" s="672"/>
      <c r="L41" s="869"/>
      <c r="M41" s="857"/>
      <c r="N41" s="857"/>
      <c r="O41" s="857"/>
      <c r="P41" s="3381" t="str">
        <f>A41</f>
        <v>成交单价（元/平方米）</v>
      </c>
      <c r="Q41" s="3381"/>
      <c r="R41" s="3386">
        <f>E41</f>
        <v>0</v>
      </c>
      <c r="S41" s="3386"/>
      <c r="T41" s="3386">
        <f>G41</f>
        <v>0</v>
      </c>
      <c r="U41" s="3386"/>
      <c r="V41" s="3386">
        <f>I41</f>
        <v>0</v>
      </c>
      <c r="W41" s="3386"/>
      <c r="X41" s="383"/>
      <c r="Y41" s="671"/>
      <c r="Z41" s="383"/>
      <c r="AA41" s="383"/>
      <c r="AB41" s="383"/>
      <c r="AC41" s="383"/>
    </row>
    <row r="42" spans="1:29" ht="15.75" thickBot="1">
      <c r="A42" s="421" t="s">
        <v>1793</v>
      </c>
      <c r="B42" s="422"/>
      <c r="C42" s="1078" t="e">
        <f>R43</f>
        <v>#DIV/0!</v>
      </c>
      <c r="D42" s="2137" t="s">
        <v>2137</v>
      </c>
      <c r="E42" s="1079" t="e">
        <f>R42</f>
        <v>#DIV/0!</v>
      </c>
      <c r="F42" s="2138"/>
      <c r="G42" s="1078" t="e">
        <f>T42</f>
        <v>#DIV/0!</v>
      </c>
      <c r="H42" s="2138"/>
      <c r="I42" s="1079" t="e">
        <f>V42</f>
        <v>#DIV/0!</v>
      </c>
      <c r="J42" s="2138"/>
      <c r="K42" s="2140">
        <f>F42+H42+J42</f>
        <v>0</v>
      </c>
      <c r="L42" s="869"/>
      <c r="M42" s="857"/>
      <c r="N42" s="857"/>
      <c r="O42" s="857"/>
      <c r="P42" s="3381" t="str">
        <f>A42</f>
        <v>比较价值（元/平方米）</v>
      </c>
      <c r="Q42" s="3381"/>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383"/>
      <c r="Y42" s="383"/>
      <c r="Z42" s="383"/>
      <c r="AA42" s="383"/>
      <c r="AB42" s="383"/>
      <c r="AC42" s="383"/>
    </row>
    <row r="43" spans="1:29" ht="15.75" thickBot="1">
      <c r="A43" s="425" t="s">
        <v>1794</v>
      </c>
      <c r="B43" s="426"/>
      <c r="C43" s="349" t="e">
        <f>R43</f>
        <v>#DIV/0!</v>
      </c>
      <c r="D43" s="349"/>
      <c r="E43" s="349"/>
      <c r="F43" s="349"/>
      <c r="G43" s="349"/>
      <c r="H43" s="349"/>
      <c r="I43" s="349"/>
      <c r="J43" s="349"/>
      <c r="K43" s="673"/>
      <c r="L43" s="869"/>
      <c r="M43" s="857"/>
      <c r="N43" s="857"/>
      <c r="O43" s="857"/>
      <c r="P43" s="3375" t="str">
        <f>A43</f>
        <v>估价对象XX用房的比较价值（楼面单价，元/平方米）</v>
      </c>
      <c r="Q43" s="3376"/>
      <c r="R43" s="3445" t="e">
        <f>IF(F1="售价",ROUND(IF(D42="简单平均",AVERAGE(R42:V42),R42*F42+T42*H42+V42*J42),0),ROUND(IF(D42="简单平均",AVERAGE(R42:V42),R42*F42+T42*H42+V42*J42),1))</f>
        <v>#DIV/0!</v>
      </c>
      <c r="S43" s="3445"/>
      <c r="T43" s="3445"/>
      <c r="U43" s="3445"/>
      <c r="V43" s="3445"/>
      <c r="W43" s="3445"/>
      <c r="X43" s="383"/>
      <c r="Y43" s="383"/>
      <c r="Z43" s="383"/>
      <c r="AA43" s="383"/>
      <c r="AB43" s="383"/>
      <c r="AC43" s="383"/>
    </row>
    <row r="44" spans="1:29">
      <c r="A44" s="2484"/>
      <c r="B44" s="2484"/>
      <c r="C44" s="2484"/>
      <c r="D44" s="2484"/>
      <c r="E44" s="2484"/>
      <c r="F44" s="2484"/>
      <c r="G44" s="2495"/>
      <c r="H44" s="2484"/>
      <c r="I44" s="2484"/>
      <c r="J44" s="2484"/>
      <c r="K44" s="2496"/>
      <c r="L44" s="832"/>
      <c r="M44" s="857"/>
      <c r="N44" s="857"/>
      <c r="O44" s="857"/>
    </row>
    <row r="45" spans="1:29">
      <c r="A45" s="2484"/>
      <c r="B45" s="2484"/>
      <c r="C45" s="2484"/>
      <c r="D45" s="2484"/>
      <c r="E45" s="2484"/>
      <c r="F45" s="2484"/>
      <c r="G45" s="2484"/>
      <c r="H45" s="2484"/>
      <c r="I45" s="2484"/>
      <c r="J45" s="2484"/>
      <c r="K45" s="2496"/>
      <c r="L45" s="832"/>
      <c r="M45" s="857"/>
      <c r="N45" s="857"/>
      <c r="O45" s="857"/>
    </row>
    <row r="46" spans="1:29"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832"/>
      <c r="M46" s="857"/>
      <c r="N46" s="857"/>
      <c r="O46" s="857"/>
    </row>
    <row r="47" spans="1:29"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832"/>
      <c r="M47" s="857"/>
      <c r="N47" s="857"/>
      <c r="O47" s="857"/>
    </row>
    <row r="48" spans="1:29"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872"/>
      <c r="M48" s="870"/>
      <c r="N48" s="870"/>
      <c r="O48" s="870"/>
    </row>
    <row r="49" spans="1:17" s="435" customFormat="1">
      <c r="A49" s="2494"/>
      <c r="B49" s="2497"/>
      <c r="C49" s="2498"/>
      <c r="D49" s="2494"/>
      <c r="E49" s="2494"/>
      <c r="F49" s="2494"/>
      <c r="G49" s="2494"/>
      <c r="H49" s="2494"/>
      <c r="I49" s="2494"/>
      <c r="J49" s="2494"/>
      <c r="K49" s="2499"/>
      <c r="L49" s="872"/>
      <c r="M49" s="870"/>
      <c r="N49" s="870"/>
      <c r="O49" s="870"/>
    </row>
    <row r="50" spans="1:17">
      <c r="A50" s="2484"/>
      <c r="B50" s="2497"/>
      <c r="C50" s="2498"/>
      <c r="D50" s="2484"/>
      <c r="E50" s="2484"/>
      <c r="F50" s="2484"/>
      <c r="G50" s="2484"/>
      <c r="H50" s="2484"/>
      <c r="I50" s="2484"/>
      <c r="J50" s="2484"/>
      <c r="K50" s="2496"/>
      <c r="L50" s="832"/>
      <c r="M50" s="857"/>
      <c r="N50" s="857"/>
      <c r="O50" s="857"/>
    </row>
    <row r="51" spans="1:17" ht="21.75" thickBot="1">
      <c r="A51" s="656" t="s">
        <v>1798</v>
      </c>
      <c r="B51" s="383"/>
      <c r="C51" s="657"/>
      <c r="D51" s="657"/>
      <c r="E51" s="657"/>
      <c r="F51" s="658"/>
      <c r="G51" s="658"/>
      <c r="H51" s="657"/>
      <c r="I51" s="657"/>
      <c r="J51" s="657"/>
      <c r="K51" s="883"/>
      <c r="L51" s="884"/>
      <c r="M51" s="882"/>
      <c r="N51" s="882"/>
      <c r="O51" s="882"/>
      <c r="P51" s="436"/>
      <c r="Q51" s="437"/>
    </row>
    <row r="52" spans="1:17" s="440" customFormat="1" ht="15">
      <c r="A52" s="438" t="s">
        <v>1679</v>
      </c>
      <c r="B52" s="439"/>
      <c r="C52" s="1099" t="str">
        <f>YEAR(C7)&amp;"-"&amp;MONTH(C7)</f>
        <v>2025-9</v>
      </c>
      <c r="D52" s="1100">
        <f>EDATE(C52,-1)</f>
        <v>45870</v>
      </c>
      <c r="E52" s="1100">
        <f t="shared" ref="E52:O52" si="16">EDATE(D52,-1)</f>
        <v>45839</v>
      </c>
      <c r="F52" s="1100">
        <f t="shared" si="16"/>
        <v>45809</v>
      </c>
      <c r="G52" s="1100">
        <f t="shared" si="16"/>
        <v>45778</v>
      </c>
      <c r="H52" s="1100">
        <f t="shared" si="16"/>
        <v>45748</v>
      </c>
      <c r="I52" s="1100">
        <f t="shared" si="16"/>
        <v>45717</v>
      </c>
      <c r="J52" s="1100">
        <f t="shared" si="16"/>
        <v>45689</v>
      </c>
      <c r="K52" s="1100">
        <f t="shared" si="16"/>
        <v>45658</v>
      </c>
      <c r="L52" s="1100">
        <f t="shared" si="16"/>
        <v>45627</v>
      </c>
      <c r="M52" s="1100">
        <f t="shared" si="16"/>
        <v>45597</v>
      </c>
      <c r="N52" s="1100">
        <f t="shared" si="16"/>
        <v>45566</v>
      </c>
      <c r="O52" s="1100">
        <f t="shared" si="16"/>
        <v>45536</v>
      </c>
    </row>
    <row r="53" spans="1:17" s="100" customFormat="1" ht="15">
      <c r="A53" s="441"/>
      <c r="B53" s="442"/>
      <c r="C53" s="1098">
        <v>100</v>
      </c>
      <c r="D53" s="444"/>
      <c r="E53" s="444"/>
      <c r="F53" s="444"/>
      <c r="G53" s="444"/>
      <c r="H53" s="444"/>
      <c r="I53" s="444"/>
      <c r="J53" s="444"/>
      <c r="K53" s="444"/>
      <c r="L53" s="444"/>
      <c r="M53" s="445"/>
      <c r="N53" s="444"/>
      <c r="O53" s="446"/>
      <c r="P53" s="437"/>
    </row>
    <row r="54" spans="1:17" s="100" customFormat="1" ht="15.75" thickBot="1">
      <c r="A54" s="447" t="s">
        <v>1716</v>
      </c>
      <c r="B54" s="448"/>
      <c r="C54" s="449"/>
      <c r="D54" s="450"/>
      <c r="E54" s="450"/>
      <c r="F54" s="450"/>
      <c r="G54" s="450"/>
      <c r="H54" s="450"/>
      <c r="I54" s="450"/>
      <c r="J54" s="450"/>
      <c r="K54" s="450"/>
      <c r="L54" s="450"/>
      <c r="M54" s="451"/>
      <c r="N54" s="2535"/>
      <c r="O54" s="2536"/>
      <c r="P54" s="437"/>
      <c r="Q54" s="437"/>
    </row>
    <row r="55" spans="1:17" s="100" customFormat="1" ht="15">
      <c r="A55" s="453" t="s">
        <v>1681</v>
      </c>
      <c r="B55" s="442"/>
      <c r="C55" s="454" t="s">
        <v>1776</v>
      </c>
      <c r="D55" s="31"/>
      <c r="E55" s="31"/>
      <c r="F55" s="31"/>
      <c r="G55" s="31"/>
      <c r="H55" s="31"/>
      <c r="I55" s="31"/>
      <c r="J55" s="31"/>
      <c r="K55" s="31"/>
      <c r="L55" s="455"/>
      <c r="M55" s="456"/>
      <c r="N55" s="874"/>
      <c r="O55" s="874"/>
      <c r="P55" s="457"/>
      <c r="Q55" s="437"/>
    </row>
    <row r="56" spans="1:17" s="100" customFormat="1" ht="15.75" thickBot="1">
      <c r="A56" s="453"/>
      <c r="B56" s="442"/>
      <c r="C56" s="561">
        <v>100</v>
      </c>
      <c r="D56" s="444"/>
      <c r="E56" s="444"/>
      <c r="F56" s="444"/>
      <c r="G56" s="444"/>
      <c r="H56" s="444"/>
      <c r="I56" s="444"/>
      <c r="J56" s="444"/>
      <c r="K56" s="444"/>
      <c r="L56" s="444"/>
      <c r="M56" s="446"/>
      <c r="N56" s="874"/>
      <c r="O56" s="874"/>
      <c r="P56" s="437"/>
      <c r="Q56" s="437"/>
    </row>
    <row r="57" spans="1:17">
      <c r="A57" s="377" t="s">
        <v>1719</v>
      </c>
      <c r="B57" s="458" t="s">
        <v>1685</v>
      </c>
      <c r="C57" s="459">
        <f>C9</f>
        <v>0</v>
      </c>
      <c r="D57" s="460"/>
      <c r="E57" s="460"/>
      <c r="F57" s="460"/>
      <c r="G57" s="460"/>
      <c r="H57" s="460"/>
      <c r="I57" s="460"/>
      <c r="J57" s="460"/>
      <c r="K57" s="461"/>
      <c r="L57" s="462"/>
      <c r="M57" s="463"/>
      <c r="N57" s="875"/>
      <c r="O57" s="875"/>
      <c r="P57" s="40"/>
      <c r="Q57" s="437"/>
    </row>
    <row r="58" spans="1:17" ht="15.75" thickBot="1">
      <c r="A58" s="365"/>
      <c r="B58" s="464"/>
      <c r="C58" s="465">
        <v>100</v>
      </c>
      <c r="D58" s="465"/>
      <c r="E58" s="465"/>
      <c r="F58" s="465"/>
      <c r="G58" s="465"/>
      <c r="H58" s="465"/>
      <c r="I58" s="465"/>
      <c r="J58" s="465"/>
      <c r="K58" s="465"/>
      <c r="L58" s="465"/>
      <c r="M58" s="466"/>
      <c r="N58" s="876"/>
      <c r="O58" s="876"/>
      <c r="P58" s="40"/>
      <c r="Q58" s="437"/>
    </row>
    <row r="59" spans="1:17" ht="27.75" thickTop="1">
      <c r="A59" s="365"/>
      <c r="B59" s="467" t="s">
        <v>1688</v>
      </c>
      <c r="C59" s="511"/>
      <c r="D59" s="511"/>
      <c r="E59" s="511"/>
      <c r="F59" s="511"/>
      <c r="G59" s="511"/>
      <c r="H59" s="511"/>
      <c r="I59" s="511"/>
      <c r="J59" s="511"/>
      <c r="K59" s="512"/>
      <c r="L59" s="513"/>
      <c r="M59" s="514"/>
      <c r="N59" s="875"/>
      <c r="O59" s="875"/>
      <c r="P59" s="40"/>
      <c r="Q59" s="437"/>
    </row>
    <row r="60" spans="1:17" ht="15.75" thickBot="1">
      <c r="A60" s="365"/>
      <c r="B60" s="472"/>
      <c r="C60" s="465"/>
      <c r="D60" s="465"/>
      <c r="E60" s="465"/>
      <c r="F60" s="465"/>
      <c r="G60" s="465"/>
      <c r="H60" s="465"/>
      <c r="I60" s="465"/>
      <c r="J60" s="465"/>
      <c r="K60" s="465"/>
      <c r="L60" s="465"/>
      <c r="M60" s="466"/>
      <c r="N60" s="876"/>
      <c r="O60" s="876"/>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6"/>
      <c r="O61" s="876"/>
      <c r="P61" s="40"/>
      <c r="Q61" s="437"/>
    </row>
    <row r="62" spans="1:17" ht="15">
      <c r="A62" s="365"/>
      <c r="B62" s="477"/>
      <c r="C62" s="478">
        <v>0</v>
      </c>
      <c r="D62" s="478">
        <v>2</v>
      </c>
      <c r="E62" s="478"/>
      <c r="F62" s="478"/>
      <c r="G62" s="478"/>
      <c r="H62" s="478"/>
      <c r="I62" s="478"/>
      <c r="J62" s="478"/>
      <c r="K62" s="479"/>
      <c r="L62" s="480"/>
      <c r="M62" s="481"/>
      <c r="N62" s="875"/>
      <c r="O62" s="875"/>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6"/>
      <c r="O63" s="876"/>
      <c r="P63" s="40"/>
      <c r="Q63" s="437"/>
    </row>
    <row r="64" spans="1:17" s="406" customFormat="1" ht="15.75" thickTop="1">
      <c r="A64" s="482"/>
      <c r="B64" s="467">
        <f>B12</f>
        <v>111</v>
      </c>
      <c r="C64" s="483"/>
      <c r="D64" s="483"/>
      <c r="E64" s="483"/>
      <c r="F64" s="483"/>
      <c r="G64" s="483"/>
      <c r="H64" s="484"/>
      <c r="I64" s="484"/>
      <c r="J64" s="484"/>
      <c r="K64" s="484"/>
      <c r="L64" s="485"/>
      <c r="M64" s="486"/>
      <c r="N64" s="877"/>
      <c r="O64" s="877"/>
      <c r="P64" s="487"/>
      <c r="Q64" s="488"/>
    </row>
    <row r="65" spans="1:17" s="406" customFormat="1" ht="15.75" thickBot="1">
      <c r="A65" s="482"/>
      <c r="B65" s="472"/>
      <c r="C65" s="489"/>
      <c r="D65" s="465"/>
      <c r="E65" s="465"/>
      <c r="F65" s="465"/>
      <c r="G65" s="465"/>
      <c r="H65" s="465"/>
      <c r="I65" s="465"/>
      <c r="J65" s="465"/>
      <c r="K65" s="465"/>
      <c r="L65" s="465"/>
      <c r="M65" s="466"/>
      <c r="N65" s="876"/>
      <c r="O65" s="876"/>
      <c r="P65" s="487"/>
      <c r="Q65" s="488"/>
    </row>
    <row r="66" spans="1:17" s="406" customFormat="1" ht="15.75" thickTop="1">
      <c r="A66" s="482"/>
      <c r="B66" s="467">
        <f>B13</f>
        <v>111</v>
      </c>
      <c r="C66" s="483"/>
      <c r="D66" s="483"/>
      <c r="E66" s="483"/>
      <c r="F66" s="483"/>
      <c r="G66" s="483"/>
      <c r="H66" s="484"/>
      <c r="I66" s="484"/>
      <c r="J66" s="484"/>
      <c r="K66" s="484"/>
      <c r="L66" s="485"/>
      <c r="M66" s="486"/>
      <c r="N66" s="877"/>
      <c r="O66" s="877"/>
      <c r="Q66" s="490"/>
    </row>
    <row r="67" spans="1:17" s="406" customFormat="1" ht="15.75" thickBot="1">
      <c r="A67" s="482"/>
      <c r="B67" s="472"/>
      <c r="C67" s="489"/>
      <c r="D67" s="465"/>
      <c r="E67" s="465"/>
      <c r="F67" s="465"/>
      <c r="G67" s="489"/>
      <c r="H67" s="491"/>
      <c r="I67" s="491"/>
      <c r="J67" s="491"/>
      <c r="K67" s="491"/>
      <c r="L67" s="491"/>
      <c r="M67" s="492"/>
      <c r="N67" s="877"/>
      <c r="O67" s="877"/>
      <c r="P67" s="487"/>
      <c r="Q67" s="488"/>
    </row>
    <row r="68" spans="1:17" s="406" customFormat="1" ht="15.75" thickTop="1">
      <c r="A68" s="482"/>
      <c r="B68" s="475">
        <f>B14</f>
        <v>111</v>
      </c>
      <c r="C68" s="31"/>
      <c r="D68" s="31"/>
      <c r="E68" s="31"/>
      <c r="F68" s="31"/>
      <c r="G68" s="31"/>
      <c r="H68" s="493"/>
      <c r="I68" s="493"/>
      <c r="J68" s="493"/>
      <c r="K68" s="493"/>
      <c r="L68" s="494"/>
      <c r="M68" s="495"/>
      <c r="N68" s="877"/>
      <c r="O68" s="877"/>
      <c r="P68" s="496"/>
      <c r="Q68" s="488"/>
    </row>
    <row r="69" spans="1:17" s="406" customFormat="1" ht="15.75" thickBot="1">
      <c r="A69" s="497"/>
      <c r="B69" s="498"/>
      <c r="C69" s="499"/>
      <c r="D69" s="499"/>
      <c r="E69" s="499"/>
      <c r="F69" s="499"/>
      <c r="G69" s="499"/>
      <c r="H69" s="500"/>
      <c r="I69" s="500"/>
      <c r="J69" s="500"/>
      <c r="K69" s="500"/>
      <c r="L69" s="500"/>
      <c r="M69" s="501"/>
      <c r="N69" s="877"/>
      <c r="O69" s="877"/>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5"/>
      <c r="O70" s="875"/>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6"/>
      <c r="O71" s="876"/>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5"/>
      <c r="O72" s="875"/>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6"/>
      <c r="O73" s="876"/>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5"/>
      <c r="O74" s="875"/>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6"/>
      <c r="O75" s="876"/>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59"/>
      <c r="N76" s="876"/>
      <c r="O76" s="876"/>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6"/>
      <c r="O77" s="876"/>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5"/>
      <c r="O78" s="875"/>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6"/>
      <c r="O79" s="876"/>
      <c r="P79" s="40"/>
      <c r="Q79" s="437"/>
    </row>
    <row r="80" spans="1:17" s="100" customFormat="1" ht="15.75" thickTop="1">
      <c r="A80" s="368"/>
      <c r="B80" s="467">
        <f>B25</f>
        <v>111</v>
      </c>
      <c r="C80" s="483"/>
      <c r="D80" s="483"/>
      <c r="E80" s="483"/>
      <c r="F80" s="483"/>
      <c r="G80" s="483"/>
      <c r="H80" s="483"/>
      <c r="I80" s="483"/>
      <c r="J80" s="483"/>
      <c r="K80" s="483"/>
      <c r="L80" s="508"/>
      <c r="M80" s="509"/>
      <c r="N80" s="874"/>
      <c r="O80" s="874"/>
      <c r="P80" s="40"/>
      <c r="Q80" s="437"/>
    </row>
    <row r="81" spans="1:17" s="100" customFormat="1" ht="15.75" thickBot="1">
      <c r="A81" s="368"/>
      <c r="B81" s="472"/>
      <c r="C81" s="489"/>
      <c r="D81" s="465"/>
      <c r="E81" s="465"/>
      <c r="F81" s="465"/>
      <c r="G81" s="465"/>
      <c r="H81" s="465"/>
      <c r="I81" s="465"/>
      <c r="J81" s="465"/>
      <c r="K81" s="465"/>
      <c r="L81" s="465"/>
      <c r="M81" s="466"/>
      <c r="N81" s="876"/>
      <c r="O81" s="876"/>
      <c r="P81" s="40"/>
      <c r="Q81" s="437"/>
    </row>
    <row r="82" spans="1:17" s="100" customFormat="1" ht="15.75" thickTop="1">
      <c r="A82" s="368"/>
      <c r="B82" s="467">
        <f>B26</f>
        <v>111</v>
      </c>
      <c r="C82" s="483"/>
      <c r="D82" s="483"/>
      <c r="E82" s="483"/>
      <c r="F82" s="483"/>
      <c r="G82" s="483"/>
      <c r="H82" s="483"/>
      <c r="I82" s="483"/>
      <c r="J82" s="483"/>
      <c r="K82" s="483"/>
      <c r="L82" s="508"/>
      <c r="M82" s="509"/>
      <c r="N82" s="874"/>
      <c r="O82" s="874"/>
      <c r="P82" s="40"/>
      <c r="Q82" s="437"/>
    </row>
    <row r="83" spans="1:17" s="100" customFormat="1" ht="15.75" thickBot="1">
      <c r="A83" s="368"/>
      <c r="B83" s="472"/>
      <c r="C83" s="489"/>
      <c r="D83" s="465"/>
      <c r="E83" s="465"/>
      <c r="F83" s="465"/>
      <c r="G83" s="465"/>
      <c r="H83" s="465"/>
      <c r="I83" s="465"/>
      <c r="J83" s="465"/>
      <c r="K83" s="465"/>
      <c r="L83" s="465"/>
      <c r="M83" s="466"/>
      <c r="N83" s="876"/>
      <c r="O83" s="876"/>
      <c r="P83" s="40"/>
      <c r="Q83" s="437"/>
    </row>
    <row r="84" spans="1:17" s="406" customFormat="1" ht="15.75" thickTop="1">
      <c r="A84" s="482"/>
      <c r="B84" s="467">
        <f>B27</f>
        <v>111</v>
      </c>
      <c r="C84" s="483"/>
      <c r="D84" s="483"/>
      <c r="E84" s="483"/>
      <c r="F84" s="483"/>
      <c r="G84" s="483"/>
      <c r="H84" s="483"/>
      <c r="I84" s="483"/>
      <c r="J84" s="483"/>
      <c r="K84" s="483"/>
      <c r="L84" s="508"/>
      <c r="M84" s="509"/>
      <c r="N84" s="877"/>
      <c r="O84" s="877"/>
      <c r="P84" s="487"/>
      <c r="Q84" s="488"/>
    </row>
    <row r="85" spans="1:17" s="406" customFormat="1" ht="15.75" thickBot="1">
      <c r="A85" s="482"/>
      <c r="B85" s="472"/>
      <c r="C85" s="489"/>
      <c r="D85" s="465"/>
      <c r="E85" s="465"/>
      <c r="F85" s="465"/>
      <c r="G85" s="465"/>
      <c r="H85" s="465"/>
      <c r="I85" s="465"/>
      <c r="J85" s="465"/>
      <c r="K85" s="465"/>
      <c r="L85" s="465"/>
      <c r="M85" s="466"/>
      <c r="N85" s="877"/>
      <c r="O85" s="877"/>
      <c r="P85" s="487"/>
      <c r="Q85" s="488"/>
    </row>
    <row r="86" spans="1:17" ht="15.75" thickTop="1">
      <c r="A86" s="365"/>
      <c r="B86" s="475">
        <f>B28</f>
        <v>111</v>
      </c>
      <c r="C86" s="31"/>
      <c r="D86" s="31"/>
      <c r="E86" s="31"/>
      <c r="F86" s="31"/>
      <c r="G86" s="515"/>
      <c r="H86" s="515"/>
      <c r="I86" s="515"/>
      <c r="J86" s="515"/>
      <c r="K86" s="516"/>
      <c r="L86" s="517"/>
      <c r="M86" s="518"/>
      <c r="N86" s="875"/>
      <c r="O86" s="875"/>
      <c r="P86" s="40"/>
      <c r="Q86" s="437"/>
    </row>
    <row r="87" spans="1:17" ht="15.75" thickBot="1">
      <c r="A87" s="373"/>
      <c r="B87" s="498"/>
      <c r="C87" s="499"/>
      <c r="D87" s="499"/>
      <c r="E87" s="499"/>
      <c r="F87" s="499"/>
      <c r="G87" s="519"/>
      <c r="H87" s="519"/>
      <c r="I87" s="519"/>
      <c r="J87" s="519"/>
      <c r="K87" s="519"/>
      <c r="L87" s="519"/>
      <c r="M87" s="520"/>
      <c r="N87" s="876"/>
      <c r="O87" s="876"/>
      <c r="P87" s="40"/>
      <c r="Q87" s="437"/>
    </row>
    <row r="88" spans="1:17">
      <c r="A88" s="377" t="s">
        <v>1694</v>
      </c>
      <c r="B88" s="458" t="s">
        <v>1736</v>
      </c>
      <c r="C88" s="460"/>
      <c r="D88" s="460"/>
      <c r="E88" s="460"/>
      <c r="F88" s="460"/>
      <c r="G88" s="460"/>
      <c r="H88" s="460"/>
      <c r="I88" s="460"/>
      <c r="J88" s="460"/>
      <c r="K88" s="461"/>
      <c r="L88" s="462"/>
      <c r="M88" s="463"/>
      <c r="N88" s="875"/>
      <c r="O88" s="875"/>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6"/>
      <c r="O89" s="876"/>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4"/>
      <c r="O90" s="874"/>
      <c r="P90" s="40"/>
      <c r="Q90" s="437"/>
    </row>
    <row r="91" spans="1:17" s="406" customFormat="1">
      <c r="A91" s="404"/>
      <c r="B91" s="521"/>
      <c r="C91" s="6"/>
      <c r="D91" s="6"/>
      <c r="E91" s="6"/>
      <c r="F91" s="6"/>
      <c r="G91" s="6"/>
      <c r="H91" s="6"/>
      <c r="I91" s="6"/>
      <c r="J91" s="522"/>
      <c r="K91" s="522"/>
      <c r="L91" s="523"/>
      <c r="M91" s="524"/>
      <c r="N91" s="877"/>
      <c r="O91" s="877"/>
      <c r="P91" s="487"/>
      <c r="Q91" s="488"/>
    </row>
    <row r="92" spans="1:17" s="406" customFormat="1" ht="15.75" thickBot="1">
      <c r="A92" s="482"/>
      <c r="B92" s="472"/>
      <c r="C92" s="489"/>
      <c r="D92" s="465"/>
      <c r="E92" s="465"/>
      <c r="F92" s="465"/>
      <c r="G92" s="465"/>
      <c r="H92" s="465"/>
      <c r="I92" s="465"/>
      <c r="J92" s="465"/>
      <c r="K92" s="465"/>
      <c r="L92" s="465"/>
      <c r="M92" s="466"/>
      <c r="N92" s="876"/>
      <c r="O92" s="876"/>
      <c r="P92" s="487"/>
      <c r="Q92" s="488"/>
    </row>
    <row r="93" spans="1:17" ht="15" thickTop="1">
      <c r="A93" s="407"/>
      <c r="B93" s="467" t="s">
        <v>1738</v>
      </c>
      <c r="C93" s="483"/>
      <c r="D93" s="483"/>
      <c r="E93" s="511"/>
      <c r="F93" s="511"/>
      <c r="G93" s="511"/>
      <c r="H93" s="511"/>
      <c r="I93" s="511"/>
      <c r="J93" s="511"/>
      <c r="K93" s="512"/>
      <c r="L93" s="513"/>
      <c r="M93" s="514"/>
      <c r="N93" s="875"/>
      <c r="O93" s="875"/>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6"/>
      <c r="O94" s="876"/>
      <c r="P94" s="40"/>
      <c r="Q94" s="437"/>
    </row>
    <row r="95" spans="1:17" ht="15" thickTop="1">
      <c r="A95" s="407"/>
      <c r="B95" s="467" t="s">
        <v>1740</v>
      </c>
      <c r="C95" s="483"/>
      <c r="D95" s="483"/>
      <c r="E95" s="483"/>
      <c r="F95" s="511"/>
      <c r="G95" s="511"/>
      <c r="H95" s="511"/>
      <c r="I95" s="511"/>
      <c r="J95" s="511"/>
      <c r="K95" s="512"/>
      <c r="L95" s="513"/>
      <c r="M95" s="514"/>
      <c r="N95" s="875"/>
      <c r="O95" s="875"/>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6"/>
      <c r="O96" s="876"/>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5"/>
      <c r="O97" s="875"/>
      <c r="P97" s="40"/>
      <c r="Q97" s="437"/>
    </row>
    <row r="98" spans="1:17">
      <c r="A98" s="407"/>
      <c r="B98" s="475"/>
      <c r="C98" s="528">
        <v>0.5</v>
      </c>
      <c r="D98" s="528">
        <v>0.6</v>
      </c>
      <c r="E98" s="528">
        <v>0.7</v>
      </c>
      <c r="F98" s="528">
        <v>0.8</v>
      </c>
      <c r="G98" s="528">
        <v>0.9</v>
      </c>
      <c r="H98" s="528">
        <v>1.0001</v>
      </c>
      <c r="I98" s="546"/>
      <c r="J98" s="546"/>
      <c r="K98" s="547"/>
      <c r="L98" s="548"/>
      <c r="M98" s="549"/>
      <c r="N98" s="875"/>
      <c r="O98" s="875"/>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6"/>
      <c r="O99" s="876"/>
      <c r="P99" s="40"/>
      <c r="Q99" s="437"/>
    </row>
    <row r="100" spans="1:17" s="406" customFormat="1" ht="15" thickTop="1">
      <c r="A100" s="404"/>
      <c r="B100" s="467" t="s">
        <v>1741</v>
      </c>
      <c r="C100" s="483"/>
      <c r="D100" s="483"/>
      <c r="E100" s="483"/>
      <c r="F100" s="483"/>
      <c r="G100" s="483"/>
      <c r="H100" s="511"/>
      <c r="I100" s="511"/>
      <c r="J100" s="511"/>
      <c r="K100" s="512"/>
      <c r="L100" s="513"/>
      <c r="M100" s="514"/>
      <c r="N100" s="877"/>
      <c r="O100" s="877"/>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7"/>
      <c r="O101" s="877"/>
      <c r="P101" s="487"/>
      <c r="Q101" s="488"/>
    </row>
    <row r="102" spans="1:17" ht="15" thickTop="1">
      <c r="A102" s="407"/>
      <c r="B102" s="467" t="s">
        <v>1742</v>
      </c>
      <c r="C102" s="483"/>
      <c r="D102" s="483"/>
      <c r="E102" s="483"/>
      <c r="F102" s="483"/>
      <c r="G102" s="483"/>
      <c r="H102" s="511"/>
      <c r="I102" s="511"/>
      <c r="J102" s="511"/>
      <c r="K102" s="512"/>
      <c r="L102" s="513"/>
      <c r="M102" s="514"/>
      <c r="N102" s="875"/>
      <c r="O102" s="875"/>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6"/>
      <c r="O103" s="876"/>
      <c r="P103" s="40"/>
      <c r="Q103" s="437"/>
    </row>
    <row r="104" spans="1:17" ht="15" thickTop="1">
      <c r="A104" s="407"/>
      <c r="B104" s="467" t="s">
        <v>1744</v>
      </c>
      <c r="C104" s="483"/>
      <c r="D104" s="483"/>
      <c r="E104" s="483"/>
      <c r="F104" s="483"/>
      <c r="G104" s="483"/>
      <c r="H104" s="511"/>
      <c r="I104" s="511"/>
      <c r="J104" s="511"/>
      <c r="K104" s="512"/>
      <c r="L104" s="513"/>
      <c r="M104" s="514"/>
      <c r="N104" s="875"/>
      <c r="O104" s="875"/>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6"/>
      <c r="O105" s="876"/>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6"/>
      <c r="O106" s="876"/>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6"/>
      <c r="O107" s="876"/>
      <c r="P107" s="40"/>
      <c r="Q107" s="437"/>
    </row>
    <row r="108" spans="1:17" s="406" customFormat="1" ht="15" thickTop="1">
      <c r="A108" s="404"/>
      <c r="B108" s="467">
        <f>B38</f>
        <v>111</v>
      </c>
      <c r="C108" s="483"/>
      <c r="D108" s="483"/>
      <c r="E108" s="483"/>
      <c r="F108" s="483"/>
      <c r="G108" s="483"/>
      <c r="H108" s="484"/>
      <c r="I108" s="484"/>
      <c r="J108" s="484"/>
      <c r="K108" s="484"/>
      <c r="L108" s="485"/>
      <c r="M108" s="486"/>
      <c r="N108" s="877"/>
      <c r="O108" s="877"/>
      <c r="P108" s="487"/>
      <c r="Q108" s="488"/>
    </row>
    <row r="109" spans="1:17" s="406" customFormat="1" ht="15.75" thickBot="1">
      <c r="A109" s="482"/>
      <c r="B109" s="464"/>
      <c r="C109" s="489"/>
      <c r="D109" s="465"/>
      <c r="E109" s="465"/>
      <c r="F109" s="465"/>
      <c r="G109" s="489"/>
      <c r="H109" s="491"/>
      <c r="I109" s="491"/>
      <c r="J109" s="491"/>
      <c r="K109" s="491"/>
      <c r="L109" s="491"/>
      <c r="M109" s="492"/>
      <c r="N109" s="877"/>
      <c r="O109" s="877"/>
      <c r="P109" s="487"/>
      <c r="Q109" s="488"/>
    </row>
    <row r="110" spans="1:17" ht="15" thickTop="1">
      <c r="A110" s="407"/>
      <c r="B110" s="467">
        <f>B39</f>
        <v>111</v>
      </c>
      <c r="C110" s="483"/>
      <c r="D110" s="483"/>
      <c r="E110" s="483"/>
      <c r="F110" s="483"/>
      <c r="G110" s="483"/>
      <c r="H110" s="484"/>
      <c r="I110" s="484"/>
      <c r="J110" s="484"/>
      <c r="K110" s="484"/>
      <c r="L110" s="485"/>
      <c r="M110" s="486"/>
      <c r="N110" s="875"/>
      <c r="O110" s="875"/>
      <c r="P110" s="40"/>
      <c r="Q110" s="437"/>
    </row>
    <row r="111" spans="1:17" ht="15.75" thickBot="1">
      <c r="A111" s="365"/>
      <c r="B111" s="472"/>
      <c r="C111" s="489"/>
      <c r="D111" s="465"/>
      <c r="E111" s="465"/>
      <c r="F111" s="465"/>
      <c r="G111" s="489"/>
      <c r="H111" s="491"/>
      <c r="I111" s="491"/>
      <c r="J111" s="491"/>
      <c r="K111" s="491"/>
      <c r="L111" s="491"/>
      <c r="M111" s="492"/>
      <c r="N111" s="876"/>
      <c r="O111" s="876"/>
      <c r="P111" s="40"/>
      <c r="Q111" s="437"/>
    </row>
    <row r="112" spans="1:17" ht="15" thickTop="1">
      <c r="A112" s="407"/>
      <c r="B112" s="475">
        <f>B40</f>
        <v>111</v>
      </c>
      <c r="C112" s="31"/>
      <c r="D112" s="31"/>
      <c r="E112" s="31"/>
      <c r="F112" s="31"/>
      <c r="G112" s="515"/>
      <c r="H112" s="515"/>
      <c r="I112" s="515"/>
      <c r="J112" s="515"/>
      <c r="K112" s="31"/>
      <c r="L112" s="455"/>
      <c r="M112" s="518"/>
      <c r="N112" s="875"/>
      <c r="O112" s="875"/>
      <c r="P112" s="40"/>
      <c r="Q112" s="437"/>
    </row>
    <row r="113" spans="1:17" ht="15.75" thickBot="1">
      <c r="A113" s="373"/>
      <c r="B113" s="498"/>
      <c r="C113" s="499"/>
      <c r="D113" s="499"/>
      <c r="E113" s="499"/>
      <c r="F113" s="499"/>
      <c r="G113" s="519"/>
      <c r="H113" s="519"/>
      <c r="I113" s="519"/>
      <c r="J113" s="519"/>
      <c r="K113" s="519"/>
      <c r="L113" s="519"/>
      <c r="M113" s="520"/>
      <c r="N113" s="876"/>
      <c r="O113" s="876"/>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E35F1-9D7D-450B-824C-612AE6FEFA47}">
  <dimension ref="A1"/>
  <sheetViews>
    <sheetView topLeftCell="A19" workbookViewId="0">
      <selection activeCell="T108" sqref="T108"/>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6" customFormat="1" ht="28.5" customHeight="1" thickBot="1">
      <c r="A1" s="1135" t="s">
        <v>1831</v>
      </c>
      <c r="B1" s="1136" t="s">
        <v>3321</v>
      </c>
      <c r="C1" s="1137" t="s">
        <v>1662</v>
      </c>
      <c r="D1" s="1138"/>
      <c r="E1" s="3128"/>
      <c r="F1" s="1731"/>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0" customFormat="1" ht="28.5" customHeight="1" thickTop="1">
      <c r="A2" s="1134" t="s">
        <v>1462</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0" t="e">
        <f ca="1">IF(E1="项目模式",SUMIF(INDIRECT("'"&amp;F2&amp;"'"&amp;"!A:A"),"承租人权益价值",INDIRECT("'"&amp;F2&amp;"'"&amp;"!c:c")),SUMIF(INDIRECT("'"&amp;F2&amp;"'"&amp;"!A:A"),"承租人权益价值（单套）",INDIRECT("'"&amp;F2&amp;"'"&amp;"!c:c")))</f>
        <v>#REF!</v>
      </c>
      <c r="E2" s="1734" t="s">
        <v>1463</v>
      </c>
      <c r="F2" s="1735"/>
      <c r="G2" s="851"/>
      <c r="H2" s="851"/>
      <c r="I2" s="851"/>
      <c r="J2" s="851"/>
      <c r="K2" s="853"/>
      <c r="L2" s="2500"/>
      <c r="M2" s="2501"/>
      <c r="N2" s="2501"/>
      <c r="O2" s="2501"/>
      <c r="P2" s="1082"/>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1"/>
      <c r="H3" s="851"/>
      <c r="I3" s="851"/>
      <c r="J3" s="851"/>
      <c r="K3" s="853"/>
      <c r="L3" s="2500"/>
      <c r="M3" s="2501" t="e">
        <f ca="1">IF(C2="——",IF(B37="元/平方米",ROUND(C39*D3/10000,0),ROUND(F3*C39/10000,0)),IF(B37="元/平方米",ROUND(C39*D3/10000,0),ROUND(F3*C39/10000,0))-D2)</f>
        <v>#DIV/0!</v>
      </c>
      <c r="N3" s="2501"/>
      <c r="O3" s="2501"/>
      <c r="P3" s="1082"/>
      <c r="Q3" s="339"/>
      <c r="R3" s="339"/>
      <c r="S3" s="339"/>
      <c r="T3" s="339"/>
      <c r="U3" s="339"/>
      <c r="V3" s="339"/>
      <c r="W3" s="339"/>
      <c r="X3" s="339"/>
      <c r="Y3" s="339"/>
      <c r="Z3" s="339"/>
      <c r="AA3" s="339"/>
      <c r="AB3" s="674"/>
      <c r="AC3" s="661"/>
    </row>
    <row r="4" spans="1:29" ht="15">
      <c r="A4" s="343" t="s">
        <v>1769</v>
      </c>
      <c r="B4" s="344"/>
      <c r="C4" s="3378" t="s">
        <v>1770</v>
      </c>
      <c r="D4" s="3390"/>
      <c r="E4" s="3391" t="s">
        <v>1771</v>
      </c>
      <c r="F4" s="3392"/>
      <c r="G4" s="3378" t="s">
        <v>1772</v>
      </c>
      <c r="H4" s="3390"/>
      <c r="I4" s="3378" t="s">
        <v>1773</v>
      </c>
      <c r="J4" s="3390"/>
      <c r="K4" s="535" t="s">
        <v>1774</v>
      </c>
      <c r="L4" s="2483"/>
      <c r="M4" s="2484"/>
      <c r="N4" s="2484"/>
      <c r="O4" s="2484"/>
      <c r="P4" s="3393" t="s">
        <v>1775</v>
      </c>
      <c r="Q4" s="3394"/>
      <c r="R4" s="3399" t="s">
        <v>1771</v>
      </c>
      <c r="S4" s="3400"/>
      <c r="T4" s="3399" t="s">
        <v>1772</v>
      </c>
      <c r="U4" s="3400"/>
      <c r="V4" s="3386" t="s">
        <v>1773</v>
      </c>
      <c r="W4" s="3386"/>
      <c r="X4" s="1261"/>
      <c r="Y4" s="3399" t="s">
        <v>1775</v>
      </c>
      <c r="Z4" s="3400"/>
      <c r="AA4" s="3387" t="s">
        <v>1771</v>
      </c>
      <c r="AB4" s="3388" t="s">
        <v>1772</v>
      </c>
      <c r="AC4" s="3387" t="s">
        <v>1773</v>
      </c>
    </row>
    <row r="5" spans="1:29" ht="15">
      <c r="A5" s="346"/>
      <c r="B5" s="347"/>
      <c r="C5" s="3412" t="s">
        <v>1673</v>
      </c>
      <c r="D5" s="3408"/>
      <c r="E5" s="3452" t="s">
        <v>1674</v>
      </c>
      <c r="F5" s="3416"/>
      <c r="G5" s="3412" t="s">
        <v>1675</v>
      </c>
      <c r="H5" s="3408"/>
      <c r="I5" s="3412" t="s">
        <v>1676</v>
      </c>
      <c r="J5" s="3408"/>
      <c r="K5" s="535"/>
      <c r="L5" s="2483"/>
      <c r="M5" s="2484"/>
      <c r="N5" s="2484"/>
      <c r="O5" s="2484"/>
      <c r="P5" s="3395"/>
      <c r="Q5" s="3396"/>
      <c r="R5" s="3401"/>
      <c r="S5" s="3402"/>
      <c r="T5" s="3401"/>
      <c r="U5" s="3402"/>
      <c r="V5" s="3386"/>
      <c r="W5" s="3386"/>
      <c r="X5" s="1261"/>
      <c r="Y5" s="3401"/>
      <c r="Z5" s="3402"/>
      <c r="AA5" s="3388"/>
      <c r="AB5" s="3388"/>
      <c r="AC5" s="3388"/>
    </row>
    <row r="6" spans="1:29" ht="15.75" thickBot="1">
      <c r="A6" s="348"/>
      <c r="B6" s="349"/>
      <c r="C6" s="3405" t="s">
        <v>1677</v>
      </c>
      <c r="D6" s="3406"/>
      <c r="E6" s="3413" t="s">
        <v>1677</v>
      </c>
      <c r="F6" s="3414"/>
      <c r="G6" s="3405" t="s">
        <v>1677</v>
      </c>
      <c r="H6" s="3406"/>
      <c r="I6" s="3405" t="s">
        <v>1677</v>
      </c>
      <c r="J6" s="3406"/>
      <c r="K6" s="535" t="s">
        <v>1678</v>
      </c>
      <c r="L6" s="2483"/>
      <c r="M6" s="2484"/>
      <c r="N6" s="2484"/>
      <c r="O6" s="2484"/>
      <c r="P6" s="3397"/>
      <c r="Q6" s="3398"/>
      <c r="R6" s="3401"/>
      <c r="S6" s="3402"/>
      <c r="T6" s="3403"/>
      <c r="U6" s="3404"/>
      <c r="V6" s="3386"/>
      <c r="W6" s="3386"/>
      <c r="X6" s="1261"/>
      <c r="Y6" s="3403"/>
      <c r="Z6" s="3404"/>
      <c r="AA6" s="3389"/>
      <c r="AB6" s="3389"/>
      <c r="AC6" s="3389"/>
    </row>
    <row r="7" spans="1:29" s="100" customFormat="1" ht="15.75" thickBot="1">
      <c r="A7" s="350" t="s">
        <v>1679</v>
      </c>
      <c r="B7" s="351"/>
      <c r="C7" s="352">
        <f>'数据-取费表'!B2</f>
        <v>45924</v>
      </c>
      <c r="D7" s="353">
        <v>100</v>
      </c>
      <c r="E7" s="354"/>
      <c r="F7" s="355">
        <f>SUMIF(48:48,YEAR(E7)&amp;"-"&amp;MONTH(E7),49:49)</f>
        <v>0</v>
      </c>
      <c r="G7" s="354"/>
      <c r="H7" s="353">
        <f>SUMIF(48:48,YEAR(G7)&amp;"-"&amp;MONTH(G7),49:49)</f>
        <v>0</v>
      </c>
      <c r="I7" s="354"/>
      <c r="J7" s="353">
        <f>SUMIF(48:48,YEAR(I7)&amp;"-"&amp;MONTH(I7),49:49)</f>
        <v>0</v>
      </c>
      <c r="K7" s="38"/>
      <c r="L7" s="2485"/>
      <c r="M7" s="2436"/>
      <c r="N7" s="2436"/>
      <c r="O7" s="2436"/>
      <c r="P7" s="3409" t="s">
        <v>1680</v>
      </c>
      <c r="Q7" s="3411"/>
      <c r="R7" s="662" t="s">
        <v>14</v>
      </c>
      <c r="S7" s="663">
        <f t="shared" ref="S7:S14" si="0">F7</f>
        <v>0</v>
      </c>
      <c r="T7" s="662" t="s">
        <v>14</v>
      </c>
      <c r="U7" s="663">
        <f t="shared" ref="U7:U14" si="1">H7</f>
        <v>0</v>
      </c>
      <c r="V7" s="662" t="s">
        <v>14</v>
      </c>
      <c r="W7" s="663">
        <f t="shared" ref="W7:W14" si="2">J7</f>
        <v>0</v>
      </c>
      <c r="X7" s="664"/>
      <c r="Y7" s="3409" t="s">
        <v>1680</v>
      </c>
      <c r="Z7" s="3410"/>
      <c r="AA7" s="50" t="e">
        <f>D7/F7</f>
        <v>#DIV/0!</v>
      </c>
      <c r="AB7" s="50" t="e">
        <f>D7/H7</f>
        <v>#DIV/0!</v>
      </c>
      <c r="AC7" s="50" t="e">
        <f>D7/J7</f>
        <v>#DIV/0!</v>
      </c>
    </row>
    <row r="8" spans="1:29" s="100"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5"/>
      <c r="M8" s="2436"/>
      <c r="N8" s="2436"/>
      <c r="O8" s="2436"/>
      <c r="P8" s="3409" t="s">
        <v>1683</v>
      </c>
      <c r="Q8" s="3410"/>
      <c r="R8" s="662" t="s">
        <v>14</v>
      </c>
      <c r="S8" s="663">
        <f t="shared" si="0"/>
        <v>100</v>
      </c>
      <c r="T8" s="662" t="s">
        <v>14</v>
      </c>
      <c r="U8" s="663">
        <f t="shared" si="1"/>
        <v>100</v>
      </c>
      <c r="V8" s="662" t="s">
        <v>14</v>
      </c>
      <c r="W8" s="663">
        <f t="shared" si="2"/>
        <v>100</v>
      </c>
      <c r="X8" s="664"/>
      <c r="Y8" s="3409" t="s">
        <v>1683</v>
      </c>
      <c r="Z8" s="3410"/>
      <c r="AA8" s="50">
        <f t="shared" ref="AA8:AA36" si="3">D8/F8</f>
        <v>1</v>
      </c>
      <c r="AB8" s="50">
        <f t="shared" ref="AB8:AB36" si="4">D8/H8</f>
        <v>1</v>
      </c>
      <c r="AC8" s="50">
        <f t="shared" ref="AC8:AC36" si="5">D8/J8</f>
        <v>1</v>
      </c>
    </row>
    <row r="9" spans="1:29" s="100"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5"/>
      <c r="M9" s="2436"/>
      <c r="N9" s="2436"/>
      <c r="O9" s="2436"/>
      <c r="P9" s="3381" t="s">
        <v>1686</v>
      </c>
      <c r="Q9" s="528" t="str">
        <f t="shared" ref="Q9:Q14" si="6">B9</f>
        <v>用途</v>
      </c>
      <c r="R9" s="662" t="s">
        <v>14</v>
      </c>
      <c r="S9" s="663">
        <f t="shared" si="0"/>
        <v>100</v>
      </c>
      <c r="T9" s="662" t="s">
        <v>14</v>
      </c>
      <c r="U9" s="663">
        <f t="shared" si="1"/>
        <v>100</v>
      </c>
      <c r="V9" s="662" t="s">
        <v>14</v>
      </c>
      <c r="W9" s="663">
        <f t="shared" si="2"/>
        <v>100</v>
      </c>
      <c r="X9" s="664"/>
      <c r="Y9" s="3278" t="s">
        <v>1687</v>
      </c>
      <c r="Z9" s="50" t="str">
        <f t="shared" ref="Z9:Z14" si="7">Q9</f>
        <v>用途</v>
      </c>
      <c r="AA9" s="50">
        <f t="shared" si="3"/>
        <v>1</v>
      </c>
      <c r="AB9" s="50">
        <f t="shared" si="4"/>
        <v>1</v>
      </c>
      <c r="AC9" s="50">
        <f t="shared" si="5"/>
        <v>1</v>
      </c>
    </row>
    <row r="10" spans="1:29" s="364" customFormat="1" ht="27">
      <c r="A10" s="563"/>
      <c r="B10" s="564" t="s">
        <v>1688</v>
      </c>
      <c r="C10" s="3129"/>
      <c r="D10" s="117">
        <v>100</v>
      </c>
      <c r="E10" s="3129"/>
      <c r="F10" s="117">
        <f>SUMIF(55:55,E10,56:56)-SUMIF(55:55,C10,56:56)+100</f>
        <v>100</v>
      </c>
      <c r="G10" s="3130"/>
      <c r="H10" s="117">
        <f>SUMIF(55:55,G10,56:56)-SUMIF(55:55,C10,56:56)+100</f>
        <v>100</v>
      </c>
      <c r="I10" s="3129"/>
      <c r="J10" s="117">
        <f>SUMIF(55:55,I10,56:56)-SUMIF(55:55,C10,56:56)+100</f>
        <v>100</v>
      </c>
      <c r="K10" s="38"/>
      <c r="L10" s="2486"/>
      <c r="M10" s="2487"/>
      <c r="N10" s="2487"/>
      <c r="O10" s="2487"/>
      <c r="P10" s="3381"/>
      <c r="Q10" s="528"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8"/>
      <c r="M11" s="2484"/>
      <c r="N11" s="2484"/>
      <c r="O11" s="2484"/>
      <c r="P11" s="3381"/>
      <c r="Q11" s="528">
        <f t="shared" si="6"/>
        <v>111</v>
      </c>
      <c r="R11" s="662" t="s">
        <v>14</v>
      </c>
      <c r="S11" s="663">
        <f t="shared" si="0"/>
        <v>100</v>
      </c>
      <c r="T11" s="662" t="s">
        <v>14</v>
      </c>
      <c r="U11" s="663">
        <f t="shared" si="1"/>
        <v>100</v>
      </c>
      <c r="V11" s="662" t="s">
        <v>14</v>
      </c>
      <c r="W11" s="663">
        <f t="shared" si="2"/>
        <v>100</v>
      </c>
      <c r="X11" s="664"/>
      <c r="Y11" s="3278"/>
      <c r="Z11" s="50">
        <f t="shared" si="7"/>
        <v>111</v>
      </c>
      <c r="AA11" s="50">
        <f t="shared" si="3"/>
        <v>1</v>
      </c>
      <c r="AB11" s="50">
        <f t="shared" si="4"/>
        <v>1</v>
      </c>
      <c r="AC11" s="50">
        <f t="shared" si="5"/>
        <v>1</v>
      </c>
    </row>
    <row r="12" spans="1:29" s="100"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5"/>
      <c r="M12" s="2436"/>
      <c r="N12" s="2436"/>
      <c r="O12" s="2436"/>
      <c r="P12" s="3381"/>
      <c r="Q12" s="528">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9"/>
      <c r="M13" s="2484"/>
      <c r="N13" s="2484"/>
      <c r="O13" s="2484"/>
      <c r="P13" s="3381"/>
      <c r="Q13" s="528">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
      <c r="A14" s="343" t="s">
        <v>1690</v>
      </c>
      <c r="B14" s="552" t="s">
        <v>1833</v>
      </c>
      <c r="C14" s="1815">
        <f>IF(B1="工业",估价对象房地状况!G4,估价对象房地状况!C6)</f>
        <v>0</v>
      </c>
      <c r="D14" s="378">
        <v>100</v>
      </c>
      <c r="E14" s="379"/>
      <c r="F14" s="380">
        <f>SUMIF(63:63,E15,64:64)-SUMIF(63:63,C15,64:64)+100</f>
        <v>100</v>
      </c>
      <c r="G14" s="381"/>
      <c r="H14" s="378">
        <f>SUMIF(63:63,G15,64:64)-SUMIF(63:63,C15,64:64)+100</f>
        <v>100</v>
      </c>
      <c r="I14" s="379"/>
      <c r="J14" s="378">
        <f>SUMIF(63:63,I15,64:64)-SUMIF(63:63,C15,64:64)+100</f>
        <v>100</v>
      </c>
      <c r="K14" s="538"/>
      <c r="L14" s="2489"/>
      <c r="M14" s="2484"/>
      <c r="N14" s="2484"/>
      <c r="O14" s="2484"/>
      <c r="P14" s="3382" t="s">
        <v>1691</v>
      </c>
      <c r="Q14" s="1259" t="str">
        <f t="shared" si="6"/>
        <v>交通便捷度</v>
      </c>
      <c r="R14" s="665" t="s">
        <v>14</v>
      </c>
      <c r="S14" s="666">
        <f t="shared" si="0"/>
        <v>100</v>
      </c>
      <c r="T14" s="665" t="s">
        <v>14</v>
      </c>
      <c r="U14" s="666">
        <f t="shared" si="1"/>
        <v>100</v>
      </c>
      <c r="V14" s="665" t="s">
        <v>14</v>
      </c>
      <c r="W14" s="666">
        <f t="shared" si="2"/>
        <v>100</v>
      </c>
      <c r="X14" s="1261"/>
      <c r="Y14" s="3382" t="s">
        <v>1691</v>
      </c>
      <c r="Z14" s="1260" t="str">
        <f t="shared" si="7"/>
        <v>交通便捷度</v>
      </c>
      <c r="AA14" s="1260">
        <f t="shared" si="3"/>
        <v>1</v>
      </c>
      <c r="AB14" s="1260">
        <f t="shared" si="4"/>
        <v>1</v>
      </c>
      <c r="AC14" s="1260">
        <f t="shared" si="5"/>
        <v>1</v>
      </c>
    </row>
    <row r="15" spans="1:29" ht="15">
      <c r="A15" s="346"/>
      <c r="B15" s="569"/>
      <c r="C15" s="384"/>
      <c r="D15" s="385"/>
      <c r="E15" s="384"/>
      <c r="F15" s="386"/>
      <c r="G15" s="384"/>
      <c r="H15" s="387"/>
      <c r="I15" s="384"/>
      <c r="J15" s="385"/>
      <c r="K15" s="539"/>
      <c r="L15" s="2489"/>
      <c r="M15" s="2484"/>
      <c r="N15" s="2484"/>
      <c r="O15" s="2484"/>
      <c r="P15" s="3383"/>
      <c r="Q15" s="1259"/>
      <c r="R15" s="665"/>
      <c r="S15" s="666"/>
      <c r="T15" s="665"/>
      <c r="U15" s="666"/>
      <c r="V15" s="665"/>
      <c r="W15" s="666"/>
      <c r="X15" s="1261"/>
      <c r="Y15" s="3383"/>
      <c r="Z15" s="1260"/>
      <c r="AA15" s="1260">
        <v>1</v>
      </c>
      <c r="AB15" s="1260">
        <v>1</v>
      </c>
      <c r="AC15" s="1260">
        <v>1</v>
      </c>
    </row>
    <row r="16" spans="1:29" ht="15">
      <c r="A16" s="346"/>
      <c r="B16" s="554" t="s">
        <v>1812</v>
      </c>
      <c r="C16" s="1750">
        <f>IF(B1="工业",估价对象房地状况!G5,估价对象房地状况!C7)</f>
        <v>0</v>
      </c>
      <c r="D16" s="392">
        <v>100</v>
      </c>
      <c r="E16" s="394"/>
      <c r="F16" s="395">
        <f>SUMIF(65:65,E17,66:66)-SUMIF(65:65,C17,66:66)+100</f>
        <v>100</v>
      </c>
      <c r="G16" s="396"/>
      <c r="H16" s="392">
        <f>SUMIF(65:65,G17,66:66)-SUMIF(65:65,C17,66:66)+100</f>
        <v>100</v>
      </c>
      <c r="I16" s="394"/>
      <c r="J16" s="392">
        <f>SUMIF(65:65,I17,66:66)-SUMIF(65:65,C17,66:66)+100</f>
        <v>100</v>
      </c>
      <c r="K16" s="538"/>
      <c r="L16" s="2489"/>
      <c r="M16" s="2484"/>
      <c r="N16" s="2484"/>
      <c r="O16" s="2484"/>
      <c r="P16" s="3383"/>
      <c r="Q16" s="1259" t="str">
        <f>B16</f>
        <v>公共配套设施</v>
      </c>
      <c r="R16" s="665" t="s">
        <v>14</v>
      </c>
      <c r="S16" s="666">
        <f>F16</f>
        <v>100</v>
      </c>
      <c r="T16" s="665" t="s">
        <v>14</v>
      </c>
      <c r="U16" s="666">
        <f>H16</f>
        <v>100</v>
      </c>
      <c r="V16" s="665" t="s">
        <v>14</v>
      </c>
      <c r="W16" s="666">
        <f>J16</f>
        <v>100</v>
      </c>
      <c r="X16" s="1261"/>
      <c r="Y16" s="3383"/>
      <c r="Z16" s="1260" t="str">
        <f>Q16</f>
        <v>公共配套设施</v>
      </c>
      <c r="AA16" s="1260">
        <f t="shared" si="3"/>
        <v>1</v>
      </c>
      <c r="AB16" s="1260">
        <f t="shared" si="4"/>
        <v>1</v>
      </c>
      <c r="AC16" s="1260">
        <f t="shared" si="5"/>
        <v>1</v>
      </c>
    </row>
    <row r="17" spans="1:29" ht="15">
      <c r="A17" s="346"/>
      <c r="B17" s="399"/>
      <c r="C17" s="1751"/>
      <c r="D17" s="385"/>
      <c r="E17" s="384"/>
      <c r="F17" s="386"/>
      <c r="G17" s="384"/>
      <c r="H17" s="385"/>
      <c r="I17" s="384"/>
      <c r="J17" s="385"/>
      <c r="K17" s="539"/>
      <c r="L17" s="2489"/>
      <c r="M17" s="2484"/>
      <c r="N17" s="2484"/>
      <c r="O17" s="2484"/>
      <c r="P17" s="3383"/>
      <c r="Q17" s="1259"/>
      <c r="R17" s="665"/>
      <c r="S17" s="666"/>
      <c r="T17" s="665"/>
      <c r="U17" s="666"/>
      <c r="V17" s="665"/>
      <c r="W17" s="666"/>
      <c r="X17" s="1261"/>
      <c r="Y17" s="3383"/>
      <c r="Z17" s="1260"/>
      <c r="AA17" s="1260">
        <v>1</v>
      </c>
      <c r="AB17" s="1260">
        <v>1</v>
      </c>
      <c r="AC17" s="1260">
        <v>1</v>
      </c>
    </row>
    <row r="18" spans="1:29" ht="15">
      <c r="A18" s="346"/>
      <c r="B18" s="555" t="s">
        <v>1813</v>
      </c>
      <c r="C18" s="1750">
        <f>IF(B1="工业",估价对象房地状况!G6,估价对象房地状况!C8)</f>
        <v>0</v>
      </c>
      <c r="D18" s="387">
        <v>100</v>
      </c>
      <c r="E18" s="389"/>
      <c r="F18" s="395">
        <f>SUMIF(67:67,E19,68:68)-SUMIF(67:67,C19,68:68)+100</f>
        <v>100</v>
      </c>
      <c r="G18" s="391"/>
      <c r="H18" s="392">
        <f>SUMIF(67:67,G19,68:68)-SUMIF(67:67,C19,68:68)+100</f>
        <v>100</v>
      </c>
      <c r="I18" s="389"/>
      <c r="J18" s="392">
        <f>SUMIF(67:67,I19,68:68)-SUMIF(67:67,C19,68:68)+100</f>
        <v>100</v>
      </c>
      <c r="K18" s="538"/>
      <c r="L18" s="2489"/>
      <c r="M18" s="2484"/>
      <c r="N18" s="2484"/>
      <c r="O18" s="2484"/>
      <c r="P18" s="3383"/>
      <c r="Q18" s="1259" t="str">
        <f>B18</f>
        <v>基础设施水平</v>
      </c>
      <c r="R18" s="665" t="s">
        <v>14</v>
      </c>
      <c r="S18" s="666">
        <f>F18</f>
        <v>100</v>
      </c>
      <c r="T18" s="665" t="s">
        <v>14</v>
      </c>
      <c r="U18" s="666">
        <f>H18</f>
        <v>100</v>
      </c>
      <c r="V18" s="665" t="s">
        <v>14</v>
      </c>
      <c r="W18" s="666">
        <f>J18</f>
        <v>100</v>
      </c>
      <c r="X18" s="1261"/>
      <c r="Y18" s="3383"/>
      <c r="Z18" s="1260" t="str">
        <f>Q18</f>
        <v>基础设施水平</v>
      </c>
      <c r="AA18" s="1260">
        <f t="shared" ref="AA18" si="8">D18/F18</f>
        <v>1</v>
      </c>
      <c r="AB18" s="1260">
        <f t="shared" ref="AB18" si="9">D18/H18</f>
        <v>1</v>
      </c>
      <c r="AC18" s="1260">
        <f t="shared" ref="AC18" si="10">D18/J18</f>
        <v>1</v>
      </c>
    </row>
    <row r="19" spans="1:29" ht="15">
      <c r="A19" s="346"/>
      <c r="B19" s="555"/>
      <c r="C19" s="1751"/>
      <c r="D19" s="387"/>
      <c r="E19" s="1751"/>
      <c r="F19" s="390"/>
      <c r="G19" s="1751"/>
      <c r="H19" s="385"/>
      <c r="I19" s="384"/>
      <c r="J19" s="385"/>
      <c r="K19" s="1060"/>
      <c r="L19" s="2489"/>
      <c r="M19" s="2484"/>
      <c r="N19" s="2484"/>
      <c r="O19" s="2484"/>
      <c r="P19" s="3383"/>
      <c r="Q19" s="1259"/>
      <c r="R19" s="665"/>
      <c r="S19" s="666"/>
      <c r="T19" s="665"/>
      <c r="U19" s="666"/>
      <c r="V19" s="665"/>
      <c r="W19" s="666"/>
      <c r="X19" s="1261"/>
      <c r="Y19" s="3383"/>
      <c r="Z19" s="1260"/>
      <c r="AA19" s="1260">
        <v>1</v>
      </c>
      <c r="AB19" s="1260">
        <v>1</v>
      </c>
      <c r="AC19" s="1260">
        <v>1</v>
      </c>
    </row>
    <row r="20" spans="1:29" ht="15">
      <c r="A20" s="346"/>
      <c r="B20" s="554" t="s">
        <v>1834</v>
      </c>
      <c r="C20" s="1750">
        <f>IF(B1="工业",估价对象房地状况!G7,估价对象房地状况!C9)</f>
        <v>0</v>
      </c>
      <c r="D20" s="392">
        <v>100</v>
      </c>
      <c r="E20" s="394"/>
      <c r="F20" s="395">
        <f>SUMIF(69:69,E21,70:70)-SUMIF(69:69,C21,70:70)+100</f>
        <v>100</v>
      </c>
      <c r="G20" s="396"/>
      <c r="H20" s="387">
        <f>SUMIF(69:69,G21,70:70)-SUMIF(69:69,C21,70:70)+100</f>
        <v>100</v>
      </c>
      <c r="I20" s="389"/>
      <c r="J20" s="387">
        <f>SUMIF(69:69,I21,70:70)-SUMIF(69:69,C21,70:70)+100</f>
        <v>100</v>
      </c>
      <c r="K20" s="538"/>
      <c r="L20" s="2489"/>
      <c r="M20" s="2484"/>
      <c r="N20" s="2484"/>
      <c r="O20" s="2484"/>
      <c r="P20" s="3383"/>
      <c r="Q20" s="1259" t="str">
        <f>B20</f>
        <v>自然及人文环境</v>
      </c>
      <c r="R20" s="665" t="s">
        <v>14</v>
      </c>
      <c r="S20" s="666">
        <f>F20</f>
        <v>100</v>
      </c>
      <c r="T20" s="665" t="s">
        <v>14</v>
      </c>
      <c r="U20" s="666">
        <f>H20</f>
        <v>100</v>
      </c>
      <c r="V20" s="665" t="s">
        <v>14</v>
      </c>
      <c r="W20" s="666">
        <f>J20</f>
        <v>100</v>
      </c>
      <c r="X20" s="1261"/>
      <c r="Y20" s="3383"/>
      <c r="Z20" s="1260" t="str">
        <f>Q20</f>
        <v>自然及人文环境</v>
      </c>
      <c r="AA20" s="1260">
        <f t="shared" si="3"/>
        <v>1</v>
      </c>
      <c r="AB20" s="1260">
        <f t="shared" si="4"/>
        <v>1</v>
      </c>
      <c r="AC20" s="1260">
        <f t="shared" si="5"/>
        <v>1</v>
      </c>
    </row>
    <row r="21" spans="1:29" ht="15">
      <c r="A21" s="346"/>
      <c r="B21" s="399"/>
      <c r="C21" s="384"/>
      <c r="D21" s="385"/>
      <c r="E21" s="384"/>
      <c r="F21" s="386"/>
      <c r="G21" s="384"/>
      <c r="H21" s="385"/>
      <c r="I21" s="384"/>
      <c r="J21" s="385"/>
      <c r="K21" s="539"/>
      <c r="L21" s="2489"/>
      <c r="M21" s="2484"/>
      <c r="N21" s="2484"/>
      <c r="O21" s="2484"/>
      <c r="P21" s="3383"/>
      <c r="Q21" s="1259"/>
      <c r="R21" s="665"/>
      <c r="S21" s="666"/>
      <c r="T21" s="665"/>
      <c r="U21" s="666"/>
      <c r="V21" s="665"/>
      <c r="W21" s="666"/>
      <c r="X21" s="1261"/>
      <c r="Y21" s="3383"/>
      <c r="Z21" s="1260"/>
      <c r="AA21" s="1260">
        <v>1</v>
      </c>
      <c r="AB21" s="1260">
        <v>1</v>
      </c>
      <c r="AC21" s="1260">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9"/>
      <c r="M22" s="2484"/>
      <c r="N22" s="2484"/>
      <c r="O22" s="2484"/>
      <c r="P22" s="3383"/>
      <c r="Q22" s="1259" t="str">
        <f>B22</f>
        <v>楼层</v>
      </c>
      <c r="R22" s="665" t="s">
        <v>14</v>
      </c>
      <c r="S22" s="666">
        <f>F22</f>
        <v>100</v>
      </c>
      <c r="T22" s="665" t="s">
        <v>14</v>
      </c>
      <c r="U22" s="666">
        <f>H22</f>
        <v>100</v>
      </c>
      <c r="V22" s="665" t="s">
        <v>14</v>
      </c>
      <c r="W22" s="666">
        <f>J22</f>
        <v>100</v>
      </c>
      <c r="X22" s="1261"/>
      <c r="Y22" s="3383"/>
      <c r="Z22" s="1260" t="str">
        <f>Q22</f>
        <v>楼层</v>
      </c>
      <c r="AA22" s="1260">
        <f t="shared" si="3"/>
        <v>1</v>
      </c>
      <c r="AB22" s="1260">
        <f t="shared" si="4"/>
        <v>1</v>
      </c>
      <c r="AC22" s="1260">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9"/>
      <c r="M23" s="2484"/>
      <c r="N23" s="2484"/>
      <c r="O23" s="2484"/>
      <c r="P23" s="3383"/>
      <c r="Q23" s="1259">
        <f>B23</f>
        <v>111</v>
      </c>
      <c r="R23" s="665" t="s">
        <v>14</v>
      </c>
      <c r="S23" s="666">
        <f>F23</f>
        <v>100</v>
      </c>
      <c r="T23" s="665" t="s">
        <v>14</v>
      </c>
      <c r="U23" s="666">
        <f>H23</f>
        <v>100</v>
      </c>
      <c r="V23" s="665" t="s">
        <v>14</v>
      </c>
      <c r="W23" s="666">
        <f>J23</f>
        <v>100</v>
      </c>
      <c r="X23" s="1261"/>
      <c r="Y23" s="3383"/>
      <c r="Z23" s="1260">
        <f>Q23</f>
        <v>111</v>
      </c>
      <c r="AA23" s="1260">
        <f t="shared" si="3"/>
        <v>1</v>
      </c>
      <c r="AB23" s="1260">
        <f t="shared" si="4"/>
        <v>1</v>
      </c>
      <c r="AC23" s="1260">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9"/>
      <c r="M24" s="2484"/>
      <c r="N24" s="2484"/>
      <c r="O24" s="2484"/>
      <c r="P24" s="3383"/>
      <c r="Q24" s="1259">
        <f t="shared" ref="Q24:Q36" si="11">B24</f>
        <v>111</v>
      </c>
      <c r="R24" s="665" t="s">
        <v>14</v>
      </c>
      <c r="S24" s="666">
        <f>F24</f>
        <v>100</v>
      </c>
      <c r="T24" s="665" t="s">
        <v>14</v>
      </c>
      <c r="U24" s="666">
        <f>H24</f>
        <v>100</v>
      </c>
      <c r="V24" s="665" t="s">
        <v>14</v>
      </c>
      <c r="W24" s="666">
        <f>J24</f>
        <v>100</v>
      </c>
      <c r="X24" s="1261"/>
      <c r="Y24" s="3383"/>
      <c r="Z24" s="1260">
        <f>Q24</f>
        <v>111</v>
      </c>
      <c r="AA24" s="1260">
        <f t="shared" si="3"/>
        <v>1</v>
      </c>
      <c r="AB24" s="1260">
        <f t="shared" si="4"/>
        <v>1</v>
      </c>
      <c r="AC24" s="1260">
        <f t="shared" si="5"/>
        <v>1</v>
      </c>
    </row>
    <row r="25" spans="1:29" s="100"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5"/>
      <c r="M25" s="2436"/>
      <c r="N25" s="2436"/>
      <c r="O25" s="2436"/>
      <c r="P25" s="3383"/>
      <c r="Q25" s="528">
        <f t="shared" si="11"/>
        <v>111</v>
      </c>
      <c r="R25" s="662" t="s">
        <v>14</v>
      </c>
      <c r="S25" s="663">
        <f>F25</f>
        <v>100</v>
      </c>
      <c r="T25" s="662" t="s">
        <v>14</v>
      </c>
      <c r="U25" s="663">
        <f>H25</f>
        <v>100</v>
      </c>
      <c r="V25" s="662" t="s">
        <v>14</v>
      </c>
      <c r="W25" s="663">
        <f>J25</f>
        <v>100</v>
      </c>
      <c r="X25" s="664"/>
      <c r="Y25" s="3383"/>
      <c r="Z25" s="50">
        <f>Q25</f>
        <v>111</v>
      </c>
      <c r="AA25" s="1260">
        <f>D25/F25</f>
        <v>1</v>
      </c>
      <c r="AB25" s="1260">
        <f>D25/H25</f>
        <v>1</v>
      </c>
      <c r="AC25" s="1260">
        <f>D25/J25</f>
        <v>1</v>
      </c>
    </row>
    <row r="26" spans="1:29" ht="28.5">
      <c r="A26" s="572" t="s">
        <v>1694</v>
      </c>
      <c r="B26" s="59" t="s">
        <v>1836</v>
      </c>
      <c r="C26" s="1816" t="str">
        <f>B1</f>
        <v>车库</v>
      </c>
      <c r="D26" s="385">
        <v>100</v>
      </c>
      <c r="E26" s="384"/>
      <c r="F26" s="386">
        <f>SUMIF(79:79,E26,80:80)-SUMIF(79:79,C26,80:80)+100</f>
        <v>0</v>
      </c>
      <c r="G26" s="384"/>
      <c r="H26" s="385">
        <f>SUMIF(79:79,G26,80:80)-SUMIF(79:79,C26,80:80)+100</f>
        <v>0</v>
      </c>
      <c r="I26" s="384"/>
      <c r="J26" s="385">
        <f>SUMIF(79:79,I26,80:80)-SUMIF(79:79,C26,80:80)+100</f>
        <v>0</v>
      </c>
      <c r="K26" s="536"/>
      <c r="L26" s="2489"/>
      <c r="M26" s="2484"/>
      <c r="N26" s="2484"/>
      <c r="O26" s="2484"/>
      <c r="P26" s="3384" t="s">
        <v>1696</v>
      </c>
      <c r="Q26" s="1259" t="str">
        <f t="shared" si="11"/>
        <v>配套类型</v>
      </c>
      <c r="R26" s="665" t="s">
        <v>14</v>
      </c>
      <c r="S26" s="666">
        <f t="shared" ref="S26:S36" si="12">F26</f>
        <v>0</v>
      </c>
      <c r="T26" s="665" t="s">
        <v>14</v>
      </c>
      <c r="U26" s="666">
        <f t="shared" ref="U26:U36" si="13">H26</f>
        <v>0</v>
      </c>
      <c r="V26" s="665" t="s">
        <v>14</v>
      </c>
      <c r="W26" s="666">
        <f t="shared" ref="W26:W36" si="14">J26</f>
        <v>0</v>
      </c>
      <c r="X26" s="1261"/>
      <c r="Y26" s="3385" t="s">
        <v>1696</v>
      </c>
      <c r="Z26" s="1260" t="str">
        <f t="shared" ref="Z26:Z36" si="15">Q26</f>
        <v>配套类型</v>
      </c>
      <c r="AA26" s="1260" t="e">
        <f t="shared" si="3"/>
        <v>#DIV/0!</v>
      </c>
      <c r="AB26" s="1260" t="e">
        <f t="shared" si="4"/>
        <v>#DIV/0!</v>
      </c>
      <c r="AC26" s="1260"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8"/>
      <c r="M27" s="2490"/>
      <c r="N27" s="2490"/>
      <c r="O27" s="2490"/>
      <c r="P27" s="3385"/>
      <c r="Q27" s="529" t="str">
        <f t="shared" si="11"/>
        <v>项目停车位配比</v>
      </c>
      <c r="R27" s="667" t="s">
        <v>14</v>
      </c>
      <c r="S27" s="668">
        <f t="shared" si="12"/>
        <v>100</v>
      </c>
      <c r="T27" s="667" t="s">
        <v>14</v>
      </c>
      <c r="U27" s="668">
        <f t="shared" si="13"/>
        <v>100</v>
      </c>
      <c r="V27" s="667" t="s">
        <v>14</v>
      </c>
      <c r="W27" s="668">
        <f t="shared" si="14"/>
        <v>100</v>
      </c>
      <c r="X27" s="669"/>
      <c r="Y27" s="3385"/>
      <c r="Z27" s="670" t="str">
        <f t="shared" si="15"/>
        <v>项目停车位配比</v>
      </c>
      <c r="AA27" s="1260">
        <f t="shared" si="3"/>
        <v>1</v>
      </c>
      <c r="AB27" s="1260">
        <f t="shared" si="4"/>
        <v>1</v>
      </c>
      <c r="AC27" s="1260">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9"/>
      <c r="M28" s="2484"/>
      <c r="N28" s="2484"/>
      <c r="O28" s="2484"/>
      <c r="P28" s="3385"/>
      <c r="Q28" s="1259" t="str">
        <f t="shared" si="11"/>
        <v>公共部分装修</v>
      </c>
      <c r="R28" s="665" t="s">
        <v>14</v>
      </c>
      <c r="S28" s="666">
        <f t="shared" si="12"/>
        <v>100</v>
      </c>
      <c r="T28" s="665" t="s">
        <v>14</v>
      </c>
      <c r="U28" s="666">
        <f t="shared" si="13"/>
        <v>100</v>
      </c>
      <c r="V28" s="665" t="s">
        <v>14</v>
      </c>
      <c r="W28" s="666">
        <f t="shared" si="14"/>
        <v>100</v>
      </c>
      <c r="X28" s="1261"/>
      <c r="Y28" s="3385"/>
      <c r="Z28" s="1260" t="str">
        <f t="shared" si="15"/>
        <v>公共部分装修</v>
      </c>
      <c r="AA28" s="1260">
        <f t="shared" si="3"/>
        <v>1</v>
      </c>
      <c r="AB28" s="1260">
        <f t="shared" si="4"/>
        <v>1</v>
      </c>
      <c r="AC28" s="1260">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9"/>
      <c r="M29" s="2484"/>
      <c r="N29" s="2484"/>
      <c r="O29" s="2484"/>
      <c r="P29" s="3385"/>
      <c r="Q29" s="1259" t="str">
        <f t="shared" si="11"/>
        <v>成新率</v>
      </c>
      <c r="R29" s="665" t="s">
        <v>14</v>
      </c>
      <c r="S29" s="666" t="e">
        <f t="shared" si="12"/>
        <v>#N/A</v>
      </c>
      <c r="T29" s="665" t="s">
        <v>14</v>
      </c>
      <c r="U29" s="666" t="e">
        <f t="shared" si="13"/>
        <v>#N/A</v>
      </c>
      <c r="V29" s="665" t="s">
        <v>14</v>
      </c>
      <c r="W29" s="666" t="e">
        <f t="shared" si="14"/>
        <v>#N/A</v>
      </c>
      <c r="X29" s="1261"/>
      <c r="Y29" s="3385"/>
      <c r="Z29" s="1260" t="str">
        <f t="shared" si="15"/>
        <v>成新率</v>
      </c>
      <c r="AA29" s="1260" t="e">
        <f t="shared" si="3"/>
        <v>#N/A</v>
      </c>
      <c r="AB29" s="1260" t="e">
        <f t="shared" si="4"/>
        <v>#N/A</v>
      </c>
      <c r="AC29" s="1260"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9"/>
      <c r="M30" s="2484"/>
      <c r="N30" s="2484"/>
      <c r="O30" s="2484"/>
      <c r="P30" s="3385"/>
      <c r="Q30" s="1259" t="str">
        <f t="shared" si="11"/>
        <v>物业等级</v>
      </c>
      <c r="R30" s="665" t="s">
        <v>14</v>
      </c>
      <c r="S30" s="666">
        <f t="shared" si="12"/>
        <v>100</v>
      </c>
      <c r="T30" s="665" t="s">
        <v>14</v>
      </c>
      <c r="U30" s="666">
        <f t="shared" si="13"/>
        <v>100</v>
      </c>
      <c r="V30" s="665" t="s">
        <v>14</v>
      </c>
      <c r="W30" s="666">
        <f t="shared" si="14"/>
        <v>100</v>
      </c>
      <c r="X30" s="1261"/>
      <c r="Y30" s="3385"/>
      <c r="Z30" s="1260" t="str">
        <f t="shared" si="15"/>
        <v>物业等级</v>
      </c>
      <c r="AA30" s="1260">
        <f t="shared" si="3"/>
        <v>1</v>
      </c>
      <c r="AB30" s="1260">
        <f t="shared" si="4"/>
        <v>1</v>
      </c>
      <c r="AC30" s="1260">
        <f t="shared" si="5"/>
        <v>1</v>
      </c>
    </row>
    <row r="31" spans="1:29" s="100"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5"/>
      <c r="M31" s="2436"/>
      <c r="N31" s="2436"/>
      <c r="O31" s="2436"/>
      <c r="P31" s="3385"/>
      <c r="Q31" s="528" t="str">
        <f t="shared" si="11"/>
        <v>停车位面积</v>
      </c>
      <c r="R31" s="662" t="s">
        <v>14</v>
      </c>
      <c r="S31" s="663" t="e">
        <f t="shared" si="12"/>
        <v>#N/A</v>
      </c>
      <c r="T31" s="662" t="s">
        <v>14</v>
      </c>
      <c r="U31" s="663" t="e">
        <f t="shared" si="13"/>
        <v>#N/A</v>
      </c>
      <c r="V31" s="662" t="s">
        <v>14</v>
      </c>
      <c r="W31" s="663" t="e">
        <f t="shared" si="14"/>
        <v>#N/A</v>
      </c>
      <c r="X31" s="664"/>
      <c r="Y31" s="3385"/>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9"/>
      <c r="M32" s="2484"/>
      <c r="N32" s="2484"/>
      <c r="O32" s="2484"/>
      <c r="P32" s="3385" t="s">
        <v>1696</v>
      </c>
      <c r="Q32" s="1259" t="str">
        <f t="shared" si="11"/>
        <v>车位类型</v>
      </c>
      <c r="R32" s="665" t="s">
        <v>14</v>
      </c>
      <c r="S32" s="666">
        <f t="shared" si="12"/>
        <v>100</v>
      </c>
      <c r="T32" s="665" t="s">
        <v>14</v>
      </c>
      <c r="U32" s="666">
        <f t="shared" si="13"/>
        <v>100</v>
      </c>
      <c r="V32" s="665" t="s">
        <v>14</v>
      </c>
      <c r="W32" s="666">
        <f t="shared" si="14"/>
        <v>100</v>
      </c>
      <c r="X32" s="1261"/>
      <c r="Y32" s="3385" t="s">
        <v>1696</v>
      </c>
      <c r="Z32" s="1260" t="str">
        <f t="shared" si="15"/>
        <v>车位类型</v>
      </c>
      <c r="AA32" s="1260">
        <f t="shared" si="3"/>
        <v>1</v>
      </c>
      <c r="AB32" s="1260">
        <f t="shared" si="4"/>
        <v>1</v>
      </c>
      <c r="AC32" s="1260">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9"/>
      <c r="M33" s="2484"/>
      <c r="N33" s="2484"/>
      <c r="O33" s="2484"/>
      <c r="P33" s="3385"/>
      <c r="Q33" s="1259" t="str">
        <f t="shared" si="11"/>
        <v>是否直接入户</v>
      </c>
      <c r="R33" s="665" t="s">
        <v>14</v>
      </c>
      <c r="S33" s="666">
        <f t="shared" si="12"/>
        <v>100</v>
      </c>
      <c r="T33" s="665" t="s">
        <v>14</v>
      </c>
      <c r="U33" s="666">
        <f t="shared" si="13"/>
        <v>100</v>
      </c>
      <c r="V33" s="665" t="s">
        <v>14</v>
      </c>
      <c r="W33" s="666">
        <f t="shared" si="14"/>
        <v>100</v>
      </c>
      <c r="X33" s="1261"/>
      <c r="Y33" s="3385"/>
      <c r="Z33" s="1260" t="str">
        <f t="shared" si="15"/>
        <v>是否直接入户</v>
      </c>
      <c r="AA33" s="1260">
        <f t="shared" si="3"/>
        <v>1</v>
      </c>
      <c r="AB33" s="1260">
        <f t="shared" si="4"/>
        <v>1</v>
      </c>
      <c r="AC33" s="1260">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9"/>
      <c r="M34" s="2484"/>
      <c r="N34" s="2484"/>
      <c r="O34" s="2484"/>
      <c r="P34" s="3385"/>
      <c r="Q34" s="1259">
        <f t="shared" si="11"/>
        <v>111</v>
      </c>
      <c r="R34" s="665" t="s">
        <v>14</v>
      </c>
      <c r="S34" s="666">
        <f t="shared" si="12"/>
        <v>100</v>
      </c>
      <c r="T34" s="665" t="s">
        <v>14</v>
      </c>
      <c r="U34" s="666">
        <f t="shared" si="13"/>
        <v>100</v>
      </c>
      <c r="V34" s="665" t="s">
        <v>14</v>
      </c>
      <c r="W34" s="666">
        <f t="shared" si="14"/>
        <v>100</v>
      </c>
      <c r="X34" s="1261"/>
      <c r="Y34" s="3385"/>
      <c r="Z34" s="1260">
        <f t="shared" si="15"/>
        <v>111</v>
      </c>
      <c r="AA34" s="1260">
        <f t="shared" si="3"/>
        <v>1</v>
      </c>
      <c r="AB34" s="1260">
        <f t="shared" si="4"/>
        <v>1</v>
      </c>
      <c r="AC34" s="1260">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8"/>
      <c r="M35" s="2490"/>
      <c r="N35" s="2490"/>
      <c r="O35" s="2490"/>
      <c r="P35" s="3385"/>
      <c r="Q35" s="529">
        <f t="shared" si="11"/>
        <v>111</v>
      </c>
      <c r="R35" s="667" t="s">
        <v>14</v>
      </c>
      <c r="S35" s="668">
        <f t="shared" si="12"/>
        <v>100</v>
      </c>
      <c r="T35" s="667" t="s">
        <v>14</v>
      </c>
      <c r="U35" s="668">
        <f t="shared" si="13"/>
        <v>100</v>
      </c>
      <c r="V35" s="667" t="s">
        <v>14</v>
      </c>
      <c r="W35" s="668">
        <f t="shared" si="14"/>
        <v>100</v>
      </c>
      <c r="X35" s="669"/>
      <c r="Y35" s="3385"/>
      <c r="Z35" s="670">
        <f t="shared" si="15"/>
        <v>111</v>
      </c>
      <c r="AA35" s="1260">
        <f t="shared" si="3"/>
        <v>1</v>
      </c>
      <c r="AB35" s="1260">
        <f t="shared" si="4"/>
        <v>1</v>
      </c>
      <c r="AC35" s="1260">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9"/>
      <c r="M36" s="2484"/>
      <c r="N36" s="2484"/>
      <c r="O36" s="2484"/>
      <c r="P36" s="3385"/>
      <c r="Q36" s="1259">
        <f t="shared" si="11"/>
        <v>111</v>
      </c>
      <c r="R36" s="665" t="s">
        <v>14</v>
      </c>
      <c r="S36" s="666">
        <f t="shared" si="12"/>
        <v>100</v>
      </c>
      <c r="T36" s="665" t="s">
        <v>14</v>
      </c>
      <c r="U36" s="666">
        <f t="shared" si="13"/>
        <v>100</v>
      </c>
      <c r="V36" s="665" t="s">
        <v>14</v>
      </c>
      <c r="W36" s="666">
        <f t="shared" si="14"/>
        <v>100</v>
      </c>
      <c r="X36" s="1261"/>
      <c r="Y36" s="3385"/>
      <c r="Z36" s="1260">
        <f t="shared" si="15"/>
        <v>111</v>
      </c>
      <c r="AA36" s="1260">
        <f t="shared" si="3"/>
        <v>1</v>
      </c>
      <c r="AB36" s="1260">
        <f t="shared" si="4"/>
        <v>1</v>
      </c>
      <c r="AC36" s="1260">
        <f t="shared" si="5"/>
        <v>1</v>
      </c>
    </row>
    <row r="37" spans="1:29" ht="15">
      <c r="A37" s="414" t="s">
        <v>1844</v>
      </c>
      <c r="B37" s="1817" t="s">
        <v>3342</v>
      </c>
      <c r="C37" s="1077" t="s">
        <v>0</v>
      </c>
      <c r="D37" s="416"/>
      <c r="E37" s="417"/>
      <c r="F37" s="418"/>
      <c r="G37" s="419"/>
      <c r="H37" s="420"/>
      <c r="I37" s="417"/>
      <c r="J37" s="420"/>
      <c r="K37" s="543"/>
      <c r="L37" s="2491"/>
      <c r="M37" s="2484"/>
      <c r="N37" s="2484"/>
      <c r="O37" s="2484"/>
      <c r="P37" s="3381" t="str">
        <f>A37</f>
        <v>成交单价</v>
      </c>
      <c r="Q37" s="3381"/>
      <c r="R37" s="3386">
        <f>E37</f>
        <v>0</v>
      </c>
      <c r="S37" s="3386"/>
      <c r="T37" s="3386">
        <f>G37</f>
        <v>0</v>
      </c>
      <c r="U37" s="3386"/>
      <c r="V37" s="3386">
        <f>I37</f>
        <v>0</v>
      </c>
      <c r="W37" s="3386"/>
      <c r="X37" s="383"/>
      <c r="Y37" s="671"/>
      <c r="Z37" s="383"/>
      <c r="AA37" s="383"/>
      <c r="AB37" s="383"/>
      <c r="AC37" s="383"/>
    </row>
    <row r="38" spans="1:29" ht="15.75" thickBot="1">
      <c r="A38" s="421" t="s">
        <v>1845</v>
      </c>
      <c r="B38" s="422" t="str">
        <f>B37</f>
        <v>元/平方米</v>
      </c>
      <c r="C38" s="1078" t="e">
        <f>R39</f>
        <v>#DIV/0!</v>
      </c>
      <c r="D38" s="2137" t="s">
        <v>2137</v>
      </c>
      <c r="E38" s="1079" t="e">
        <f>R38</f>
        <v>#DIV/0!</v>
      </c>
      <c r="F38" s="2138"/>
      <c r="G38" s="1078" t="e">
        <f>T38</f>
        <v>#DIV/0!</v>
      </c>
      <c r="H38" s="2138"/>
      <c r="I38" s="1079" t="e">
        <f>V38</f>
        <v>#DIV/0!</v>
      </c>
      <c r="J38" s="2138"/>
      <c r="K38" s="2140">
        <f>F38+H38+J38</f>
        <v>0</v>
      </c>
      <c r="L38" s="2491"/>
      <c r="M38" s="2484"/>
      <c r="N38" s="2484"/>
      <c r="O38" s="2484"/>
      <c r="P38" s="3381" t="str">
        <f>A38</f>
        <v>比较价值（元/平方米）</v>
      </c>
      <c r="Q38" s="3381"/>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383"/>
      <c r="Y38" s="383"/>
      <c r="Z38" s="383"/>
      <c r="AA38" s="383"/>
      <c r="AB38" s="383"/>
      <c r="AC38" s="383"/>
    </row>
    <row r="39" spans="1:29" ht="15.75" thickBot="1">
      <c r="A39" s="425" t="s">
        <v>1846</v>
      </c>
      <c r="B39" s="426"/>
      <c r="C39" s="349" t="e">
        <f>R39</f>
        <v>#DIV/0!</v>
      </c>
      <c r="D39" s="349"/>
      <c r="E39" s="349"/>
      <c r="F39" s="349"/>
      <c r="G39" s="349"/>
      <c r="H39" s="349"/>
      <c r="I39" s="349"/>
      <c r="J39" s="349"/>
      <c r="K39" s="544"/>
      <c r="L39" s="2491"/>
      <c r="M39" s="2484"/>
      <c r="N39" s="2484"/>
      <c r="O39" s="2484"/>
      <c r="P39" s="3375" t="str">
        <f>A39</f>
        <v>估价对象XX用房的比较价值（楼面单价，元/平方米）</v>
      </c>
      <c r="Q39" s="3376"/>
      <c r="R39" s="3468" t="e">
        <f>IF(F1="售价",ROUND(IF(D38="简单平均",AVERAGE(R38:W38),R38*F38+T38*H38+V38*J38),0),ROUND(IF(D38="简单平均",AVERAGE(R38:V38),R38*F38+T38*H38+V38*J38),1))</f>
        <v>#DIV/0!</v>
      </c>
      <c r="S39" s="3468"/>
      <c r="T39" s="3468"/>
      <c r="U39" s="3468"/>
      <c r="V39" s="3468"/>
      <c r="W39" s="3468"/>
      <c r="X39" s="383"/>
      <c r="Y39" s="383"/>
      <c r="Z39" s="383"/>
      <c r="AA39" s="383"/>
      <c r="AB39" s="383"/>
      <c r="AC39" s="383"/>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5" customFormat="1" ht="13.5" customHeight="1">
      <c r="A44" s="2494"/>
      <c r="B44" s="2494"/>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5"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3" t="s">
        <v>1850</v>
      </c>
      <c r="B47" s="857"/>
      <c r="C47" s="882"/>
      <c r="D47" s="882"/>
      <c r="E47" s="882"/>
      <c r="F47" s="1084"/>
      <c r="G47" s="1084"/>
      <c r="H47" s="882"/>
      <c r="I47" s="882"/>
      <c r="J47" s="882"/>
      <c r="K47" s="883"/>
      <c r="L47" s="884"/>
      <c r="M47" s="882"/>
      <c r="N47" s="2534"/>
      <c r="O47" s="2534"/>
      <c r="P47" s="2523"/>
      <c r="Q47" s="2505"/>
      <c r="R47" s="2484"/>
      <c r="S47" s="2484"/>
      <c r="T47" s="2484"/>
      <c r="U47" s="2484"/>
      <c r="V47" s="2484"/>
      <c r="W47" s="2484"/>
      <c r="X47" s="2484"/>
      <c r="Y47" s="2484"/>
      <c r="Z47" s="2484"/>
      <c r="AA47" s="2484"/>
      <c r="AB47" s="2484"/>
      <c r="AC47" s="2484"/>
    </row>
    <row r="48" spans="1:29" s="440" customFormat="1" ht="15">
      <c r="A48" s="438" t="s">
        <v>1851</v>
      </c>
      <c r="B48" s="439"/>
      <c r="C48" s="1099" t="str">
        <f>YEAR(C7)&amp;"-"&amp;MONTH(C7)</f>
        <v>2025-9</v>
      </c>
      <c r="D48" s="1100">
        <f>EDATE(C48,-1)</f>
        <v>45870</v>
      </c>
      <c r="E48" s="1100">
        <f t="shared" ref="E48:O48" si="16">EDATE(D48,-1)</f>
        <v>45839</v>
      </c>
      <c r="F48" s="1100">
        <f t="shared" si="16"/>
        <v>45809</v>
      </c>
      <c r="G48" s="1100">
        <f t="shared" si="16"/>
        <v>45778</v>
      </c>
      <c r="H48" s="1100">
        <f t="shared" si="16"/>
        <v>45748</v>
      </c>
      <c r="I48" s="1100">
        <f t="shared" si="16"/>
        <v>45717</v>
      </c>
      <c r="J48" s="1100">
        <f t="shared" si="16"/>
        <v>45689</v>
      </c>
      <c r="K48" s="1100">
        <f t="shared" si="16"/>
        <v>45658</v>
      </c>
      <c r="L48" s="1100">
        <f t="shared" si="16"/>
        <v>45627</v>
      </c>
      <c r="M48" s="1100">
        <f t="shared" si="16"/>
        <v>45597</v>
      </c>
      <c r="N48" s="1100">
        <f t="shared" si="16"/>
        <v>45566</v>
      </c>
      <c r="O48" s="1100">
        <f t="shared" si="16"/>
        <v>45536</v>
      </c>
      <c r="P48" s="2524"/>
      <c r="Q48" s="2507"/>
      <c r="R48" s="2507"/>
      <c r="S48" s="2507"/>
      <c r="T48" s="2507"/>
      <c r="U48" s="2507"/>
      <c r="V48" s="2507"/>
      <c r="W48" s="2507"/>
      <c r="X48" s="2507"/>
      <c r="Y48" s="2507"/>
      <c r="Z48" s="2507"/>
      <c r="AA48" s="2507"/>
      <c r="AB48" s="2507"/>
      <c r="AC48" s="2507"/>
    </row>
    <row r="49" spans="1:29" s="100" customFormat="1" ht="15">
      <c r="A49" s="441"/>
      <c r="B49" s="442"/>
      <c r="C49" s="1093">
        <v>100</v>
      </c>
      <c r="D49" s="444"/>
      <c r="E49" s="444"/>
      <c r="F49" s="444"/>
      <c r="G49" s="444"/>
      <c r="H49" s="444"/>
      <c r="I49" s="444"/>
      <c r="J49" s="444"/>
      <c r="K49" s="444"/>
      <c r="L49" s="444"/>
      <c r="M49" s="445"/>
      <c r="N49" s="444"/>
      <c r="O49" s="445"/>
      <c r="P49" s="2525"/>
      <c r="Q49" s="2436"/>
      <c r="R49" s="2436"/>
      <c r="S49" s="2436"/>
      <c r="T49" s="2436"/>
      <c r="U49" s="2436"/>
      <c r="V49" s="2436"/>
      <c r="W49" s="2436"/>
      <c r="X49" s="2436"/>
      <c r="Y49" s="2436"/>
      <c r="Z49" s="2436"/>
      <c r="AA49" s="2436"/>
      <c r="AB49" s="2436"/>
      <c r="AC49" s="2436"/>
    </row>
    <row r="50" spans="1:29" s="100" customFormat="1" ht="15.75" thickBot="1">
      <c r="A50" s="447" t="s">
        <v>1716</v>
      </c>
      <c r="B50" s="448"/>
      <c r="C50" s="449"/>
      <c r="D50" s="450"/>
      <c r="E50" s="450"/>
      <c r="F50" s="450"/>
      <c r="G50" s="450"/>
      <c r="H50" s="450"/>
      <c r="I50" s="450"/>
      <c r="J50" s="450"/>
      <c r="K50" s="450"/>
      <c r="L50" s="450"/>
      <c r="M50" s="451"/>
      <c r="N50" s="450"/>
      <c r="O50" s="451"/>
      <c r="P50" s="2525"/>
      <c r="Q50" s="2505"/>
      <c r="R50" s="2436"/>
      <c r="S50" s="2436"/>
      <c r="T50" s="2436"/>
      <c r="U50" s="2436"/>
      <c r="V50" s="2436"/>
      <c r="W50" s="2436"/>
      <c r="X50" s="2436"/>
      <c r="Y50" s="2436"/>
      <c r="Z50" s="2436"/>
      <c r="AA50" s="2436"/>
      <c r="AB50" s="2436"/>
      <c r="AC50" s="2436"/>
    </row>
    <row r="51" spans="1:29" s="100" customFormat="1" ht="15">
      <c r="A51" s="453" t="s">
        <v>1681</v>
      </c>
      <c r="B51" s="442"/>
      <c r="C51" s="454" t="s">
        <v>1776</v>
      </c>
      <c r="D51" s="31"/>
      <c r="E51" s="31"/>
      <c r="F51" s="31"/>
      <c r="G51" s="31"/>
      <c r="H51" s="31"/>
      <c r="I51" s="31"/>
      <c r="J51" s="31"/>
      <c r="K51" s="31"/>
      <c r="L51" s="455"/>
      <c r="M51" s="456"/>
      <c r="N51" s="2517"/>
      <c r="O51" s="2517"/>
      <c r="P51" s="2526"/>
      <c r="Q51" s="2505"/>
      <c r="R51" s="2436"/>
      <c r="S51" s="2436"/>
      <c r="T51" s="2436"/>
      <c r="U51" s="2436"/>
      <c r="V51" s="2436"/>
      <c r="W51" s="2436"/>
      <c r="X51" s="2436"/>
      <c r="Y51" s="2436"/>
      <c r="Z51" s="2436"/>
      <c r="AA51" s="2436"/>
      <c r="AB51" s="2436"/>
      <c r="AC51" s="2436"/>
    </row>
    <row r="52" spans="1:29" s="100" customFormat="1" ht="15.75" thickBot="1">
      <c r="A52" s="453"/>
      <c r="B52" s="442"/>
      <c r="C52" s="561">
        <v>100</v>
      </c>
      <c r="D52" s="444"/>
      <c r="E52" s="444"/>
      <c r="F52" s="444"/>
      <c r="G52" s="444"/>
      <c r="H52" s="444"/>
      <c r="I52" s="444"/>
      <c r="J52" s="444"/>
      <c r="K52" s="444"/>
      <c r="L52" s="444"/>
      <c r="M52" s="446"/>
      <c r="N52" s="2517"/>
      <c r="O52" s="2517"/>
      <c r="P52" s="2525"/>
      <c r="Q52" s="2505"/>
      <c r="R52" s="2436"/>
      <c r="S52" s="2436"/>
      <c r="T52" s="2436"/>
      <c r="U52" s="2436"/>
      <c r="V52" s="2436"/>
      <c r="W52" s="2436"/>
      <c r="X52" s="2436"/>
      <c r="Y52" s="2436"/>
      <c r="Z52" s="2436"/>
      <c r="AA52" s="2436"/>
      <c r="AB52" s="2436"/>
      <c r="AC52" s="2436"/>
    </row>
    <row r="53" spans="1:29">
      <c r="A53" s="377" t="s">
        <v>1719</v>
      </c>
      <c r="B53" s="458" t="s">
        <v>1685</v>
      </c>
      <c r="C53" s="459">
        <f>C9</f>
        <v>0</v>
      </c>
      <c r="D53" s="460"/>
      <c r="E53" s="460"/>
      <c r="F53" s="460"/>
      <c r="G53" s="460"/>
      <c r="H53" s="460"/>
      <c r="I53" s="460"/>
      <c r="J53" s="460"/>
      <c r="K53" s="461"/>
      <c r="L53" s="462"/>
      <c r="M53" s="463"/>
      <c r="N53" s="2518"/>
      <c r="O53" s="2518"/>
      <c r="P53" s="2527"/>
      <c r="Q53" s="2505"/>
      <c r="R53" s="2484"/>
      <c r="S53" s="2484"/>
      <c r="T53" s="2484"/>
      <c r="U53" s="2484"/>
      <c r="V53" s="2484"/>
      <c r="W53" s="2484"/>
      <c r="X53" s="2484"/>
      <c r="Y53" s="2484"/>
      <c r="Z53" s="2484"/>
      <c r="AA53" s="2484"/>
      <c r="AB53" s="2484"/>
      <c r="AC53" s="2484"/>
    </row>
    <row r="54" spans="1:29" ht="15.75" thickBot="1">
      <c r="A54" s="365"/>
      <c r="B54" s="464"/>
      <c r="C54" s="465">
        <v>100</v>
      </c>
      <c r="D54" s="465"/>
      <c r="E54" s="465"/>
      <c r="F54" s="465"/>
      <c r="G54" s="465"/>
      <c r="H54" s="465"/>
      <c r="I54" s="465"/>
      <c r="J54" s="465"/>
      <c r="K54" s="465"/>
      <c r="L54" s="465"/>
      <c r="M54" s="466"/>
      <c r="N54" s="2519"/>
      <c r="O54" s="2519"/>
      <c r="P54" s="2527"/>
      <c r="Q54" s="2505"/>
      <c r="R54" s="2484"/>
      <c r="S54" s="2484"/>
      <c r="T54" s="2484"/>
      <c r="U54" s="2484"/>
      <c r="V54" s="2484"/>
      <c r="W54" s="2484"/>
      <c r="X54" s="2484"/>
      <c r="Y54" s="2484"/>
      <c r="Z54" s="2484"/>
      <c r="AA54" s="2484"/>
      <c r="AB54" s="2484"/>
      <c r="AC54" s="2484"/>
    </row>
    <row r="55" spans="1:29" ht="27.75" thickTop="1">
      <c r="A55" s="365"/>
      <c r="B55" s="467" t="s">
        <v>1688</v>
      </c>
      <c r="C55" s="511"/>
      <c r="D55" s="511"/>
      <c r="E55" s="511"/>
      <c r="F55" s="511"/>
      <c r="G55" s="511"/>
      <c r="H55" s="511"/>
      <c r="I55" s="511"/>
      <c r="J55" s="511"/>
      <c r="K55" s="512"/>
      <c r="L55" s="513"/>
      <c r="M55" s="514"/>
      <c r="N55" s="2518"/>
      <c r="O55" s="2518"/>
      <c r="P55" s="2527"/>
      <c r="Q55" s="2505"/>
      <c r="R55" s="2484"/>
      <c r="S55" s="2484"/>
      <c r="T55" s="2484"/>
      <c r="U55" s="2484"/>
      <c r="V55" s="2484"/>
      <c r="W55" s="2484"/>
      <c r="X55" s="2484"/>
      <c r="Y55" s="2484"/>
      <c r="Z55" s="2484"/>
      <c r="AA55" s="2484"/>
      <c r="AB55" s="2484"/>
      <c r="AC55" s="2484"/>
    </row>
    <row r="56" spans="1:29" ht="15.75" thickBot="1">
      <c r="A56" s="365"/>
      <c r="B56" s="472"/>
      <c r="C56" s="465"/>
      <c r="D56" s="465"/>
      <c r="E56" s="465"/>
      <c r="F56" s="465"/>
      <c r="G56" s="465"/>
      <c r="H56" s="465"/>
      <c r="I56" s="465"/>
      <c r="J56" s="465"/>
      <c r="K56" s="465"/>
      <c r="L56" s="465"/>
      <c r="M56" s="466"/>
      <c r="N56" s="2519"/>
      <c r="O56" s="2519"/>
      <c r="P56" s="2527"/>
      <c r="Q56" s="2505"/>
      <c r="R56" s="2484"/>
      <c r="S56" s="2484"/>
      <c r="T56" s="2484"/>
      <c r="U56" s="2484"/>
      <c r="V56" s="2484"/>
      <c r="W56" s="2484"/>
      <c r="X56" s="2484"/>
      <c r="Y56" s="2484"/>
      <c r="Z56" s="2484"/>
      <c r="AA56" s="2484"/>
      <c r="AB56" s="2484"/>
      <c r="AC56" s="2484"/>
    </row>
    <row r="57" spans="1:29" ht="15.75" thickTop="1">
      <c r="A57" s="365"/>
      <c r="B57" s="579">
        <f>B11</f>
        <v>111</v>
      </c>
      <c r="C57" s="478"/>
      <c r="D57" s="478"/>
      <c r="E57" s="478"/>
      <c r="F57" s="478"/>
      <c r="G57" s="478"/>
      <c r="H57" s="478"/>
      <c r="I57" s="478"/>
      <c r="J57" s="478"/>
      <c r="K57" s="479"/>
      <c r="L57" s="480"/>
      <c r="M57" s="481"/>
      <c r="N57" s="2518"/>
      <c r="O57" s="2518"/>
      <c r="P57" s="2527"/>
      <c r="Q57" s="2505"/>
      <c r="R57" s="2484"/>
      <c r="S57" s="2484"/>
      <c r="T57" s="2484"/>
      <c r="U57" s="2484"/>
      <c r="V57" s="2484"/>
      <c r="W57" s="2484"/>
      <c r="X57" s="2484"/>
      <c r="Y57" s="2484"/>
      <c r="Z57" s="2484"/>
      <c r="AA57" s="2484"/>
      <c r="AB57" s="2484"/>
      <c r="AC57" s="2484"/>
    </row>
    <row r="58" spans="1:29" ht="15.75" thickBot="1">
      <c r="A58" s="365"/>
      <c r="B58" s="464"/>
      <c r="C58" s="489"/>
      <c r="D58" s="465"/>
      <c r="E58" s="465"/>
      <c r="F58" s="465"/>
      <c r="G58" s="465"/>
      <c r="H58" s="465"/>
      <c r="I58" s="465"/>
      <c r="J58" s="465"/>
      <c r="K58" s="465"/>
      <c r="L58" s="465"/>
      <c r="M58" s="466"/>
      <c r="N58" s="2519"/>
      <c r="O58" s="2519"/>
      <c r="P58" s="2527"/>
      <c r="Q58" s="2505"/>
      <c r="R58" s="2484"/>
      <c r="S58" s="2484"/>
      <c r="T58" s="2484"/>
      <c r="U58" s="2484"/>
      <c r="V58" s="2484"/>
      <c r="W58" s="2484"/>
      <c r="X58" s="2484"/>
      <c r="Y58" s="2484"/>
      <c r="Z58" s="2484"/>
      <c r="AA58" s="2484"/>
      <c r="AB58" s="2484"/>
      <c r="AC58" s="2484"/>
    </row>
    <row r="59" spans="1:29" s="406" customFormat="1" ht="15.75" thickTop="1">
      <c r="A59" s="482"/>
      <c r="B59" s="467">
        <f>B12</f>
        <v>111</v>
      </c>
      <c r="C59" s="478"/>
      <c r="D59" s="478"/>
      <c r="E59" s="478"/>
      <c r="F59" s="478"/>
      <c r="G59" s="483"/>
      <c r="H59" s="484"/>
      <c r="I59" s="484"/>
      <c r="J59" s="484"/>
      <c r="K59" s="484"/>
      <c r="L59" s="485"/>
      <c r="M59" s="486"/>
      <c r="N59" s="2520"/>
      <c r="O59" s="2520"/>
      <c r="P59" s="2528"/>
      <c r="Q59" s="2512"/>
      <c r="R59" s="2490"/>
      <c r="S59" s="2490"/>
      <c r="T59" s="2490"/>
      <c r="U59" s="2490"/>
      <c r="V59" s="2490"/>
      <c r="W59" s="2490"/>
      <c r="X59" s="2490"/>
      <c r="Y59" s="2490"/>
      <c r="Z59" s="2490"/>
      <c r="AA59" s="2490"/>
      <c r="AB59" s="2490"/>
      <c r="AC59" s="2490"/>
    </row>
    <row r="60" spans="1:29" s="406" customFormat="1" ht="15.75" thickBot="1">
      <c r="A60" s="482"/>
      <c r="B60" s="472"/>
      <c r="C60" s="489"/>
      <c r="D60" s="465"/>
      <c r="E60" s="465"/>
      <c r="F60" s="465"/>
      <c r="G60" s="465"/>
      <c r="H60" s="465"/>
      <c r="I60" s="465"/>
      <c r="J60" s="465"/>
      <c r="K60" s="465"/>
      <c r="L60" s="465"/>
      <c r="M60" s="466"/>
      <c r="N60" s="2519"/>
      <c r="O60" s="2519"/>
      <c r="P60" s="2528"/>
      <c r="Q60" s="2512"/>
      <c r="R60" s="2490"/>
      <c r="S60" s="2490"/>
      <c r="T60" s="2490"/>
      <c r="U60" s="2490"/>
      <c r="V60" s="2490"/>
      <c r="W60" s="2490"/>
      <c r="X60" s="2490"/>
      <c r="Y60" s="2490"/>
      <c r="Z60" s="2490"/>
      <c r="AA60" s="2490"/>
      <c r="AB60" s="2490"/>
      <c r="AC60" s="2490"/>
    </row>
    <row r="61" spans="1:29" s="406" customFormat="1" ht="15.75" thickTop="1">
      <c r="A61" s="482"/>
      <c r="B61" s="467">
        <f>B13</f>
        <v>111</v>
      </c>
      <c r="C61" s="483"/>
      <c r="D61" s="483"/>
      <c r="E61" s="483"/>
      <c r="F61" s="483"/>
      <c r="G61" s="483"/>
      <c r="H61" s="484"/>
      <c r="I61" s="484"/>
      <c r="J61" s="484"/>
      <c r="K61" s="484"/>
      <c r="L61" s="485"/>
      <c r="M61" s="486"/>
      <c r="N61" s="2520"/>
      <c r="O61" s="2520"/>
      <c r="P61" s="2529"/>
      <c r="Q61" s="2514"/>
      <c r="R61" s="2490"/>
      <c r="S61" s="2490"/>
      <c r="T61" s="2490"/>
      <c r="U61" s="2490"/>
      <c r="V61" s="2490"/>
      <c r="W61" s="2490"/>
      <c r="X61" s="2490"/>
      <c r="Y61" s="2490"/>
      <c r="Z61" s="2490"/>
      <c r="AA61" s="2490"/>
      <c r="AB61" s="2490"/>
      <c r="AC61" s="2490"/>
    </row>
    <row r="62" spans="1:29" s="406" customFormat="1" ht="15.75" thickBot="1">
      <c r="A62" s="482"/>
      <c r="B62" s="472"/>
      <c r="C62" s="489"/>
      <c r="D62" s="489"/>
      <c r="E62" s="489"/>
      <c r="F62" s="489"/>
      <c r="G62" s="489"/>
      <c r="H62" s="491"/>
      <c r="I62" s="491"/>
      <c r="J62" s="491"/>
      <c r="K62" s="491"/>
      <c r="L62" s="491"/>
      <c r="M62" s="492"/>
      <c r="N62" s="2520"/>
      <c r="O62" s="2520"/>
      <c r="P62" s="2528"/>
      <c r="Q62" s="2512"/>
      <c r="R62" s="2490"/>
      <c r="S62" s="2490"/>
      <c r="T62" s="2490"/>
      <c r="U62" s="2490"/>
      <c r="V62" s="2490"/>
      <c r="W62" s="2490"/>
      <c r="X62" s="2490"/>
      <c r="Y62" s="2490"/>
      <c r="Z62" s="2490"/>
      <c r="AA62" s="2490"/>
      <c r="AB62" s="2490"/>
      <c r="AC62" s="2490"/>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8"/>
      <c r="O63" s="2518"/>
      <c r="P63" s="2531"/>
      <c r="Q63" s="2505"/>
      <c r="R63" s="2484"/>
      <c r="S63" s="2484"/>
      <c r="T63" s="2484"/>
      <c r="U63" s="2484"/>
      <c r="V63" s="2484"/>
      <c r="W63" s="2484"/>
      <c r="X63" s="2484"/>
      <c r="Y63" s="2484"/>
      <c r="Z63" s="2484"/>
      <c r="AA63" s="2484"/>
      <c r="AB63" s="2484"/>
      <c r="AC63" s="2484"/>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9"/>
      <c r="O64" s="2519"/>
      <c r="P64" s="2527"/>
      <c r="Q64" s="2505"/>
      <c r="R64" s="2484"/>
      <c r="S64" s="2484"/>
      <c r="T64" s="2484"/>
      <c r="U64" s="2484"/>
      <c r="V64" s="2484"/>
      <c r="W64" s="2484"/>
      <c r="X64" s="2484"/>
      <c r="Y64" s="2484"/>
      <c r="Z64" s="2484"/>
      <c r="AA64" s="2484"/>
      <c r="AB64" s="2484"/>
      <c r="AC64" s="2484"/>
    </row>
    <row r="65" spans="1:29" ht="15.75" thickTop="1">
      <c r="A65" s="365"/>
      <c r="B65" s="467" t="s">
        <v>1727</v>
      </c>
      <c r="C65" s="507" t="s">
        <v>1721</v>
      </c>
      <c r="D65" s="507" t="s">
        <v>1722</v>
      </c>
      <c r="E65" s="507" t="s">
        <v>1723</v>
      </c>
      <c r="F65" s="507" t="s">
        <v>1724</v>
      </c>
      <c r="G65" s="507" t="s">
        <v>1725</v>
      </c>
      <c r="H65" s="468"/>
      <c r="I65" s="468"/>
      <c r="J65" s="468"/>
      <c r="K65" s="469"/>
      <c r="L65" s="470"/>
      <c r="M65" s="471"/>
      <c r="N65" s="2518"/>
      <c r="O65" s="2518"/>
      <c r="P65" s="2527"/>
      <c r="Q65" s="2505"/>
      <c r="R65" s="2484"/>
      <c r="S65" s="2484"/>
      <c r="T65" s="2484"/>
      <c r="U65" s="2484"/>
      <c r="V65" s="2484"/>
      <c r="W65" s="2484"/>
      <c r="X65" s="2484"/>
      <c r="Y65" s="2484"/>
      <c r="Z65" s="2484"/>
      <c r="AA65" s="2484"/>
      <c r="AB65" s="2484"/>
      <c r="AC65" s="2484"/>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9"/>
      <c r="O66" s="2519"/>
      <c r="P66" s="2527"/>
      <c r="Q66" s="2505"/>
      <c r="R66" s="2484"/>
      <c r="S66" s="2484"/>
      <c r="T66" s="2484"/>
      <c r="U66" s="2484"/>
      <c r="V66" s="2484"/>
      <c r="W66" s="2484"/>
      <c r="X66" s="2484"/>
      <c r="Y66" s="2484"/>
      <c r="Z66" s="2484"/>
      <c r="AA66" s="2484"/>
      <c r="AB66" s="2484"/>
      <c r="AC66" s="2484"/>
    </row>
    <row r="67" spans="1:29" ht="15.75" thickTop="1">
      <c r="A67" s="365"/>
      <c r="B67" s="475" t="s">
        <v>1813</v>
      </c>
      <c r="C67" s="579" t="s">
        <v>1799</v>
      </c>
      <c r="D67" s="579" t="s">
        <v>1800</v>
      </c>
      <c r="E67" s="579" t="s">
        <v>1801</v>
      </c>
      <c r="F67" s="579" t="s">
        <v>1802</v>
      </c>
      <c r="G67" s="579" t="s">
        <v>1803</v>
      </c>
      <c r="H67" s="468"/>
      <c r="I67" s="468"/>
      <c r="J67" s="468"/>
      <c r="K67" s="468"/>
      <c r="L67" s="468"/>
      <c r="M67" s="1059"/>
      <c r="N67" s="2519"/>
      <c r="O67" s="2519"/>
      <c r="P67" s="2527"/>
      <c r="Q67" s="2505"/>
      <c r="R67" s="2484"/>
      <c r="S67" s="2484"/>
      <c r="T67" s="2484"/>
      <c r="U67" s="2484"/>
      <c r="V67" s="2484"/>
      <c r="W67" s="2484"/>
      <c r="X67" s="2484"/>
      <c r="Y67" s="2484"/>
      <c r="Z67" s="2484"/>
      <c r="AA67" s="2484"/>
      <c r="AB67" s="2484"/>
      <c r="AC67" s="2484"/>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9"/>
      <c r="O68" s="2519"/>
      <c r="P68" s="2527"/>
      <c r="Q68" s="2505"/>
      <c r="R68" s="2484"/>
      <c r="S68" s="2484"/>
      <c r="T68" s="2484"/>
      <c r="U68" s="2484"/>
      <c r="V68" s="2484"/>
      <c r="W68" s="2484"/>
      <c r="X68" s="2484"/>
      <c r="Y68" s="2484"/>
      <c r="Z68" s="2484"/>
      <c r="AA68" s="2484"/>
      <c r="AB68" s="2484"/>
      <c r="AC68" s="2484"/>
    </row>
    <row r="69" spans="1:29" ht="15.75" thickTop="1">
      <c r="A69" s="365"/>
      <c r="B69" s="467" t="s">
        <v>1733</v>
      </c>
      <c r="C69" s="507" t="s">
        <v>1721</v>
      </c>
      <c r="D69" s="507" t="s">
        <v>1722</v>
      </c>
      <c r="E69" s="507" t="s">
        <v>1723</v>
      </c>
      <c r="F69" s="507" t="s">
        <v>1724</v>
      </c>
      <c r="G69" s="507" t="s">
        <v>1725</v>
      </c>
      <c r="H69" s="468"/>
      <c r="I69" s="468"/>
      <c r="J69" s="468"/>
      <c r="K69" s="469"/>
      <c r="L69" s="470"/>
      <c r="M69" s="471"/>
      <c r="N69" s="2518"/>
      <c r="O69" s="2518"/>
      <c r="P69" s="2527"/>
      <c r="Q69" s="2505"/>
      <c r="R69" s="2484"/>
      <c r="S69" s="2484"/>
      <c r="T69" s="2484"/>
      <c r="U69" s="2484"/>
      <c r="V69" s="2484"/>
      <c r="W69" s="2484"/>
      <c r="X69" s="2484"/>
      <c r="Y69" s="2484"/>
      <c r="Z69" s="2484"/>
      <c r="AA69" s="2484"/>
      <c r="AB69" s="2484"/>
      <c r="AC69" s="2484"/>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9"/>
      <c r="O70" s="2519"/>
      <c r="P70" s="2527"/>
      <c r="Q70" s="2505"/>
      <c r="R70" s="2484"/>
      <c r="S70" s="2484"/>
      <c r="T70" s="2484"/>
      <c r="U70" s="2484"/>
      <c r="V70" s="2484"/>
      <c r="W70" s="2484"/>
      <c r="X70" s="2484"/>
      <c r="Y70" s="2484"/>
      <c r="Z70" s="2484"/>
      <c r="AA70" s="2484"/>
      <c r="AB70" s="2484"/>
      <c r="AC70" s="2484"/>
    </row>
    <row r="71" spans="1:29" ht="15.75" thickTop="1">
      <c r="A71" s="365"/>
      <c r="B71" s="467" t="s">
        <v>1852</v>
      </c>
      <c r="C71" s="483"/>
      <c r="D71" s="483"/>
      <c r="E71" s="483"/>
      <c r="F71" s="483"/>
      <c r="G71" s="483"/>
      <c r="H71" s="511"/>
      <c r="I71" s="511"/>
      <c r="J71" s="511"/>
      <c r="K71" s="512"/>
      <c r="L71" s="513"/>
      <c r="M71" s="514"/>
      <c r="N71" s="2518"/>
      <c r="O71" s="2518"/>
      <c r="P71" s="2527"/>
      <c r="Q71" s="2505"/>
      <c r="R71" s="2484"/>
      <c r="S71" s="2484"/>
      <c r="T71" s="2484"/>
      <c r="U71" s="2484"/>
      <c r="V71" s="2484"/>
      <c r="W71" s="2484"/>
      <c r="X71" s="2484"/>
      <c r="Y71" s="2484"/>
      <c r="Z71" s="2484"/>
      <c r="AA71" s="2484"/>
      <c r="AB71" s="2484"/>
      <c r="AC71" s="2484"/>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9"/>
      <c r="O72" s="2519"/>
      <c r="P72" s="2527"/>
      <c r="Q72" s="2505"/>
      <c r="R72" s="2484"/>
      <c r="S72" s="2484"/>
      <c r="T72" s="2484"/>
      <c r="U72" s="2484"/>
      <c r="V72" s="2484"/>
      <c r="W72" s="2484"/>
      <c r="X72" s="2484"/>
      <c r="Y72" s="2484"/>
      <c r="Z72" s="2484"/>
      <c r="AA72" s="2484"/>
      <c r="AB72" s="2484"/>
      <c r="AC72" s="2484"/>
    </row>
    <row r="73" spans="1:29" s="100" customFormat="1" ht="15.75" thickTop="1">
      <c r="A73" s="368"/>
      <c r="B73" s="467">
        <f>B23</f>
        <v>111</v>
      </c>
      <c r="C73" s="478"/>
      <c r="D73" s="478"/>
      <c r="E73" s="478"/>
      <c r="F73" s="478"/>
      <c r="G73" s="483"/>
      <c r="H73" s="483"/>
      <c r="I73" s="483"/>
      <c r="J73" s="483"/>
      <c r="K73" s="483"/>
      <c r="L73" s="508"/>
      <c r="M73" s="509"/>
      <c r="N73" s="2517"/>
      <c r="O73" s="2517"/>
      <c r="P73" s="2527"/>
      <c r="Q73" s="2505"/>
      <c r="R73" s="2436"/>
      <c r="S73" s="2436"/>
      <c r="T73" s="2436"/>
      <c r="U73" s="2436"/>
      <c r="V73" s="2436"/>
      <c r="W73" s="2436"/>
      <c r="X73" s="2436"/>
      <c r="Y73" s="2436"/>
      <c r="Z73" s="2436"/>
      <c r="AA73" s="2436"/>
      <c r="AB73" s="2436"/>
      <c r="AC73" s="2436"/>
    </row>
    <row r="74" spans="1:29" s="100" customFormat="1" ht="15.75" thickBot="1">
      <c r="A74" s="368"/>
      <c r="B74" s="472"/>
      <c r="C74" s="489"/>
      <c r="D74" s="465"/>
      <c r="E74" s="465"/>
      <c r="F74" s="465"/>
      <c r="G74" s="465"/>
      <c r="H74" s="465"/>
      <c r="I74" s="465"/>
      <c r="J74" s="465"/>
      <c r="K74" s="465"/>
      <c r="L74" s="465"/>
      <c r="M74" s="466"/>
      <c r="N74" s="2519"/>
      <c r="O74" s="2519"/>
      <c r="P74" s="2527"/>
      <c r="Q74" s="2505"/>
      <c r="R74" s="2436"/>
      <c r="S74" s="2436"/>
      <c r="T74" s="2436"/>
      <c r="U74" s="2436"/>
      <c r="V74" s="2436"/>
      <c r="W74" s="2436"/>
      <c r="X74" s="2436"/>
      <c r="Y74" s="2436"/>
      <c r="Z74" s="2436"/>
      <c r="AA74" s="2436"/>
      <c r="AB74" s="2436"/>
      <c r="AC74" s="2436"/>
    </row>
    <row r="75" spans="1:29" s="100" customFormat="1" ht="15.75" thickTop="1">
      <c r="A75" s="368"/>
      <c r="B75" s="467">
        <f>B24</f>
        <v>111</v>
      </c>
      <c r="C75" s="478"/>
      <c r="D75" s="478"/>
      <c r="E75" s="478"/>
      <c r="F75" s="478"/>
      <c r="G75" s="483"/>
      <c r="H75" s="483"/>
      <c r="I75" s="483"/>
      <c r="J75" s="483"/>
      <c r="K75" s="483"/>
      <c r="L75" s="483"/>
      <c r="M75" s="509"/>
      <c r="N75" s="2517"/>
      <c r="O75" s="2517"/>
      <c r="P75" s="2527"/>
      <c r="Q75" s="2505"/>
      <c r="R75" s="2436"/>
      <c r="S75" s="2436"/>
      <c r="T75" s="2436"/>
      <c r="U75" s="2436"/>
      <c r="V75" s="2436"/>
      <c r="W75" s="2436"/>
      <c r="X75" s="2436"/>
      <c r="Y75" s="2436"/>
      <c r="Z75" s="2436"/>
      <c r="AA75" s="2436"/>
      <c r="AB75" s="2436"/>
      <c r="AC75" s="2436"/>
    </row>
    <row r="76" spans="1:29" s="100" customFormat="1" ht="15.75" thickBot="1">
      <c r="A76" s="368"/>
      <c r="B76" s="472"/>
      <c r="C76" s="489"/>
      <c r="D76" s="465"/>
      <c r="E76" s="465"/>
      <c r="F76" s="465"/>
      <c r="G76" s="465"/>
      <c r="H76" s="465"/>
      <c r="I76" s="465"/>
      <c r="J76" s="465"/>
      <c r="K76" s="465"/>
      <c r="L76" s="465"/>
      <c r="M76" s="466"/>
      <c r="N76" s="2519"/>
      <c r="O76" s="2519"/>
      <c r="P76" s="2527"/>
      <c r="Q76" s="2505"/>
      <c r="R76" s="2436"/>
      <c r="S76" s="2436"/>
      <c r="T76" s="2436"/>
      <c r="U76" s="2436"/>
      <c r="V76" s="2436"/>
      <c r="W76" s="2436"/>
      <c r="X76" s="2436"/>
      <c r="Y76" s="2436"/>
      <c r="Z76" s="2436"/>
      <c r="AA76" s="2436"/>
      <c r="AB76" s="2436"/>
      <c r="AC76" s="2436"/>
    </row>
    <row r="77" spans="1:29" s="406" customFormat="1" ht="15.75" thickTop="1">
      <c r="A77" s="482"/>
      <c r="B77" s="467">
        <f>B25</f>
        <v>111</v>
      </c>
      <c r="C77" s="483"/>
      <c r="D77" s="483"/>
      <c r="E77" s="483"/>
      <c r="F77" s="483"/>
      <c r="G77" s="483"/>
      <c r="H77" s="484"/>
      <c r="I77" s="484"/>
      <c r="J77" s="484"/>
      <c r="K77" s="484"/>
      <c r="L77" s="485"/>
      <c r="M77" s="486"/>
      <c r="N77" s="2520"/>
      <c r="O77" s="2520"/>
      <c r="P77" s="2528"/>
      <c r="Q77" s="2512"/>
      <c r="R77" s="2490"/>
      <c r="S77" s="2490"/>
      <c r="T77" s="2490"/>
      <c r="U77" s="2490"/>
      <c r="V77" s="2490"/>
      <c r="W77" s="2490"/>
      <c r="X77" s="2490"/>
      <c r="Y77" s="2490"/>
      <c r="Z77" s="2490"/>
      <c r="AA77" s="2490"/>
      <c r="AB77" s="2490"/>
      <c r="AC77" s="2490"/>
    </row>
    <row r="78" spans="1:29" s="406" customFormat="1" ht="15.75" thickBot="1">
      <c r="A78" s="482"/>
      <c r="B78" s="472"/>
      <c r="C78" s="489"/>
      <c r="D78" s="489"/>
      <c r="E78" s="489"/>
      <c r="F78" s="489"/>
      <c r="G78" s="465"/>
      <c r="H78" s="465"/>
      <c r="I78" s="465"/>
      <c r="J78" s="465"/>
      <c r="K78" s="465"/>
      <c r="L78" s="465"/>
      <c r="M78" s="466"/>
      <c r="N78" s="2520"/>
      <c r="O78" s="2520"/>
      <c r="P78" s="2528"/>
      <c r="Q78" s="2512"/>
      <c r="R78" s="2490"/>
      <c r="S78" s="2490"/>
      <c r="T78" s="2490"/>
      <c r="U78" s="2490"/>
      <c r="V78" s="2490"/>
      <c r="W78" s="2490"/>
      <c r="X78" s="2490"/>
      <c r="Y78" s="2490"/>
      <c r="Z78" s="2490"/>
      <c r="AA78" s="2490"/>
      <c r="AB78" s="2490"/>
      <c r="AC78" s="2490"/>
    </row>
    <row r="79" spans="1:29" ht="27.75" thickTop="1">
      <c r="A79" s="377" t="s">
        <v>1694</v>
      </c>
      <c r="B79" s="458" t="s">
        <v>1853</v>
      </c>
      <c r="C79" s="459" t="str">
        <f>C26</f>
        <v>车库</v>
      </c>
      <c r="D79" s="460"/>
      <c r="E79" s="460"/>
      <c r="F79" s="460"/>
      <c r="G79" s="460"/>
      <c r="H79" s="460"/>
      <c r="I79" s="460"/>
      <c r="J79" s="460"/>
      <c r="K79" s="461"/>
      <c r="L79" s="462"/>
      <c r="M79" s="463"/>
      <c r="N79" s="2518"/>
      <c r="O79" s="2518"/>
      <c r="P79" s="2527"/>
      <c r="Q79" s="2505"/>
      <c r="R79" s="2484"/>
      <c r="S79" s="2484"/>
      <c r="T79" s="2484"/>
      <c r="U79" s="2484"/>
      <c r="V79" s="2484"/>
      <c r="W79" s="2484"/>
      <c r="X79" s="2484"/>
      <c r="Y79" s="2484"/>
      <c r="Z79" s="2484"/>
      <c r="AA79" s="2484"/>
      <c r="AB79" s="2484"/>
      <c r="AC79" s="2484"/>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5"/>
      <c r="B81" s="467" t="s">
        <v>1854</v>
      </c>
      <c r="C81" s="580"/>
      <c r="D81" s="580"/>
      <c r="E81" s="580"/>
      <c r="F81" s="580"/>
      <c r="G81" s="580"/>
      <c r="H81" s="580"/>
      <c r="I81" s="580"/>
      <c r="J81" s="580"/>
      <c r="K81" s="581"/>
      <c r="L81" s="582"/>
      <c r="M81" s="583"/>
      <c r="N81" s="2517"/>
      <c r="O81" s="2517"/>
      <c r="P81" s="2527"/>
      <c r="Q81" s="2505"/>
      <c r="R81" s="2484"/>
      <c r="S81" s="2484"/>
      <c r="T81" s="2484"/>
      <c r="U81" s="2484"/>
      <c r="V81" s="2484"/>
      <c r="W81" s="2484"/>
      <c r="X81" s="2484"/>
      <c r="Y81" s="2484"/>
      <c r="Z81" s="2484"/>
      <c r="AA81" s="2484"/>
      <c r="AB81" s="2484"/>
      <c r="AC81" s="2484"/>
    </row>
    <row r="82" spans="1:29" s="406" customFormat="1" ht="15.75" thickBot="1">
      <c r="A82" s="482"/>
      <c r="B82" s="472"/>
      <c r="C82" s="489"/>
      <c r="D82" s="465"/>
      <c r="E82" s="465"/>
      <c r="F82" s="465"/>
      <c r="G82" s="465"/>
      <c r="H82" s="465"/>
      <c r="I82" s="465"/>
      <c r="J82" s="465"/>
      <c r="K82" s="465"/>
      <c r="L82" s="465"/>
      <c r="M82" s="466"/>
      <c r="N82" s="2519"/>
      <c r="O82" s="2519"/>
      <c r="P82" s="2528"/>
      <c r="Q82" s="2512"/>
      <c r="R82" s="2490"/>
      <c r="S82" s="2490"/>
      <c r="T82" s="2490"/>
      <c r="U82" s="2490"/>
      <c r="V82" s="2490"/>
      <c r="W82" s="2490"/>
      <c r="X82" s="2490"/>
      <c r="Y82" s="2490"/>
      <c r="Z82" s="2490"/>
      <c r="AA82" s="2490"/>
      <c r="AB82" s="2490"/>
      <c r="AC82" s="2490"/>
    </row>
    <row r="83" spans="1:29" ht="15" thickTop="1">
      <c r="A83" s="407"/>
      <c r="B83" s="467" t="s">
        <v>1740</v>
      </c>
      <c r="C83" s="483"/>
      <c r="D83" s="483"/>
      <c r="E83" s="511"/>
      <c r="F83" s="511"/>
      <c r="G83" s="511"/>
      <c r="H83" s="511"/>
      <c r="I83" s="511"/>
      <c r="J83" s="511"/>
      <c r="K83" s="512"/>
      <c r="L83" s="513"/>
      <c r="M83" s="514"/>
      <c r="N83" s="2518"/>
      <c r="O83" s="2518"/>
      <c r="P83" s="2527"/>
      <c r="Q83" s="2505"/>
      <c r="R83" s="2484"/>
      <c r="S83" s="2484"/>
      <c r="T83" s="2484"/>
      <c r="U83" s="2484"/>
      <c r="V83" s="2484"/>
      <c r="W83" s="2484"/>
      <c r="X83" s="2484"/>
      <c r="Y83" s="2484"/>
      <c r="Z83" s="2484"/>
      <c r="AA83" s="2484"/>
      <c r="AB83" s="2484"/>
      <c r="AC83" s="2484"/>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8"/>
      <c r="O85" s="2518"/>
      <c r="P85" s="2527"/>
      <c r="Q85" s="2505"/>
      <c r="R85" s="2484"/>
      <c r="S85" s="2484"/>
      <c r="T85" s="2484"/>
      <c r="U85" s="2484"/>
      <c r="V85" s="2484"/>
      <c r="W85" s="2484"/>
      <c r="X85" s="2484"/>
      <c r="Y85" s="2484"/>
      <c r="Z85" s="2484"/>
      <c r="AA85" s="2484"/>
      <c r="AB85" s="2484"/>
      <c r="AC85" s="2484"/>
    </row>
    <row r="86" spans="1:29">
      <c r="A86" s="407"/>
      <c r="B86" s="475"/>
      <c r="C86" s="528">
        <v>0.5</v>
      </c>
      <c r="D86" s="528">
        <v>0.6</v>
      </c>
      <c r="E86" s="528">
        <v>0.7</v>
      </c>
      <c r="F86" s="528">
        <v>0.8</v>
      </c>
      <c r="G86" s="528">
        <v>0.9</v>
      </c>
      <c r="H86" s="528">
        <v>1.0001</v>
      </c>
      <c r="I86" s="546"/>
      <c r="J86" s="546"/>
      <c r="K86" s="547"/>
      <c r="L86" s="548"/>
      <c r="M86" s="549"/>
      <c r="N86" s="2518"/>
      <c r="O86" s="2518"/>
      <c r="P86" s="2527"/>
      <c r="Q86" s="2505"/>
      <c r="R86" s="2484"/>
      <c r="S86" s="2484"/>
      <c r="T86" s="2484"/>
      <c r="U86" s="2484"/>
      <c r="V86" s="2484"/>
      <c r="W86" s="2484"/>
      <c r="X86" s="2484"/>
      <c r="Y86" s="2484"/>
      <c r="Z86" s="2484"/>
      <c r="AA86" s="2484"/>
      <c r="AB86" s="2484"/>
      <c r="AC86" s="2484"/>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7"/>
      <c r="B88" s="475" t="s">
        <v>1856</v>
      </c>
      <c r="C88" s="460"/>
      <c r="D88" s="460"/>
      <c r="E88" s="460"/>
      <c r="F88" s="460"/>
      <c r="G88" s="460"/>
      <c r="H88" s="460"/>
      <c r="I88" s="460"/>
      <c r="J88" s="460"/>
      <c r="K88" s="461"/>
      <c r="L88" s="462"/>
      <c r="M88" s="463"/>
      <c r="N88" s="2518"/>
      <c r="O88" s="2518"/>
      <c r="P88" s="2527"/>
      <c r="Q88" s="2505"/>
      <c r="R88" s="2484"/>
      <c r="S88" s="2484"/>
      <c r="T88" s="2484"/>
      <c r="U88" s="2484"/>
      <c r="V88" s="2484"/>
      <c r="W88" s="2484"/>
      <c r="X88" s="2484"/>
      <c r="Y88" s="2484"/>
      <c r="Z88" s="2484"/>
      <c r="AA88" s="2484"/>
      <c r="AB88" s="2484"/>
      <c r="AC88" s="2484"/>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9"/>
      <c r="O89" s="2519"/>
      <c r="P89" s="2527"/>
      <c r="Q89" s="2505"/>
      <c r="R89" s="2484"/>
      <c r="S89" s="2484"/>
      <c r="T89" s="2484"/>
      <c r="U89" s="2484"/>
      <c r="V89" s="2484"/>
      <c r="W89" s="2484"/>
      <c r="X89" s="2484"/>
      <c r="Y89" s="2484"/>
      <c r="Z89" s="2484"/>
      <c r="AA89" s="2484"/>
      <c r="AB89" s="2484"/>
      <c r="AC89" s="2484"/>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0"/>
      <c r="O90" s="2520"/>
      <c r="P90" s="2528"/>
      <c r="Q90" s="2512"/>
      <c r="R90" s="2490"/>
      <c r="S90" s="2490"/>
      <c r="T90" s="2490"/>
      <c r="U90" s="2490"/>
      <c r="V90" s="2490"/>
      <c r="W90" s="2490"/>
      <c r="X90" s="2490"/>
      <c r="Y90" s="2490"/>
      <c r="Z90" s="2490"/>
      <c r="AA90" s="2490"/>
      <c r="AB90" s="2490"/>
      <c r="AC90" s="2490"/>
    </row>
    <row r="91" spans="1:29" s="406" customFormat="1">
      <c r="A91" s="404"/>
      <c r="B91" s="475"/>
      <c r="C91" s="6"/>
      <c r="D91" s="6"/>
      <c r="E91" s="6"/>
      <c r="F91" s="6"/>
      <c r="G91" s="6"/>
      <c r="H91" s="6"/>
      <c r="I91" s="6"/>
      <c r="J91" s="522"/>
      <c r="K91" s="522"/>
      <c r="L91" s="523"/>
      <c r="M91" s="524"/>
      <c r="N91" s="2520"/>
      <c r="O91" s="2520"/>
      <c r="P91" s="2528"/>
      <c r="Q91" s="2512"/>
      <c r="R91" s="2490"/>
      <c r="S91" s="2490"/>
      <c r="T91" s="2490"/>
      <c r="U91" s="2490"/>
      <c r="V91" s="2490"/>
      <c r="W91" s="2490"/>
      <c r="X91" s="2490"/>
      <c r="Y91" s="2490"/>
      <c r="Z91" s="2490"/>
      <c r="AA91" s="2490"/>
      <c r="AB91" s="2490"/>
      <c r="AC91" s="2490"/>
    </row>
    <row r="92" spans="1:29" s="406" customFormat="1" ht="15.75" thickBot="1">
      <c r="A92" s="482"/>
      <c r="B92" s="472"/>
      <c r="C92" s="489"/>
      <c r="D92" s="465"/>
      <c r="E92" s="465"/>
      <c r="F92" s="465"/>
      <c r="G92" s="465"/>
      <c r="H92" s="465"/>
      <c r="I92" s="465"/>
      <c r="J92" s="465"/>
      <c r="K92" s="465"/>
      <c r="L92" s="465"/>
      <c r="M92" s="466"/>
      <c r="N92" s="2520"/>
      <c r="O92" s="2520"/>
      <c r="P92" s="2528"/>
      <c r="Q92" s="2512"/>
      <c r="R92" s="2490"/>
      <c r="S92" s="2490"/>
      <c r="T92" s="2490"/>
      <c r="U92" s="2490"/>
      <c r="V92" s="2490"/>
      <c r="W92" s="2490"/>
      <c r="X92" s="2490"/>
      <c r="Y92" s="2490"/>
      <c r="Z92" s="2490"/>
      <c r="AA92" s="2490"/>
      <c r="AB92" s="2490"/>
      <c r="AC92" s="2490"/>
    </row>
    <row r="93" spans="1:29" ht="15" thickTop="1">
      <c r="A93" s="407"/>
      <c r="B93" s="467" t="s">
        <v>1858</v>
      </c>
      <c r="C93" s="483"/>
      <c r="D93" s="483"/>
      <c r="E93" s="511"/>
      <c r="F93" s="511"/>
      <c r="G93" s="511"/>
      <c r="H93" s="511"/>
      <c r="I93" s="511"/>
      <c r="J93" s="511"/>
      <c r="K93" s="512"/>
      <c r="L93" s="513"/>
      <c r="M93" s="514"/>
      <c r="N93" s="2518"/>
      <c r="O93" s="2518"/>
      <c r="P93" s="2527"/>
      <c r="Q93" s="2505"/>
      <c r="R93" s="2484"/>
      <c r="S93" s="2484"/>
      <c r="T93" s="2484"/>
      <c r="U93" s="2484"/>
      <c r="V93" s="2484"/>
      <c r="W93" s="2484"/>
      <c r="X93" s="2484"/>
      <c r="Y93" s="2484"/>
      <c r="Z93" s="2484"/>
      <c r="AA93" s="2484"/>
      <c r="AB93" s="2484"/>
      <c r="AC93" s="2484"/>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7"/>
      <c r="B95" s="467" t="s">
        <v>1859</v>
      </c>
      <c r="C95" s="460"/>
      <c r="D95" s="460"/>
      <c r="E95" s="460"/>
      <c r="F95" s="460"/>
      <c r="G95" s="460"/>
      <c r="H95" s="460"/>
      <c r="I95" s="460"/>
      <c r="J95" s="460"/>
      <c r="K95" s="461"/>
      <c r="L95" s="462"/>
      <c r="M95" s="463"/>
      <c r="N95" s="2518"/>
      <c r="O95" s="2518"/>
      <c r="P95" s="2527"/>
      <c r="Q95" s="2505"/>
      <c r="R95" s="2484"/>
      <c r="S95" s="2484"/>
      <c r="T95" s="2484"/>
      <c r="U95" s="2484"/>
      <c r="V95" s="2484"/>
      <c r="W95" s="2484"/>
      <c r="X95" s="2484"/>
      <c r="Y95" s="2484"/>
      <c r="Z95" s="2484"/>
      <c r="AA95" s="2484"/>
      <c r="AB95" s="2484"/>
      <c r="AC95" s="2484"/>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9"/>
      <c r="O96" s="2519"/>
      <c r="P96" s="2527"/>
      <c r="Q96" s="2505"/>
      <c r="R96" s="2484"/>
      <c r="S96" s="2484"/>
      <c r="T96" s="2484"/>
      <c r="U96" s="2484"/>
      <c r="V96" s="2484"/>
      <c r="W96" s="2484"/>
      <c r="X96" s="2484"/>
      <c r="Y96" s="2484"/>
      <c r="Z96" s="2484"/>
      <c r="AA96" s="2484"/>
      <c r="AB96" s="2484"/>
      <c r="AC96" s="2484"/>
    </row>
    <row r="97" spans="1:29" ht="15" thickTop="1">
      <c r="A97" s="407"/>
      <c r="B97" s="558">
        <f>B34</f>
        <v>111</v>
      </c>
      <c r="C97" s="478"/>
      <c r="D97" s="478"/>
      <c r="E97" s="478"/>
      <c r="F97" s="478"/>
      <c r="G97" s="483"/>
      <c r="H97" s="484"/>
      <c r="I97" s="484"/>
      <c r="J97" s="484"/>
      <c r="K97" s="484"/>
      <c r="L97" s="485"/>
      <c r="M97" s="486"/>
      <c r="N97" s="2519"/>
      <c r="O97" s="2519"/>
      <c r="P97" s="2532"/>
      <c r="Q97" s="2533"/>
      <c r="R97" s="2484"/>
      <c r="S97" s="2484"/>
      <c r="T97" s="2484"/>
      <c r="U97" s="2484"/>
      <c r="V97" s="2484"/>
      <c r="W97" s="2484"/>
      <c r="X97" s="2484"/>
      <c r="Y97" s="2484"/>
      <c r="Z97" s="2484"/>
      <c r="AA97" s="2484"/>
      <c r="AB97" s="2484"/>
      <c r="AC97" s="2484"/>
    </row>
    <row r="98" spans="1:29" ht="15.75" thickBot="1">
      <c r="A98" s="365"/>
      <c r="B98" s="472"/>
      <c r="C98" s="489"/>
      <c r="D98" s="465"/>
      <c r="E98" s="465"/>
      <c r="F98" s="465"/>
      <c r="G98" s="489"/>
      <c r="H98" s="491"/>
      <c r="I98" s="491"/>
      <c r="J98" s="491"/>
      <c r="K98" s="491"/>
      <c r="L98" s="491"/>
      <c r="M98" s="492"/>
      <c r="N98" s="2519"/>
      <c r="O98" s="2519"/>
      <c r="P98" s="2527"/>
      <c r="Q98" s="2505"/>
      <c r="R98" s="2484"/>
      <c r="S98" s="2484"/>
      <c r="T98" s="2484"/>
      <c r="U98" s="2484"/>
      <c r="V98" s="2484"/>
      <c r="W98" s="2484"/>
      <c r="X98" s="2484"/>
      <c r="Y98" s="2484"/>
      <c r="Z98" s="2484"/>
      <c r="AA98" s="2484"/>
      <c r="AB98" s="2484"/>
      <c r="AC98" s="2484"/>
    </row>
    <row r="99" spans="1:29" s="406" customFormat="1" ht="15" thickTop="1">
      <c r="A99" s="404"/>
      <c r="B99" s="467">
        <f>B35</f>
        <v>111</v>
      </c>
      <c r="C99" s="478"/>
      <c r="D99" s="478"/>
      <c r="E99" s="478"/>
      <c r="F99" s="478"/>
      <c r="G99" s="483"/>
      <c r="H99" s="484"/>
      <c r="I99" s="484"/>
      <c r="J99" s="484"/>
      <c r="K99" s="484"/>
      <c r="L99" s="485"/>
      <c r="M99" s="486"/>
      <c r="N99" s="2520"/>
      <c r="O99" s="2520"/>
      <c r="P99" s="2528"/>
      <c r="Q99" s="2512"/>
      <c r="R99" s="2490"/>
      <c r="S99" s="2490"/>
      <c r="T99" s="2490"/>
      <c r="U99" s="2490"/>
      <c r="V99" s="2490"/>
      <c r="W99" s="2490"/>
      <c r="X99" s="2490"/>
      <c r="Y99" s="2490"/>
      <c r="Z99" s="2490"/>
      <c r="AA99" s="2490"/>
      <c r="AB99" s="2490"/>
      <c r="AC99" s="2490"/>
    </row>
    <row r="100" spans="1:29" s="406" customFormat="1" ht="15.75" thickBot="1">
      <c r="A100" s="482"/>
      <c r="B100" s="464"/>
      <c r="C100" s="489"/>
      <c r="D100" s="465"/>
      <c r="E100" s="465"/>
      <c r="F100" s="465"/>
      <c r="G100" s="489"/>
      <c r="H100" s="491"/>
      <c r="I100" s="491"/>
      <c r="J100" s="491"/>
      <c r="K100" s="491"/>
      <c r="L100" s="491"/>
      <c r="M100" s="492"/>
      <c r="N100" s="2520"/>
      <c r="O100" s="2520"/>
      <c r="P100" s="2528"/>
      <c r="Q100" s="2512"/>
      <c r="R100" s="2490"/>
      <c r="S100" s="2490"/>
      <c r="T100" s="2490"/>
      <c r="U100" s="2490"/>
      <c r="V100" s="2490"/>
      <c r="W100" s="2490"/>
      <c r="X100" s="2490"/>
      <c r="Y100" s="2490"/>
      <c r="Z100" s="2490"/>
      <c r="AA100" s="2490"/>
      <c r="AB100" s="2490"/>
      <c r="AC100" s="2490"/>
    </row>
    <row r="101" spans="1:29" ht="15" thickTop="1">
      <c r="A101" s="407"/>
      <c r="B101" s="467">
        <f>B36</f>
        <v>111</v>
      </c>
      <c r="C101" s="483"/>
      <c r="D101" s="483"/>
      <c r="E101" s="483"/>
      <c r="F101" s="483"/>
      <c r="G101" s="483"/>
      <c r="H101" s="484"/>
      <c r="I101" s="484"/>
      <c r="J101" s="484"/>
      <c r="K101" s="484"/>
      <c r="L101" s="485"/>
      <c r="M101" s="486"/>
      <c r="N101" s="2518"/>
      <c r="O101" s="2518"/>
      <c r="P101" s="2527"/>
      <c r="Q101" s="2505"/>
      <c r="R101" s="2484"/>
      <c r="S101" s="2484"/>
      <c r="T101" s="2484"/>
      <c r="U101" s="2484"/>
      <c r="V101" s="2484"/>
      <c r="W101" s="2484"/>
      <c r="X101" s="2484"/>
      <c r="Y101" s="2484"/>
      <c r="Z101" s="2484"/>
      <c r="AA101" s="2484"/>
      <c r="AB101" s="2484"/>
      <c r="AC101" s="2484"/>
    </row>
    <row r="102" spans="1:29" ht="15.75" thickBot="1">
      <c r="A102" s="365"/>
      <c r="B102" s="472"/>
      <c r="C102" s="489"/>
      <c r="D102" s="489"/>
      <c r="E102" s="489"/>
      <c r="F102" s="489"/>
      <c r="G102" s="489"/>
      <c r="H102" s="491"/>
      <c r="I102" s="491"/>
      <c r="J102" s="491"/>
      <c r="K102" s="491"/>
      <c r="L102" s="491"/>
      <c r="M102" s="492"/>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1F898-8944-4DD5-B16A-BDD84E2F76A9}">
  <dimension ref="S23:S72"/>
  <sheetViews>
    <sheetView topLeftCell="A31" workbookViewId="0">
      <selection activeCell="T67" sqref="T67"/>
    </sheetView>
  </sheetViews>
  <sheetFormatPr defaultRowHeight="13.5"/>
  <sheetData>
    <row r="23" spans="19:19">
      <c r="S23">
        <f>3459.53/266*10000</f>
        <v>130057.51879699249</v>
      </c>
    </row>
    <row r="72" spans="19:19">
      <c r="S72">
        <f>6264.23/494*10000</f>
        <v>126806.27530364372</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9.5" thickBot="1">
      <c r="A4" s="1387"/>
      <c r="B4" s="3193" t="s">
        <v>917</v>
      </c>
      <c r="C4" s="3193"/>
      <c r="D4" s="3193"/>
      <c r="E4" s="1387"/>
    </row>
    <row r="5" spans="1:5" ht="16.5" thickTop="1">
      <c r="B5" s="3191" t="s">
        <v>909</v>
      </c>
      <c r="C5" s="1388" t="s">
        <v>910</v>
      </c>
      <c r="D5" s="793">
        <f ca="1">结果表!H101</f>
        <v>130953</v>
      </c>
    </row>
    <row r="6" spans="1:5" ht="15.75">
      <c r="B6" s="3191"/>
      <c r="C6" s="1388" t="s">
        <v>911</v>
      </c>
      <c r="D6" s="793" t="str">
        <f ca="1">NUMBERSTRING(INT(D5*10000),2)&amp;"元整"</f>
        <v>壹拾叁亿零玖佰伍拾叁万元整</v>
      </c>
    </row>
    <row r="7" spans="1:5" ht="15.75">
      <c r="B7" s="3196"/>
      <c r="C7" s="1389" t="s">
        <v>912</v>
      </c>
      <c r="D7" s="794">
        <f ca="1">结果表!H102</f>
        <v>17612</v>
      </c>
    </row>
    <row r="8" spans="1:5" ht="15.75">
      <c r="B8" s="3197" t="str">
        <f>结果表!E103</f>
        <v>2.估价师知悉的法定优先受偿款</v>
      </c>
      <c r="C8" s="1390" t="s">
        <v>913</v>
      </c>
      <c r="D8" s="794">
        <f>结果表!H103</f>
        <v>0</v>
      </c>
    </row>
    <row r="9" spans="1:5" ht="15.75">
      <c r="B9" s="3199"/>
      <c r="C9" s="1388" t="s">
        <v>911</v>
      </c>
      <c r="D9" s="793" t="str">
        <f>NUMBERSTRING(INT(D8*10000),2)&amp;"元整"</f>
        <v>零元整</v>
      </c>
    </row>
    <row r="10" spans="1:5" ht="15">
      <c r="B10" s="1391" t="s">
        <v>916</v>
      </c>
      <c r="C10" s="1392" t="s">
        <v>914</v>
      </c>
      <c r="D10" s="795">
        <f>结果表!H104</f>
        <v>0</v>
      </c>
    </row>
    <row r="11" spans="1:5" ht="15">
      <c r="B11" s="1391" t="s">
        <v>918</v>
      </c>
      <c r="C11" s="1392" t="s">
        <v>919</v>
      </c>
      <c r="D11" s="795">
        <f>结果表!H105</f>
        <v>0</v>
      </c>
    </row>
    <row r="12" spans="1:5" ht="15">
      <c r="B12" s="1391" t="s">
        <v>920</v>
      </c>
      <c r="C12" s="1392" t="s">
        <v>919</v>
      </c>
      <c r="D12" s="795">
        <f>结果表!H106</f>
        <v>0</v>
      </c>
    </row>
    <row r="13" spans="1:5" ht="15.75">
      <c r="B13" s="3190" t="str">
        <f>结果表!E107</f>
        <v>3.房地产抵押价值</v>
      </c>
      <c r="C13" s="1393" t="s">
        <v>910</v>
      </c>
      <c r="D13" s="796">
        <f ca="1">结果表!H107</f>
        <v>130953</v>
      </c>
    </row>
    <row r="14" spans="1:5" ht="15.75">
      <c r="B14" s="3191"/>
      <c r="C14" s="1388" t="s">
        <v>911</v>
      </c>
      <c r="D14" s="793" t="str">
        <f ca="1">NUMBERSTRING(INT(D13*10000),2)&amp;"元整"</f>
        <v>壹拾叁亿零玖佰伍拾叁万元整</v>
      </c>
    </row>
    <row r="15" spans="1:5" ht="15">
      <c r="B15" s="3196"/>
      <c r="C15" s="1389" t="s">
        <v>921</v>
      </c>
      <c r="D15" s="802">
        <f ca="1">结果表!H108</f>
        <v>17612</v>
      </c>
    </row>
    <row r="16" spans="1:5" ht="15">
      <c r="B16" s="3197" t="str">
        <f>结果表!E109</f>
        <v>——</v>
      </c>
      <c r="C16" s="1393" t="s">
        <v>922</v>
      </c>
      <c r="D16" s="1394" t="str">
        <f>结果表!H109</f>
        <v>——</v>
      </c>
    </row>
    <row r="17" spans="1:5" ht="15.75">
      <c r="B17" s="3198"/>
      <c r="C17" s="1388" t="s">
        <v>923</v>
      </c>
      <c r="D17" s="793" t="e">
        <f>NUMBERSTRING(INT(D16*10000),2)&amp;"元整"</f>
        <v>#VALUE!</v>
      </c>
    </row>
    <row r="18" spans="1:5" ht="15">
      <c r="B18" s="3199"/>
      <c r="C18" s="1389" t="s">
        <v>912</v>
      </c>
      <c r="D18" s="802" t="str">
        <f>结果表!H110</f>
        <v>——</v>
      </c>
    </row>
    <row r="19" spans="1:5" ht="15.75">
      <c r="B19" s="3190" t="str">
        <f>结果表!E111</f>
        <v>——</v>
      </c>
      <c r="C19" s="1393" t="s">
        <v>910</v>
      </c>
      <c r="D19" s="794" t="str">
        <f>结果表!H111</f>
        <v>——</v>
      </c>
    </row>
    <row r="20" spans="1:5" ht="15.75">
      <c r="B20" s="3191"/>
      <c r="C20" s="1388" t="s">
        <v>923</v>
      </c>
      <c r="D20" s="793" t="e">
        <f>NUMBERSTRING(INT(D19*10000),2)&amp;"元整"</f>
        <v>#VALUE!</v>
      </c>
    </row>
    <row r="21" spans="1:5" ht="15.75" thickBot="1">
      <c r="B21" s="3192"/>
      <c r="C21" s="1395" t="s">
        <v>921</v>
      </c>
      <c r="D21" s="803"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6" customFormat="1" ht="28.5" customHeight="1" thickBot="1">
      <c r="A1" s="1135" t="s">
        <v>1831</v>
      </c>
      <c r="B1" s="1136" t="s">
        <v>3322</v>
      </c>
      <c r="C1" s="1137" t="s">
        <v>1662</v>
      </c>
      <c r="D1" s="1138"/>
      <c r="E1" s="3128"/>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0" customFormat="1" ht="28.5" customHeight="1" thickTop="1">
      <c r="A2" s="1134" t="s">
        <v>1462</v>
      </c>
      <c r="B2" s="1081" t="b">
        <f>IF(E1="项目模式",IF(C2="——",ROUND(C37*D3/10000,0),ROUND(C37*D3/10000,0)-D2),IF(E1="单套模式",IF(C2="——",ROUND(C37*D3/10000,4),ROUND(C37*D3/10000,4)-D2)))</f>
        <v>0</v>
      </c>
      <c r="C2" s="1733"/>
      <c r="D2" s="850" t="e">
        <f ca="1">IF(E1="项目模式",SUMIF(INDIRECT("'"&amp;F2&amp;"'"&amp;"!A:A"),"承租人权益价值",INDIRECT("'"&amp;F2&amp;"'"&amp;"!c:c")),SUMIF(INDIRECT("'"&amp;F2&amp;"'"&amp;"!A:A"),"承租人权益价值（单套）",INDIRECT("'"&amp;F2&amp;"'"&amp;"!c:c")))</f>
        <v>#REF!</v>
      </c>
      <c r="E2" s="1734" t="s">
        <v>1463</v>
      </c>
      <c r="F2" s="1735"/>
      <c r="G2" s="851"/>
      <c r="H2" s="851"/>
      <c r="I2" s="851"/>
      <c r="J2" s="851"/>
      <c r="K2" s="853"/>
      <c r="L2" s="2500"/>
      <c r="M2" s="2501"/>
      <c r="N2" s="2501"/>
      <c r="O2" s="2501"/>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1"/>
      <c r="F3" s="852"/>
      <c r="G3" s="851"/>
      <c r="H3" s="851"/>
      <c r="I3" s="851"/>
      <c r="J3" s="851"/>
      <c r="K3" s="853"/>
      <c r="L3" s="2500"/>
      <c r="M3" s="2501"/>
      <c r="N3" s="2501"/>
      <c r="O3" s="2501"/>
      <c r="P3" s="339"/>
      <c r="Q3" s="339"/>
      <c r="R3" s="339"/>
      <c r="S3" s="339"/>
      <c r="T3" s="339"/>
      <c r="U3" s="339"/>
      <c r="V3" s="339"/>
      <c r="W3" s="339"/>
      <c r="X3" s="339"/>
      <c r="Y3" s="339"/>
      <c r="Z3" s="339"/>
      <c r="AA3" s="339"/>
      <c r="AB3" s="674"/>
      <c r="AC3" s="661"/>
    </row>
    <row r="4" spans="1:29" ht="15">
      <c r="A4" s="343" t="s">
        <v>1769</v>
      </c>
      <c r="B4" s="344"/>
      <c r="C4" s="3378" t="s">
        <v>1770</v>
      </c>
      <c r="D4" s="3390"/>
      <c r="E4" s="3391" t="s">
        <v>1771</v>
      </c>
      <c r="F4" s="3392"/>
      <c r="G4" s="3378" t="s">
        <v>1772</v>
      </c>
      <c r="H4" s="3390"/>
      <c r="I4" s="3378" t="s">
        <v>1773</v>
      </c>
      <c r="J4" s="3390"/>
      <c r="K4" s="535" t="s">
        <v>1774</v>
      </c>
      <c r="L4" s="2483"/>
      <c r="M4" s="2484"/>
      <c r="N4" s="2484"/>
      <c r="O4" s="2484"/>
      <c r="P4" s="3393" t="s">
        <v>1775</v>
      </c>
      <c r="Q4" s="3394"/>
      <c r="R4" s="3399" t="s">
        <v>1771</v>
      </c>
      <c r="S4" s="3400"/>
      <c r="T4" s="3399" t="s">
        <v>1772</v>
      </c>
      <c r="U4" s="3400"/>
      <c r="V4" s="3386" t="s">
        <v>1773</v>
      </c>
      <c r="W4" s="3386"/>
      <c r="X4" s="1261"/>
      <c r="Y4" s="3399" t="s">
        <v>1775</v>
      </c>
      <c r="Z4" s="3400"/>
      <c r="AA4" s="3387" t="s">
        <v>1771</v>
      </c>
      <c r="AB4" s="3388" t="s">
        <v>1772</v>
      </c>
      <c r="AC4" s="3387" t="s">
        <v>1773</v>
      </c>
    </row>
    <row r="5" spans="1:29" ht="15">
      <c r="A5" s="346"/>
      <c r="B5" s="347"/>
      <c r="C5" s="3412" t="s">
        <v>1673</v>
      </c>
      <c r="D5" s="3408"/>
      <c r="E5" s="3452" t="s">
        <v>1674</v>
      </c>
      <c r="F5" s="3416"/>
      <c r="G5" s="3412" t="s">
        <v>1675</v>
      </c>
      <c r="H5" s="3408"/>
      <c r="I5" s="3412" t="s">
        <v>1676</v>
      </c>
      <c r="J5" s="3408"/>
      <c r="K5" s="535"/>
      <c r="L5" s="2483"/>
      <c r="M5" s="2484"/>
      <c r="N5" s="2484"/>
      <c r="O5" s="2484"/>
      <c r="P5" s="3395"/>
      <c r="Q5" s="3396"/>
      <c r="R5" s="3401"/>
      <c r="S5" s="3402"/>
      <c r="T5" s="3401"/>
      <c r="U5" s="3402"/>
      <c r="V5" s="3386"/>
      <c r="W5" s="3386"/>
      <c r="X5" s="1261"/>
      <c r="Y5" s="3401"/>
      <c r="Z5" s="3402"/>
      <c r="AA5" s="3388"/>
      <c r="AB5" s="3388"/>
      <c r="AC5" s="3388"/>
    </row>
    <row r="6" spans="1:29" ht="15.75" thickBot="1">
      <c r="A6" s="348"/>
      <c r="B6" s="349"/>
      <c r="C6" s="3405" t="s">
        <v>1677</v>
      </c>
      <c r="D6" s="3406"/>
      <c r="E6" s="3413" t="s">
        <v>1677</v>
      </c>
      <c r="F6" s="3414"/>
      <c r="G6" s="3405" t="s">
        <v>1677</v>
      </c>
      <c r="H6" s="3406"/>
      <c r="I6" s="3405" t="s">
        <v>1677</v>
      </c>
      <c r="J6" s="3406"/>
      <c r="K6" s="535" t="s">
        <v>1678</v>
      </c>
      <c r="L6" s="2483"/>
      <c r="M6" s="2484"/>
      <c r="N6" s="2484"/>
      <c r="O6" s="2484"/>
      <c r="P6" s="3397"/>
      <c r="Q6" s="3398"/>
      <c r="R6" s="3401"/>
      <c r="S6" s="3402"/>
      <c r="T6" s="3403"/>
      <c r="U6" s="3404"/>
      <c r="V6" s="3386"/>
      <c r="W6" s="3386"/>
      <c r="X6" s="1261"/>
      <c r="Y6" s="3403"/>
      <c r="Z6" s="3404"/>
      <c r="AA6" s="3389"/>
      <c r="AB6" s="3389"/>
      <c r="AC6" s="3389"/>
    </row>
    <row r="7" spans="1:29" s="100" customFormat="1" ht="15.75" thickBot="1">
      <c r="A7" s="350" t="s">
        <v>1679</v>
      </c>
      <c r="B7" s="351"/>
      <c r="C7" s="352">
        <f>'数据-取费表'!B2</f>
        <v>45924</v>
      </c>
      <c r="D7" s="353">
        <v>100</v>
      </c>
      <c r="E7" s="354"/>
      <c r="F7" s="355">
        <f>SUMIF(46:46,YEAR(E7)&amp;"-"&amp;MONTH(E7),47:47)</f>
        <v>0</v>
      </c>
      <c r="G7" s="1818"/>
      <c r="H7" s="353">
        <f>SUMIF(46:46,YEAR(G7)&amp;"-"&amp;MONTH(G7),47:47)</f>
        <v>0</v>
      </c>
      <c r="I7" s="354"/>
      <c r="J7" s="353">
        <f>SUMIF(46:46,YEAR(I7)&amp;"-"&amp;MONTH(I7),47:47)</f>
        <v>0</v>
      </c>
      <c r="K7" s="38"/>
      <c r="L7" s="2485"/>
      <c r="M7" s="2436"/>
      <c r="N7" s="2436"/>
      <c r="O7" s="2436"/>
      <c r="P7" s="3409" t="s">
        <v>1680</v>
      </c>
      <c r="Q7" s="3411"/>
      <c r="R7" s="662" t="s">
        <v>14</v>
      </c>
      <c r="S7" s="663">
        <f t="shared" ref="S7:S14" si="0">F7</f>
        <v>0</v>
      </c>
      <c r="T7" s="662" t="s">
        <v>14</v>
      </c>
      <c r="U7" s="663">
        <f t="shared" ref="U7:U14" si="1">H7</f>
        <v>0</v>
      </c>
      <c r="V7" s="662" t="s">
        <v>14</v>
      </c>
      <c r="W7" s="663">
        <f t="shared" ref="W7:W14" si="2">J7</f>
        <v>0</v>
      </c>
      <c r="X7" s="664"/>
      <c r="Y7" s="3409" t="s">
        <v>1680</v>
      </c>
      <c r="Z7" s="3410"/>
      <c r="AA7" s="50" t="e">
        <f>D7/F7</f>
        <v>#DIV/0!</v>
      </c>
      <c r="AB7" s="50" t="e">
        <f>D7/H7</f>
        <v>#DIV/0!</v>
      </c>
      <c r="AC7" s="50" t="e">
        <f>D7/J7</f>
        <v>#DIV/0!</v>
      </c>
    </row>
    <row r="8" spans="1:29" s="100"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5"/>
      <c r="M8" s="2436"/>
      <c r="N8" s="2436"/>
      <c r="O8" s="2436"/>
      <c r="P8" s="3409" t="s">
        <v>1683</v>
      </c>
      <c r="Q8" s="3410"/>
      <c r="R8" s="662" t="s">
        <v>14</v>
      </c>
      <c r="S8" s="663">
        <f t="shared" si="0"/>
        <v>100</v>
      </c>
      <c r="T8" s="662" t="s">
        <v>14</v>
      </c>
      <c r="U8" s="663">
        <f t="shared" si="1"/>
        <v>100</v>
      </c>
      <c r="V8" s="662" t="s">
        <v>14</v>
      </c>
      <c r="W8" s="663">
        <f t="shared" si="2"/>
        <v>100</v>
      </c>
      <c r="X8" s="664"/>
      <c r="Y8" s="3409" t="s">
        <v>1683</v>
      </c>
      <c r="Z8" s="3410"/>
      <c r="AA8" s="50">
        <f t="shared" ref="AA8:AA34" si="3">D8/F8</f>
        <v>1</v>
      </c>
      <c r="AB8" s="50">
        <f t="shared" ref="AB8:AB34" si="4">D8/H8</f>
        <v>1</v>
      </c>
      <c r="AC8" s="50">
        <f t="shared" ref="AC8:AC34" si="5">D8/J8</f>
        <v>1</v>
      </c>
    </row>
    <row r="9" spans="1:29" s="100"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5"/>
      <c r="M9" s="2436"/>
      <c r="N9" s="2436"/>
      <c r="O9" s="2537"/>
      <c r="P9" s="3381" t="s">
        <v>1686</v>
      </c>
      <c r="Q9" s="528" t="str">
        <f t="shared" ref="Q9:Q14" si="6">B9</f>
        <v>用途</v>
      </c>
      <c r="R9" s="662" t="s">
        <v>14</v>
      </c>
      <c r="S9" s="663">
        <f t="shared" si="0"/>
        <v>100</v>
      </c>
      <c r="T9" s="662" t="s">
        <v>14</v>
      </c>
      <c r="U9" s="663">
        <f t="shared" si="1"/>
        <v>100</v>
      </c>
      <c r="V9" s="662" t="s">
        <v>14</v>
      </c>
      <c r="W9" s="663">
        <f t="shared" si="2"/>
        <v>100</v>
      </c>
      <c r="X9" s="664"/>
      <c r="Y9" s="3278" t="s">
        <v>1687</v>
      </c>
      <c r="Z9" s="50" t="str">
        <f t="shared" ref="Z9:Z14" si="7">Q9</f>
        <v>用途</v>
      </c>
      <c r="AA9" s="50">
        <f t="shared" si="3"/>
        <v>1</v>
      </c>
      <c r="AB9" s="50">
        <f t="shared" si="4"/>
        <v>1</v>
      </c>
      <c r="AC9" s="50">
        <f t="shared" si="5"/>
        <v>1</v>
      </c>
    </row>
    <row r="10" spans="1:29" s="364" customFormat="1" ht="27">
      <c r="A10" s="361"/>
      <c r="B10" s="362" t="s">
        <v>1688</v>
      </c>
      <c r="C10" s="3129"/>
      <c r="D10" s="117">
        <v>100</v>
      </c>
      <c r="E10" s="3129"/>
      <c r="F10" s="362">
        <f>SUMIF(53:53,E10,54:54)-SUMIF(53:53,C10,54:54)+100</f>
        <v>100</v>
      </c>
      <c r="G10" s="3129"/>
      <c r="H10" s="117">
        <f>SUMIF(53:53,G10,54:54)-SUMIF(53:53,C10,54:54)+100</f>
        <v>100</v>
      </c>
      <c r="I10" s="3129"/>
      <c r="J10" s="117">
        <f>SUMIF(53:53,I10,54:54)-SUMIF(53:53,C10,54:54)+100</f>
        <v>100</v>
      </c>
      <c r="K10" s="38"/>
      <c r="L10" s="2486"/>
      <c r="M10" s="2487"/>
      <c r="N10" s="2487"/>
      <c r="O10" s="2538"/>
      <c r="P10" s="3381"/>
      <c r="Q10" s="528"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8"/>
      <c r="M11" s="2484"/>
      <c r="N11" s="2484"/>
      <c r="O11" s="2539"/>
      <c r="P11" s="3381"/>
      <c r="Q11" s="528">
        <f t="shared" si="6"/>
        <v>111</v>
      </c>
      <c r="R11" s="662" t="s">
        <v>14</v>
      </c>
      <c r="S11" s="663">
        <f t="shared" si="0"/>
        <v>100</v>
      </c>
      <c r="T11" s="662" t="s">
        <v>14</v>
      </c>
      <c r="U11" s="663">
        <f t="shared" si="1"/>
        <v>100</v>
      </c>
      <c r="V11" s="662" t="s">
        <v>14</v>
      </c>
      <c r="W11" s="663">
        <f t="shared" si="2"/>
        <v>100</v>
      </c>
      <c r="X11" s="664"/>
      <c r="Y11" s="3278"/>
      <c r="Z11" s="50">
        <f t="shared" si="7"/>
        <v>111</v>
      </c>
      <c r="AA11" s="50">
        <f t="shared" si="3"/>
        <v>1</v>
      </c>
      <c r="AB11" s="50">
        <f t="shared" si="4"/>
        <v>1</v>
      </c>
      <c r="AC11" s="50">
        <f t="shared" si="5"/>
        <v>1</v>
      </c>
    </row>
    <row r="12" spans="1:29" s="100"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5"/>
      <c r="M12" s="2436"/>
      <c r="N12" s="2436"/>
      <c r="O12" s="2537"/>
      <c r="P12" s="3381"/>
      <c r="Q12" s="528">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9"/>
      <c r="H13" s="375">
        <f>SUMIF(59:59,G13,60:60)-SUMIF(59:59,C13,60:60)+100</f>
        <v>100</v>
      </c>
      <c r="I13" s="405"/>
      <c r="J13" s="372">
        <f>SUMIF(59:59,I13,60:60)-SUMIF(59:59,C13,60:60)+100</f>
        <v>100</v>
      </c>
      <c r="K13" s="537"/>
      <c r="L13" s="2489"/>
      <c r="M13" s="2484"/>
      <c r="N13" s="2484"/>
      <c r="O13" s="2539"/>
      <c r="P13" s="3381"/>
      <c r="Q13" s="528">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
      <c r="A14" s="377" t="s">
        <v>1690</v>
      </c>
      <c r="B14" s="58" t="s">
        <v>1833</v>
      </c>
      <c r="C14" s="1815">
        <f>IF(B1="工业",估价对象房地状况!G4,估价对象房地状况!C6)</f>
        <v>0</v>
      </c>
      <c r="D14" s="378">
        <v>100</v>
      </c>
      <c r="E14" s="379"/>
      <c r="F14" s="380">
        <f>SUMIF(61:61,E15,62:62)-SUMIF(61:61,C15,62:62)+100</f>
        <v>100</v>
      </c>
      <c r="G14" s="381"/>
      <c r="H14" s="378">
        <f>SUMIF(61:61,G15,62:62)-SUMIF(61:61,C15,62:62)+100</f>
        <v>100</v>
      </c>
      <c r="I14" s="379"/>
      <c r="J14" s="378">
        <f>SUMIF(61:61,I15,62:62)-SUMIF(61:61,C15,62:62)+100</f>
        <v>100</v>
      </c>
      <c r="K14" s="538"/>
      <c r="L14" s="2489"/>
      <c r="M14" s="2484"/>
      <c r="N14" s="2484"/>
      <c r="O14" s="2539"/>
      <c r="P14" s="3382" t="s">
        <v>1691</v>
      </c>
      <c r="Q14" s="1259" t="str">
        <f t="shared" si="6"/>
        <v>交通便捷度</v>
      </c>
      <c r="R14" s="665" t="s">
        <v>14</v>
      </c>
      <c r="S14" s="666">
        <f t="shared" si="0"/>
        <v>100</v>
      </c>
      <c r="T14" s="665" t="s">
        <v>14</v>
      </c>
      <c r="U14" s="666">
        <f t="shared" si="1"/>
        <v>100</v>
      </c>
      <c r="V14" s="665" t="s">
        <v>14</v>
      </c>
      <c r="W14" s="666">
        <f t="shared" si="2"/>
        <v>100</v>
      </c>
      <c r="X14" s="1261"/>
      <c r="Y14" s="3382" t="s">
        <v>1691</v>
      </c>
      <c r="Z14" s="1260" t="str">
        <f t="shared" si="7"/>
        <v>交通便捷度</v>
      </c>
      <c r="AA14" s="1260">
        <f t="shared" si="3"/>
        <v>1</v>
      </c>
      <c r="AB14" s="1260">
        <f t="shared" si="4"/>
        <v>1</v>
      </c>
      <c r="AC14" s="1260">
        <f t="shared" si="5"/>
        <v>1</v>
      </c>
    </row>
    <row r="15" spans="1:29" ht="15">
      <c r="A15" s="365"/>
      <c r="B15" s="383"/>
      <c r="C15" s="384"/>
      <c r="D15" s="385"/>
      <c r="E15" s="384"/>
      <c r="F15" s="386"/>
      <c r="G15" s="384"/>
      <c r="H15" s="387"/>
      <c r="I15" s="384"/>
      <c r="J15" s="385"/>
      <c r="K15" s="539"/>
      <c r="L15" s="2489"/>
      <c r="M15" s="2484"/>
      <c r="N15" s="2484"/>
      <c r="O15" s="2539"/>
      <c r="P15" s="3383"/>
      <c r="Q15" s="1259"/>
      <c r="R15" s="665"/>
      <c r="S15" s="666"/>
      <c r="T15" s="665"/>
      <c r="U15" s="666"/>
      <c r="V15" s="665"/>
      <c r="W15" s="666"/>
      <c r="X15" s="1261"/>
      <c r="Y15" s="3383"/>
      <c r="Z15" s="1260"/>
      <c r="AA15" s="1260">
        <v>1</v>
      </c>
      <c r="AB15" s="1260">
        <v>1</v>
      </c>
      <c r="AC15" s="1260">
        <v>1</v>
      </c>
    </row>
    <row r="16" spans="1:29" ht="15">
      <c r="A16" s="365"/>
      <c r="B16" s="388" t="s">
        <v>1812</v>
      </c>
      <c r="C16" s="1750">
        <f>IF(B1="工业",估价对象房地状况!G5,估价对象房地状况!C7)</f>
        <v>0</v>
      </c>
      <c r="D16" s="392">
        <v>100</v>
      </c>
      <c r="E16" s="394"/>
      <c r="F16" s="395">
        <f>SUMIF(63:63,E17,64:64)-SUMIF(63:63,C17,64:64)+100</f>
        <v>100</v>
      </c>
      <c r="G16" s="396"/>
      <c r="H16" s="392">
        <f>SUMIF(63:63,G17,64:64)-SUMIF(63:63,C17,64:64)+100</f>
        <v>100</v>
      </c>
      <c r="I16" s="394"/>
      <c r="J16" s="392">
        <f>SUMIF(63:63,I17,64:64)-SUMIF(63:63,C17,64:64)+100</f>
        <v>100</v>
      </c>
      <c r="K16" s="538"/>
      <c r="L16" s="2489"/>
      <c r="M16" s="2484"/>
      <c r="N16" s="2484"/>
      <c r="O16" s="2539"/>
      <c r="P16" s="3383"/>
      <c r="Q16" s="1259" t="str">
        <f>B16</f>
        <v>公共配套设施</v>
      </c>
      <c r="R16" s="665" t="s">
        <v>14</v>
      </c>
      <c r="S16" s="666">
        <f>F16</f>
        <v>100</v>
      </c>
      <c r="T16" s="665" t="s">
        <v>14</v>
      </c>
      <c r="U16" s="666">
        <f>H16</f>
        <v>100</v>
      </c>
      <c r="V16" s="665" t="s">
        <v>14</v>
      </c>
      <c r="W16" s="666">
        <f>J16</f>
        <v>100</v>
      </c>
      <c r="X16" s="1261"/>
      <c r="Y16" s="3383"/>
      <c r="Z16" s="1260" t="str">
        <f>Q16</f>
        <v>公共配套设施</v>
      </c>
      <c r="AA16" s="1260">
        <f t="shared" si="3"/>
        <v>1</v>
      </c>
      <c r="AB16" s="1260">
        <f t="shared" si="4"/>
        <v>1</v>
      </c>
      <c r="AC16" s="1260">
        <f t="shared" si="5"/>
        <v>1</v>
      </c>
    </row>
    <row r="17" spans="1:29" ht="15">
      <c r="A17" s="365"/>
      <c r="B17" s="393"/>
      <c r="C17" s="1751"/>
      <c r="D17" s="385"/>
      <c r="E17" s="384"/>
      <c r="F17" s="386"/>
      <c r="G17" s="384"/>
      <c r="H17" s="385"/>
      <c r="I17" s="384"/>
      <c r="J17" s="385"/>
      <c r="K17" s="539"/>
      <c r="L17" s="2489"/>
      <c r="M17" s="2484"/>
      <c r="N17" s="2484"/>
      <c r="O17" s="2539"/>
      <c r="P17" s="3383"/>
      <c r="Q17" s="1259"/>
      <c r="R17" s="665"/>
      <c r="S17" s="666"/>
      <c r="T17" s="665"/>
      <c r="U17" s="666"/>
      <c r="V17" s="665"/>
      <c r="W17" s="666"/>
      <c r="X17" s="1261"/>
      <c r="Y17" s="3383"/>
      <c r="Z17" s="1260"/>
      <c r="AA17" s="1260">
        <v>1</v>
      </c>
      <c r="AB17" s="1260">
        <v>1</v>
      </c>
      <c r="AC17" s="1260">
        <v>1</v>
      </c>
    </row>
    <row r="18" spans="1:29" ht="15">
      <c r="A18" s="365"/>
      <c r="B18" s="584" t="s">
        <v>1813</v>
      </c>
      <c r="C18" s="1750">
        <f>IF(B1="工业",估价对象房地状况!G6,估价对象房地状况!C8)</f>
        <v>0</v>
      </c>
      <c r="D18" s="392">
        <v>100</v>
      </c>
      <c r="E18" s="389"/>
      <c r="F18" s="395">
        <f>SUMIF(65:65,E19,66:66)-SUMIF(65:65,C19,66:66)+100</f>
        <v>100</v>
      </c>
      <c r="G18" s="391"/>
      <c r="H18" s="392">
        <f>SUMIF(65:65,G19,66:66)-SUMIF(65:65,C19,66:66)+100</f>
        <v>100</v>
      </c>
      <c r="I18" s="394"/>
      <c r="J18" s="392">
        <f>SUMIF(65:65,I19,66:66)-SUMIF(65:65,C19,66:66)+100</f>
        <v>100</v>
      </c>
      <c r="K18" s="538"/>
      <c r="L18" s="2489"/>
      <c r="M18" s="2484"/>
      <c r="N18" s="2484"/>
      <c r="O18" s="2539"/>
      <c r="P18" s="3383"/>
      <c r="Q18" s="1259" t="str">
        <f>B18</f>
        <v>基础设施水平</v>
      </c>
      <c r="R18" s="665" t="s">
        <v>14</v>
      </c>
      <c r="S18" s="666">
        <f>F18</f>
        <v>100</v>
      </c>
      <c r="T18" s="665" t="s">
        <v>14</v>
      </c>
      <c r="U18" s="666">
        <f>H18</f>
        <v>100</v>
      </c>
      <c r="V18" s="665" t="s">
        <v>14</v>
      </c>
      <c r="W18" s="666">
        <f>J18</f>
        <v>100</v>
      </c>
      <c r="X18" s="1261"/>
      <c r="Y18" s="3383"/>
      <c r="Z18" s="1260" t="str">
        <f>Q18</f>
        <v>基础设施水平</v>
      </c>
      <c r="AA18" s="1260">
        <f t="shared" ref="AA18" si="8">D18/F18</f>
        <v>1</v>
      </c>
      <c r="AB18" s="1260">
        <f t="shared" ref="AB18" si="9">D18/H18</f>
        <v>1</v>
      </c>
      <c r="AC18" s="1260">
        <f t="shared" ref="AC18" si="10">D18/J18</f>
        <v>1</v>
      </c>
    </row>
    <row r="19" spans="1:29" ht="15">
      <c r="A19" s="365"/>
      <c r="B19" s="584"/>
      <c r="C19" s="1751"/>
      <c r="D19" s="387"/>
      <c r="E19" s="1751"/>
      <c r="F19" s="390"/>
      <c r="G19" s="1751"/>
      <c r="H19" s="385"/>
      <c r="I19" s="384"/>
      <c r="J19" s="385"/>
      <c r="K19" s="1060"/>
      <c r="L19" s="2489"/>
      <c r="M19" s="2484"/>
      <c r="N19" s="2484"/>
      <c r="O19" s="2539"/>
      <c r="P19" s="3383"/>
      <c r="Q19" s="1259"/>
      <c r="R19" s="665"/>
      <c r="S19" s="666"/>
      <c r="T19" s="665"/>
      <c r="U19" s="666"/>
      <c r="V19" s="665"/>
      <c r="W19" s="666"/>
      <c r="X19" s="1261"/>
      <c r="Y19" s="3383"/>
      <c r="Z19" s="1260"/>
      <c r="AA19" s="1260">
        <v>1</v>
      </c>
      <c r="AB19" s="1260">
        <v>1</v>
      </c>
      <c r="AC19" s="1260">
        <v>1</v>
      </c>
    </row>
    <row r="20" spans="1:29" ht="15">
      <c r="A20" s="365"/>
      <c r="B20" s="388" t="s">
        <v>1834</v>
      </c>
      <c r="C20" s="1750">
        <f>IF(B1="工业",估价对象房地状况!G7,估价对象房地状况!C9)</f>
        <v>0</v>
      </c>
      <c r="D20" s="392">
        <v>100</v>
      </c>
      <c r="E20" s="394"/>
      <c r="F20" s="395">
        <f>SUMIF(67:67,E21,68:68)-SUMIF(67:67,C21,68:68)+100</f>
        <v>100</v>
      </c>
      <c r="G20" s="396"/>
      <c r="H20" s="387">
        <f>SUMIF(67:67,G21,68:68)-SUMIF(67:67,C21,68:68)+100</f>
        <v>100</v>
      </c>
      <c r="I20" s="389"/>
      <c r="J20" s="387">
        <f>SUMIF(67:67,I21,68:68)-SUMIF(67:67,C21,68:68)+100</f>
        <v>100</v>
      </c>
      <c r="K20" s="538"/>
      <c r="L20" s="2489"/>
      <c r="M20" s="2484"/>
      <c r="N20" s="2484"/>
      <c r="O20" s="2539"/>
      <c r="P20" s="3383"/>
      <c r="Q20" s="1259" t="str">
        <f>B20</f>
        <v>自然及人文环境</v>
      </c>
      <c r="R20" s="665" t="s">
        <v>14</v>
      </c>
      <c r="S20" s="666">
        <f>F20</f>
        <v>100</v>
      </c>
      <c r="T20" s="665" t="s">
        <v>14</v>
      </c>
      <c r="U20" s="666">
        <f>H20</f>
        <v>100</v>
      </c>
      <c r="V20" s="665" t="s">
        <v>14</v>
      </c>
      <c r="W20" s="666">
        <f>J20</f>
        <v>100</v>
      </c>
      <c r="X20" s="1261"/>
      <c r="Y20" s="3383"/>
      <c r="Z20" s="1260" t="str">
        <f>Q20</f>
        <v>自然及人文环境</v>
      </c>
      <c r="AA20" s="1260">
        <f t="shared" si="3"/>
        <v>1</v>
      </c>
      <c r="AB20" s="1260">
        <f t="shared" si="4"/>
        <v>1</v>
      </c>
      <c r="AC20" s="1260">
        <f t="shared" si="5"/>
        <v>1</v>
      </c>
    </row>
    <row r="21" spans="1:29" ht="15">
      <c r="A21" s="365"/>
      <c r="B21" s="393"/>
      <c r="C21" s="384"/>
      <c r="D21" s="385"/>
      <c r="E21" s="384"/>
      <c r="F21" s="386"/>
      <c r="G21" s="384"/>
      <c r="H21" s="385"/>
      <c r="I21" s="384"/>
      <c r="J21" s="385"/>
      <c r="K21" s="539"/>
      <c r="L21" s="2489"/>
      <c r="M21" s="2484"/>
      <c r="N21" s="2484"/>
      <c r="O21" s="2539"/>
      <c r="P21" s="3383"/>
      <c r="Q21" s="1259"/>
      <c r="R21" s="665"/>
      <c r="S21" s="666"/>
      <c r="T21" s="665"/>
      <c r="U21" s="666"/>
      <c r="V21" s="665"/>
      <c r="W21" s="666"/>
      <c r="X21" s="1261"/>
      <c r="Y21" s="3383"/>
      <c r="Z21" s="1260"/>
      <c r="AA21" s="1260">
        <v>1</v>
      </c>
      <c r="AB21" s="1260">
        <v>1</v>
      </c>
      <c r="AC21" s="1260">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9"/>
      <c r="M22" s="2484"/>
      <c r="N22" s="2484"/>
      <c r="O22" s="2539"/>
      <c r="P22" s="3383"/>
      <c r="Q22" s="1259" t="str">
        <f>B22</f>
        <v>楼层</v>
      </c>
      <c r="R22" s="665" t="s">
        <v>14</v>
      </c>
      <c r="S22" s="666">
        <f>F22</f>
        <v>100</v>
      </c>
      <c r="T22" s="665" t="s">
        <v>14</v>
      </c>
      <c r="U22" s="666">
        <f>H22</f>
        <v>100</v>
      </c>
      <c r="V22" s="665" t="s">
        <v>14</v>
      </c>
      <c r="W22" s="666">
        <f>J22</f>
        <v>100</v>
      </c>
      <c r="X22" s="1261"/>
      <c r="Y22" s="3383"/>
      <c r="Z22" s="1260" t="str">
        <f>Q22</f>
        <v>楼层</v>
      </c>
      <c r="AA22" s="1260">
        <f t="shared" si="3"/>
        <v>1</v>
      </c>
      <c r="AB22" s="1260">
        <f t="shared" si="4"/>
        <v>1</v>
      </c>
      <c r="AC22" s="1260">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9"/>
      <c r="M23" s="2484"/>
      <c r="N23" s="2484"/>
      <c r="O23" s="2539"/>
      <c r="P23" s="3383"/>
      <c r="Q23" s="1259">
        <f>B23</f>
        <v>111</v>
      </c>
      <c r="R23" s="665" t="s">
        <v>14</v>
      </c>
      <c r="S23" s="666">
        <f>F23</f>
        <v>100</v>
      </c>
      <c r="T23" s="665" t="s">
        <v>14</v>
      </c>
      <c r="U23" s="666">
        <f>H23</f>
        <v>100</v>
      </c>
      <c r="V23" s="665" t="s">
        <v>14</v>
      </c>
      <c r="W23" s="666">
        <f>J23</f>
        <v>100</v>
      </c>
      <c r="X23" s="1261"/>
      <c r="Y23" s="3383"/>
      <c r="Z23" s="1260">
        <f>Q23</f>
        <v>111</v>
      </c>
      <c r="AA23" s="1260">
        <f t="shared" si="3"/>
        <v>1</v>
      </c>
      <c r="AB23" s="1260">
        <f t="shared" si="4"/>
        <v>1</v>
      </c>
      <c r="AC23" s="1260">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9"/>
      <c r="M24" s="2484"/>
      <c r="N24" s="2484"/>
      <c r="O24" s="2539"/>
      <c r="P24" s="3383"/>
      <c r="Q24" s="1259">
        <f t="shared" ref="Q24:Q34" si="11">B24</f>
        <v>111</v>
      </c>
      <c r="R24" s="665" t="s">
        <v>14</v>
      </c>
      <c r="S24" s="666">
        <f>F24</f>
        <v>100</v>
      </c>
      <c r="T24" s="665" t="s">
        <v>14</v>
      </c>
      <c r="U24" s="666">
        <f>H24</f>
        <v>100</v>
      </c>
      <c r="V24" s="665" t="s">
        <v>14</v>
      </c>
      <c r="W24" s="666">
        <f>J24</f>
        <v>100</v>
      </c>
      <c r="X24" s="1261"/>
      <c r="Y24" s="3383"/>
      <c r="Z24" s="1260">
        <f>Q24</f>
        <v>111</v>
      </c>
      <c r="AA24" s="1260">
        <f t="shared" si="3"/>
        <v>1</v>
      </c>
      <c r="AB24" s="1260">
        <f t="shared" si="4"/>
        <v>1</v>
      </c>
      <c r="AC24" s="1260">
        <f t="shared" si="5"/>
        <v>1</v>
      </c>
    </row>
    <row r="25" spans="1:29" s="100" customFormat="1" ht="15.75" thickBot="1">
      <c r="A25" s="368"/>
      <c r="B25" s="445">
        <v>111</v>
      </c>
      <c r="C25" s="1820"/>
      <c r="D25" s="555">
        <v>100</v>
      </c>
      <c r="E25" s="1820"/>
      <c r="F25" s="584">
        <f>SUMIF(75:75,E25,76:76)-SUMIF(75:75,C25,76:76)+100</f>
        <v>100</v>
      </c>
      <c r="G25" s="1820"/>
      <c r="H25" s="555">
        <f>SUMIF(75:75,G25,76:76)-SUMIF(75:75,C25,76:76)+100</f>
        <v>100</v>
      </c>
      <c r="I25" s="1820"/>
      <c r="J25" s="555">
        <f>SUMIF(75:75,I25,76:76)-SUMIF(75:75,C25,76:76)+100</f>
        <v>100</v>
      </c>
      <c r="K25" s="537"/>
      <c r="L25" s="2485"/>
      <c r="M25" s="2436"/>
      <c r="N25" s="2436"/>
      <c r="O25" s="2537"/>
      <c r="P25" s="3383"/>
      <c r="Q25" s="528">
        <f t="shared" si="11"/>
        <v>111</v>
      </c>
      <c r="R25" s="662" t="s">
        <v>14</v>
      </c>
      <c r="S25" s="663">
        <f>F25</f>
        <v>100</v>
      </c>
      <c r="T25" s="662" t="s">
        <v>14</v>
      </c>
      <c r="U25" s="663">
        <f>H25</f>
        <v>100</v>
      </c>
      <c r="V25" s="662" t="s">
        <v>14</v>
      </c>
      <c r="W25" s="663">
        <f>J25</f>
        <v>100</v>
      </c>
      <c r="X25" s="664"/>
      <c r="Y25" s="3383"/>
      <c r="Z25" s="50">
        <f>Q25</f>
        <v>111</v>
      </c>
      <c r="AA25" s="1260">
        <f>D25/F25</f>
        <v>1</v>
      </c>
      <c r="AB25" s="1260">
        <f>D25/H25</f>
        <v>1</v>
      </c>
      <c r="AC25" s="1260">
        <f>D25/J25</f>
        <v>1</v>
      </c>
    </row>
    <row r="26" spans="1:29" ht="28.5">
      <c r="A26" s="402" t="s">
        <v>1694</v>
      </c>
      <c r="B26" s="60" t="s">
        <v>1838</v>
      </c>
      <c r="C26" s="1760"/>
      <c r="D26" s="403">
        <v>100</v>
      </c>
      <c r="E26" s="1760"/>
      <c r="F26" s="585">
        <f>SUMIF(77:77,E26,78:78)-SUMIF(77:77,C26,78:78)+100</f>
        <v>100</v>
      </c>
      <c r="G26" s="1760"/>
      <c r="H26" s="403">
        <f>SUMIF(77:77,G26,78:78)-SUMIF(77:77,C26,78:78)+100</f>
        <v>100</v>
      </c>
      <c r="I26" s="1760"/>
      <c r="J26" s="403">
        <f>SUMIF(77:77,I26,78:78)-SUMIF(77:77,C26,78:78)+100</f>
        <v>100</v>
      </c>
      <c r="K26" s="536"/>
      <c r="L26" s="2489"/>
      <c r="M26" s="2484"/>
      <c r="N26" s="2484"/>
      <c r="O26" s="2539"/>
      <c r="P26" s="3384" t="s">
        <v>1696</v>
      </c>
      <c r="Q26" s="1259" t="str">
        <f t="shared" si="11"/>
        <v>公共部分装修</v>
      </c>
      <c r="R26" s="665" t="s">
        <v>14</v>
      </c>
      <c r="S26" s="666">
        <f t="shared" ref="S26:S34" si="12">F26</f>
        <v>100</v>
      </c>
      <c r="T26" s="665" t="s">
        <v>14</v>
      </c>
      <c r="U26" s="666">
        <f t="shared" ref="U26:U34" si="13">H26</f>
        <v>100</v>
      </c>
      <c r="V26" s="665" t="s">
        <v>14</v>
      </c>
      <c r="W26" s="666">
        <f t="shared" ref="W26:W34" si="14">J26</f>
        <v>100</v>
      </c>
      <c r="X26" s="1261"/>
      <c r="Y26" s="3385" t="s">
        <v>1696</v>
      </c>
      <c r="Z26" s="1260" t="str">
        <f t="shared" ref="Z26:Z34" si="15">Q26</f>
        <v>公共部分装修</v>
      </c>
      <c r="AA26" s="1260">
        <f t="shared" si="3"/>
        <v>1</v>
      </c>
      <c r="AB26" s="1260">
        <f t="shared" si="4"/>
        <v>1</v>
      </c>
      <c r="AC26" s="1260">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8"/>
      <c r="M27" s="2490"/>
      <c r="N27" s="2490"/>
      <c r="O27" s="2540"/>
      <c r="P27" s="3385"/>
      <c r="Q27" s="529" t="str">
        <f t="shared" si="11"/>
        <v>成新率</v>
      </c>
      <c r="R27" s="667" t="s">
        <v>14</v>
      </c>
      <c r="S27" s="668" t="e">
        <f t="shared" si="12"/>
        <v>#N/A</v>
      </c>
      <c r="T27" s="667" t="s">
        <v>14</v>
      </c>
      <c r="U27" s="668" t="e">
        <f t="shared" si="13"/>
        <v>#N/A</v>
      </c>
      <c r="V27" s="667" t="s">
        <v>14</v>
      </c>
      <c r="W27" s="668" t="e">
        <f t="shared" si="14"/>
        <v>#N/A</v>
      </c>
      <c r="X27" s="669"/>
      <c r="Y27" s="3385"/>
      <c r="Z27" s="670" t="str">
        <f t="shared" si="15"/>
        <v>成新率</v>
      </c>
      <c r="AA27" s="1260" t="e">
        <f t="shared" si="3"/>
        <v>#N/A</v>
      </c>
      <c r="AB27" s="1260" t="e">
        <f t="shared" si="4"/>
        <v>#N/A</v>
      </c>
      <c r="AC27" s="1260"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9"/>
      <c r="M28" s="2484"/>
      <c r="N28" s="2484"/>
      <c r="O28" s="2539"/>
      <c r="P28" s="3385"/>
      <c r="Q28" s="1259" t="str">
        <f t="shared" si="11"/>
        <v>物业等级</v>
      </c>
      <c r="R28" s="665" t="s">
        <v>14</v>
      </c>
      <c r="S28" s="666">
        <f t="shared" si="12"/>
        <v>100</v>
      </c>
      <c r="T28" s="665" t="s">
        <v>14</v>
      </c>
      <c r="U28" s="666">
        <f t="shared" si="13"/>
        <v>100</v>
      </c>
      <c r="V28" s="665" t="s">
        <v>14</v>
      </c>
      <c r="W28" s="666">
        <f t="shared" si="14"/>
        <v>100</v>
      </c>
      <c r="X28" s="1261"/>
      <c r="Y28" s="3385"/>
      <c r="Z28" s="1260" t="str">
        <f t="shared" si="15"/>
        <v>物业等级</v>
      </c>
      <c r="AA28" s="1260">
        <f t="shared" si="3"/>
        <v>1</v>
      </c>
      <c r="AB28" s="1260">
        <f t="shared" si="4"/>
        <v>1</v>
      </c>
      <c r="AC28" s="1260">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9"/>
      <c r="M29" s="2484"/>
      <c r="N29" s="2484"/>
      <c r="O29" s="2539"/>
      <c r="P29" s="3385"/>
      <c r="Q29" s="1259" t="str">
        <f t="shared" si="11"/>
        <v>有无电梯</v>
      </c>
      <c r="R29" s="665" t="s">
        <v>14</v>
      </c>
      <c r="S29" s="666">
        <f t="shared" si="12"/>
        <v>100</v>
      </c>
      <c r="T29" s="665" t="s">
        <v>14</v>
      </c>
      <c r="U29" s="666">
        <f t="shared" si="13"/>
        <v>100</v>
      </c>
      <c r="V29" s="665" t="s">
        <v>14</v>
      </c>
      <c r="W29" s="666">
        <f t="shared" si="14"/>
        <v>100</v>
      </c>
      <c r="X29" s="1261"/>
      <c r="Y29" s="3385"/>
      <c r="Z29" s="1260" t="str">
        <f t="shared" si="15"/>
        <v>有无电梯</v>
      </c>
      <c r="AA29" s="1260">
        <f t="shared" si="3"/>
        <v>1</v>
      </c>
      <c r="AB29" s="1260">
        <f t="shared" si="4"/>
        <v>1</v>
      </c>
      <c r="AC29" s="1260">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9"/>
      <c r="M30" s="2484"/>
      <c r="N30" s="2484"/>
      <c r="O30" s="2539"/>
      <c r="P30" s="3385"/>
      <c r="Q30" s="1259" t="str">
        <f t="shared" si="11"/>
        <v>建筑面积</v>
      </c>
      <c r="R30" s="665" t="s">
        <v>14</v>
      </c>
      <c r="S30" s="666" t="e">
        <f t="shared" si="12"/>
        <v>#N/A</v>
      </c>
      <c r="T30" s="665" t="s">
        <v>14</v>
      </c>
      <c r="U30" s="666" t="e">
        <f t="shared" si="13"/>
        <v>#N/A</v>
      </c>
      <c r="V30" s="665" t="s">
        <v>14</v>
      </c>
      <c r="W30" s="666" t="e">
        <f t="shared" si="14"/>
        <v>#N/A</v>
      </c>
      <c r="X30" s="1261"/>
      <c r="Y30" s="3385"/>
      <c r="Z30" s="1260" t="str">
        <f t="shared" si="15"/>
        <v>建筑面积</v>
      </c>
      <c r="AA30" s="1260" t="e">
        <f t="shared" si="3"/>
        <v>#N/A</v>
      </c>
      <c r="AB30" s="1260" t="e">
        <f t="shared" si="4"/>
        <v>#N/A</v>
      </c>
      <c r="AC30" s="1260" t="e">
        <f t="shared" si="5"/>
        <v>#N/A</v>
      </c>
    </row>
    <row r="31" spans="1:29" s="100"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5"/>
      <c r="M31" s="2436"/>
      <c r="N31" s="2436"/>
      <c r="O31" s="2537"/>
      <c r="P31" s="3385"/>
      <c r="Q31" s="528" t="str">
        <f t="shared" si="11"/>
        <v>是否封闭</v>
      </c>
      <c r="R31" s="662" t="s">
        <v>14</v>
      </c>
      <c r="S31" s="663">
        <f t="shared" si="12"/>
        <v>100</v>
      </c>
      <c r="T31" s="662" t="s">
        <v>14</v>
      </c>
      <c r="U31" s="663">
        <f t="shared" si="13"/>
        <v>100</v>
      </c>
      <c r="V31" s="662" t="s">
        <v>14</v>
      </c>
      <c r="W31" s="663">
        <f t="shared" si="14"/>
        <v>100</v>
      </c>
      <c r="X31" s="664"/>
      <c r="Y31" s="3385"/>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9"/>
      <c r="M32" s="2484"/>
      <c r="N32" s="2484"/>
      <c r="O32" s="2539"/>
      <c r="P32" s="3385" t="s">
        <v>1696</v>
      </c>
      <c r="Q32" s="1259">
        <f t="shared" si="11"/>
        <v>111</v>
      </c>
      <c r="R32" s="665" t="s">
        <v>14</v>
      </c>
      <c r="S32" s="666">
        <f t="shared" si="12"/>
        <v>100</v>
      </c>
      <c r="T32" s="665" t="s">
        <v>14</v>
      </c>
      <c r="U32" s="666">
        <f t="shared" si="13"/>
        <v>100</v>
      </c>
      <c r="V32" s="665" t="s">
        <v>14</v>
      </c>
      <c r="W32" s="666">
        <f t="shared" si="14"/>
        <v>100</v>
      </c>
      <c r="X32" s="1261"/>
      <c r="Y32" s="3385" t="s">
        <v>1696</v>
      </c>
      <c r="Z32" s="1260">
        <f t="shared" si="15"/>
        <v>111</v>
      </c>
      <c r="AA32" s="1260">
        <f t="shared" si="3"/>
        <v>1</v>
      </c>
      <c r="AB32" s="1260">
        <f t="shared" si="4"/>
        <v>1</v>
      </c>
      <c r="AC32" s="1260">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9"/>
      <c r="M33" s="2484"/>
      <c r="N33" s="2484"/>
      <c r="O33" s="2539"/>
      <c r="P33" s="3385"/>
      <c r="Q33" s="1259">
        <f t="shared" si="11"/>
        <v>111</v>
      </c>
      <c r="R33" s="665" t="s">
        <v>14</v>
      </c>
      <c r="S33" s="666">
        <f t="shared" si="12"/>
        <v>100</v>
      </c>
      <c r="T33" s="665" t="s">
        <v>14</v>
      </c>
      <c r="U33" s="666">
        <f t="shared" si="13"/>
        <v>100</v>
      </c>
      <c r="V33" s="665" t="s">
        <v>14</v>
      </c>
      <c r="W33" s="666">
        <f t="shared" si="14"/>
        <v>100</v>
      </c>
      <c r="X33" s="1261"/>
      <c r="Y33" s="3385"/>
      <c r="Z33" s="1260">
        <f t="shared" si="15"/>
        <v>111</v>
      </c>
      <c r="AA33" s="1260">
        <f t="shared" si="3"/>
        <v>1</v>
      </c>
      <c r="AB33" s="1260">
        <f t="shared" si="4"/>
        <v>1</v>
      </c>
      <c r="AC33" s="1260">
        <f t="shared" si="5"/>
        <v>1</v>
      </c>
    </row>
    <row r="34" spans="1:30" ht="15.75" thickBot="1">
      <c r="A34" s="413"/>
      <c r="B34" s="1745">
        <v>111</v>
      </c>
      <c r="C34" s="374"/>
      <c r="D34" s="375">
        <v>100</v>
      </c>
      <c r="E34" s="1819"/>
      <c r="F34" s="376">
        <f>SUMIF(95:95,E34,96:96)-SUMIF(95:95,C34,96:96)+100</f>
        <v>100</v>
      </c>
      <c r="G34" s="1819"/>
      <c r="H34" s="375">
        <f>SUMIF(95:95,G34,96:96)-SUMIF(95:95,C34,96:96)+100</f>
        <v>100</v>
      </c>
      <c r="I34" s="1819"/>
      <c r="J34" s="375">
        <f>SUMIF(95:95,I34,96:96)-SUMIF(95:95,C34,96:96)+100</f>
        <v>100</v>
      </c>
      <c r="K34" s="537"/>
      <c r="L34" s="2489"/>
      <c r="M34" s="2484"/>
      <c r="N34" s="2484"/>
      <c r="O34" s="2539"/>
      <c r="P34" s="3385"/>
      <c r="Q34" s="1259">
        <f t="shared" si="11"/>
        <v>111</v>
      </c>
      <c r="R34" s="665" t="s">
        <v>14</v>
      </c>
      <c r="S34" s="666">
        <f t="shared" si="12"/>
        <v>100</v>
      </c>
      <c r="T34" s="665" t="s">
        <v>14</v>
      </c>
      <c r="U34" s="666">
        <f t="shared" si="13"/>
        <v>100</v>
      </c>
      <c r="V34" s="665" t="s">
        <v>14</v>
      </c>
      <c r="W34" s="666">
        <f t="shared" si="14"/>
        <v>100</v>
      </c>
      <c r="X34" s="1261"/>
      <c r="Y34" s="3385"/>
      <c r="Z34" s="1260">
        <f t="shared" si="15"/>
        <v>111</v>
      </c>
      <c r="AA34" s="1260">
        <f t="shared" si="3"/>
        <v>1</v>
      </c>
      <c r="AB34" s="1260">
        <f t="shared" si="4"/>
        <v>1</v>
      </c>
      <c r="AC34" s="1260">
        <f t="shared" si="5"/>
        <v>1</v>
      </c>
    </row>
    <row r="35" spans="1:30" ht="15">
      <c r="A35" s="414" t="s">
        <v>1708</v>
      </c>
      <c r="B35" s="415"/>
      <c r="C35" s="1077" t="s">
        <v>0</v>
      </c>
      <c r="D35" s="416"/>
      <c r="E35" s="417"/>
      <c r="F35" s="418"/>
      <c r="G35" s="419"/>
      <c r="H35" s="420"/>
      <c r="I35" s="417"/>
      <c r="J35" s="420"/>
      <c r="K35" s="672"/>
      <c r="L35" s="2491"/>
      <c r="M35" s="2484"/>
      <c r="N35" s="2484"/>
      <c r="O35" s="2484"/>
      <c r="P35" s="3381" t="str">
        <f>A35</f>
        <v>成交单价（元/平方米）</v>
      </c>
      <c r="Q35" s="3381"/>
      <c r="R35" s="3386">
        <f>E35</f>
        <v>0</v>
      </c>
      <c r="S35" s="3386"/>
      <c r="T35" s="3386">
        <f>G35</f>
        <v>0</v>
      </c>
      <c r="U35" s="3386"/>
      <c r="V35" s="3386">
        <f>I35</f>
        <v>0</v>
      </c>
      <c r="W35" s="3386"/>
      <c r="X35" s="383"/>
      <c r="Y35" s="671"/>
      <c r="Z35" s="383"/>
      <c r="AA35" s="383"/>
      <c r="AB35" s="383"/>
      <c r="AC35" s="383"/>
    </row>
    <row r="36" spans="1:30" ht="15.75" thickBot="1">
      <c r="A36" s="421" t="s">
        <v>1793</v>
      </c>
      <c r="B36" s="422"/>
      <c r="C36" s="1078" t="e">
        <f>R37</f>
        <v>#DIV/0!</v>
      </c>
      <c r="D36" s="2137" t="s">
        <v>2137</v>
      </c>
      <c r="E36" s="1079" t="e">
        <f>R36</f>
        <v>#DIV/0!</v>
      </c>
      <c r="F36" s="2138"/>
      <c r="G36" s="1078" t="e">
        <f>T36</f>
        <v>#DIV/0!</v>
      </c>
      <c r="H36" s="2138"/>
      <c r="I36" s="1079" t="e">
        <f>V36</f>
        <v>#DIV/0!</v>
      </c>
      <c r="J36" s="2138"/>
      <c r="K36" s="2140">
        <f>F36+H36+J36</f>
        <v>0</v>
      </c>
      <c r="L36" s="2491"/>
      <c r="M36" s="2484"/>
      <c r="N36" s="2484"/>
      <c r="O36" s="2484"/>
      <c r="P36" s="3381" t="str">
        <f>A36</f>
        <v>比较价值（元/平方米）</v>
      </c>
      <c r="Q36" s="3381"/>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383"/>
      <c r="Y36" s="383"/>
      <c r="Z36" s="383"/>
      <c r="AA36" s="383"/>
      <c r="AB36" s="383"/>
      <c r="AC36" s="383"/>
    </row>
    <row r="37" spans="1:30" ht="15.75" thickBot="1">
      <c r="A37" s="425" t="s">
        <v>1794</v>
      </c>
      <c r="B37" s="426"/>
      <c r="C37" s="349" t="e">
        <f>R37</f>
        <v>#DIV/0!</v>
      </c>
      <c r="D37" s="349"/>
      <c r="E37" s="349"/>
      <c r="F37" s="349"/>
      <c r="G37" s="349"/>
      <c r="H37" s="349"/>
      <c r="I37" s="349"/>
      <c r="J37" s="349"/>
      <c r="K37" s="673"/>
      <c r="L37" s="2491"/>
      <c r="M37" s="2484"/>
      <c r="N37" s="2484"/>
      <c r="O37" s="2484"/>
      <c r="P37" s="3375" t="str">
        <f>A37</f>
        <v>估价对象XX用房的比较价值（楼面单价，元/平方米）</v>
      </c>
      <c r="Q37" s="3376"/>
      <c r="R37" s="3468" t="e">
        <f>IF(F1="售价",ROUND(IF(D36="简单平均",AVERAGE(R36:W36),R36*F36+T36*H36+V36*J36),0),ROUND(IF(D36="简单平均",AVERAGE(R36:V36),R36*F36+T36*H36+V36*J36),1))</f>
        <v>#DIV/0!</v>
      </c>
      <c r="S37" s="3468"/>
      <c r="T37" s="3468"/>
      <c r="U37" s="3468"/>
      <c r="V37" s="3468"/>
      <c r="W37" s="3468"/>
      <c r="X37" s="383"/>
      <c r="Y37" s="383"/>
      <c r="Z37" s="383"/>
      <c r="AA37" s="383"/>
      <c r="AB37" s="383"/>
      <c r="AC37" s="383"/>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5" customFormat="1" ht="13.5" customHeight="1">
      <c r="A42" s="2494"/>
      <c r="B42" s="2494"/>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5"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6" t="s">
        <v>1798</v>
      </c>
      <c r="B45" s="383"/>
      <c r="C45" s="657"/>
      <c r="D45" s="657"/>
      <c r="E45" s="657"/>
      <c r="F45" s="658"/>
      <c r="G45" s="658"/>
      <c r="H45" s="657"/>
      <c r="I45" s="657"/>
      <c r="J45" s="657"/>
      <c r="K45" s="659"/>
      <c r="L45" s="660"/>
      <c r="M45" s="657"/>
      <c r="N45" s="2534"/>
      <c r="O45" s="2534"/>
      <c r="P45" s="2534"/>
      <c r="Q45" s="2505"/>
      <c r="R45" s="2484"/>
      <c r="S45" s="2484"/>
      <c r="T45" s="2484"/>
      <c r="U45" s="2484"/>
      <c r="V45" s="2484"/>
      <c r="W45" s="2484"/>
      <c r="X45" s="2484"/>
      <c r="Y45" s="2484"/>
      <c r="Z45" s="2484"/>
      <c r="AA45" s="2484"/>
      <c r="AB45" s="2484"/>
      <c r="AC45" s="2484"/>
      <c r="AD45" s="2484"/>
    </row>
    <row r="46" spans="1:30" s="440" customFormat="1" ht="15">
      <c r="A46" s="438" t="s">
        <v>1679</v>
      </c>
      <c r="B46" s="439"/>
      <c r="C46" s="1099" t="str">
        <f>YEAR(C7)&amp;"-"&amp;MONTH(C7)</f>
        <v>2025-9</v>
      </c>
      <c r="D46" s="1100">
        <f>EDATE(C46,-1)</f>
        <v>45870</v>
      </c>
      <c r="E46" s="1100">
        <f t="shared" ref="E46:O46" si="16">EDATE(D46,-1)</f>
        <v>45839</v>
      </c>
      <c r="F46" s="1100">
        <f t="shared" si="16"/>
        <v>45809</v>
      </c>
      <c r="G46" s="1100">
        <f t="shared" si="16"/>
        <v>45778</v>
      </c>
      <c r="H46" s="1100">
        <f t="shared" si="16"/>
        <v>45748</v>
      </c>
      <c r="I46" s="1100">
        <f t="shared" si="16"/>
        <v>45717</v>
      </c>
      <c r="J46" s="1100">
        <f t="shared" si="16"/>
        <v>45689</v>
      </c>
      <c r="K46" s="1100">
        <f t="shared" si="16"/>
        <v>45658</v>
      </c>
      <c r="L46" s="1100">
        <f t="shared" si="16"/>
        <v>45627</v>
      </c>
      <c r="M46" s="1100">
        <f t="shared" si="16"/>
        <v>45597</v>
      </c>
      <c r="N46" s="1100">
        <f t="shared" si="16"/>
        <v>45566</v>
      </c>
      <c r="O46" s="1100">
        <f t="shared" si="16"/>
        <v>45536</v>
      </c>
      <c r="P46" s="2507"/>
      <c r="Q46" s="2507"/>
      <c r="R46" s="2507"/>
      <c r="S46" s="2507"/>
      <c r="T46" s="2507"/>
      <c r="U46" s="2507"/>
      <c r="V46" s="2507"/>
      <c r="W46" s="2507"/>
      <c r="X46" s="2507"/>
      <c r="Y46" s="2507"/>
      <c r="Z46" s="2507"/>
      <c r="AA46" s="2507"/>
      <c r="AB46" s="2507"/>
      <c r="AC46" s="2507"/>
      <c r="AD46" s="2507"/>
    </row>
    <row r="47" spans="1:30" s="100" customFormat="1" ht="15">
      <c r="A47" s="441"/>
      <c r="B47" s="442"/>
      <c r="C47" s="1098">
        <v>100</v>
      </c>
      <c r="D47" s="444"/>
      <c r="E47" s="444"/>
      <c r="F47" s="444"/>
      <c r="G47" s="444"/>
      <c r="H47" s="444"/>
      <c r="I47" s="444"/>
      <c r="J47" s="444"/>
      <c r="K47" s="444"/>
      <c r="L47" s="444"/>
      <c r="M47" s="445"/>
      <c r="N47" s="444"/>
      <c r="O47" s="446"/>
      <c r="P47" s="2505"/>
      <c r="Q47" s="2436"/>
      <c r="R47" s="2436"/>
      <c r="S47" s="2436"/>
      <c r="T47" s="2436"/>
      <c r="U47" s="2436"/>
      <c r="V47" s="2436"/>
      <c r="W47" s="2436"/>
      <c r="X47" s="2436"/>
      <c r="Y47" s="2436"/>
      <c r="Z47" s="2436"/>
      <c r="AA47" s="2436"/>
      <c r="AB47" s="2436"/>
      <c r="AC47" s="2436"/>
      <c r="AD47" s="2436"/>
    </row>
    <row r="48" spans="1:30" s="100" customFormat="1" ht="15.75" thickBot="1">
      <c r="A48" s="447" t="s">
        <v>1716</v>
      </c>
      <c r="B48" s="448"/>
      <c r="C48" s="449"/>
      <c r="D48" s="450"/>
      <c r="E48" s="450"/>
      <c r="F48" s="450"/>
      <c r="G48" s="450"/>
      <c r="H48" s="450"/>
      <c r="I48" s="450"/>
      <c r="J48" s="450"/>
      <c r="K48" s="450"/>
      <c r="L48" s="450"/>
      <c r="M48" s="451"/>
      <c r="N48" s="450"/>
      <c r="O48" s="452"/>
      <c r="P48" s="2505"/>
      <c r="Q48" s="2505"/>
      <c r="R48" s="2436"/>
      <c r="S48" s="2436"/>
      <c r="T48" s="2436"/>
      <c r="U48" s="2436"/>
      <c r="V48" s="2436"/>
      <c r="W48" s="2436"/>
      <c r="X48" s="2436"/>
      <c r="Y48" s="2436"/>
      <c r="Z48" s="2436"/>
      <c r="AA48" s="2436"/>
      <c r="AB48" s="2436"/>
      <c r="AC48" s="2436"/>
      <c r="AD48" s="2436"/>
    </row>
    <row r="49" spans="1:30" s="100" customFormat="1" ht="15">
      <c r="A49" s="453" t="s">
        <v>1681</v>
      </c>
      <c r="B49" s="442"/>
      <c r="C49" s="454" t="s">
        <v>1776</v>
      </c>
      <c r="D49" s="31"/>
      <c r="E49" s="31"/>
      <c r="F49" s="31"/>
      <c r="G49" s="31"/>
      <c r="H49" s="31"/>
      <c r="I49" s="31"/>
      <c r="J49" s="31"/>
      <c r="K49" s="31"/>
      <c r="L49" s="455"/>
      <c r="M49" s="456"/>
      <c r="N49" s="2517"/>
      <c r="O49" s="2517"/>
      <c r="P49" s="2541"/>
      <c r="Q49" s="2505"/>
      <c r="R49" s="2436"/>
      <c r="S49" s="2436"/>
      <c r="T49" s="2436"/>
      <c r="U49" s="2436"/>
      <c r="V49" s="2436"/>
      <c r="W49" s="2436"/>
      <c r="X49" s="2436"/>
      <c r="Y49" s="2436"/>
      <c r="Z49" s="2436"/>
      <c r="AA49" s="2436"/>
      <c r="AB49" s="2436"/>
      <c r="AC49" s="2436"/>
      <c r="AD49" s="2436"/>
    </row>
    <row r="50" spans="1:30" s="100" customFormat="1" ht="15.75" thickBot="1">
      <c r="A50" s="453"/>
      <c r="B50" s="442"/>
      <c r="C50" s="561">
        <v>100</v>
      </c>
      <c r="D50" s="444"/>
      <c r="E50" s="444"/>
      <c r="F50" s="444"/>
      <c r="G50" s="444"/>
      <c r="H50" s="444"/>
      <c r="I50" s="444"/>
      <c r="J50" s="444"/>
      <c r="K50" s="444"/>
      <c r="L50" s="444"/>
      <c r="M50" s="446"/>
      <c r="N50" s="2517"/>
      <c r="O50" s="2517"/>
      <c r="P50" s="2505"/>
      <c r="Q50" s="2505"/>
      <c r="R50" s="2436"/>
      <c r="S50" s="2436"/>
      <c r="T50" s="2436"/>
      <c r="U50" s="2436"/>
      <c r="V50" s="2436"/>
      <c r="W50" s="2436"/>
      <c r="X50" s="2436"/>
      <c r="Y50" s="2436"/>
      <c r="Z50" s="2436"/>
      <c r="AA50" s="2436"/>
      <c r="AB50" s="2436"/>
      <c r="AC50" s="2436"/>
      <c r="AD50" s="2436"/>
    </row>
    <row r="51" spans="1:30">
      <c r="A51" s="377" t="s">
        <v>1719</v>
      </c>
      <c r="B51" s="458" t="s">
        <v>1685</v>
      </c>
      <c r="C51" s="459">
        <f>C9</f>
        <v>0</v>
      </c>
      <c r="D51" s="460"/>
      <c r="E51" s="460"/>
      <c r="F51" s="460"/>
      <c r="G51" s="460"/>
      <c r="H51" s="460"/>
      <c r="I51" s="460"/>
      <c r="J51" s="460"/>
      <c r="K51" s="461"/>
      <c r="L51" s="462"/>
      <c r="M51" s="463"/>
      <c r="N51" s="2518"/>
      <c r="O51" s="2518"/>
      <c r="P51" s="2517"/>
      <c r="Q51" s="2505"/>
      <c r="R51" s="2484"/>
      <c r="S51" s="2484"/>
      <c r="T51" s="2484"/>
      <c r="U51" s="2484"/>
      <c r="V51" s="2484"/>
      <c r="W51" s="2484"/>
      <c r="X51" s="2484"/>
      <c r="Y51" s="2484"/>
      <c r="Z51" s="2484"/>
      <c r="AA51" s="2484"/>
      <c r="AB51" s="2484"/>
      <c r="AC51" s="2484"/>
      <c r="AD51" s="2484"/>
    </row>
    <row r="52" spans="1:30" ht="15.75" thickBot="1">
      <c r="A52" s="365"/>
      <c r="B52" s="464"/>
      <c r="C52" s="465">
        <v>100</v>
      </c>
      <c r="D52" s="465"/>
      <c r="E52" s="465"/>
      <c r="F52" s="465"/>
      <c r="G52" s="465"/>
      <c r="H52" s="465"/>
      <c r="I52" s="465"/>
      <c r="J52" s="465"/>
      <c r="K52" s="465"/>
      <c r="L52" s="465"/>
      <c r="M52" s="466"/>
      <c r="N52" s="2519"/>
      <c r="O52" s="2519"/>
      <c r="P52" s="2517"/>
      <c r="Q52" s="2505"/>
      <c r="R52" s="2484"/>
      <c r="S52" s="2484"/>
      <c r="T52" s="2484"/>
      <c r="U52" s="2484"/>
      <c r="V52" s="2484"/>
      <c r="W52" s="2484"/>
      <c r="X52" s="2484"/>
      <c r="Y52" s="2484"/>
      <c r="Z52" s="2484"/>
      <c r="AA52" s="2484"/>
      <c r="AB52" s="2484"/>
      <c r="AC52" s="2484"/>
      <c r="AD52" s="2484"/>
    </row>
    <row r="53" spans="1:30" ht="27.75" thickTop="1">
      <c r="A53" s="365"/>
      <c r="B53" s="467" t="s">
        <v>1688</v>
      </c>
      <c r="C53" s="511"/>
      <c r="D53" s="511"/>
      <c r="E53" s="511"/>
      <c r="F53" s="511"/>
      <c r="G53" s="511"/>
      <c r="H53" s="511"/>
      <c r="I53" s="511"/>
      <c r="J53" s="511"/>
      <c r="K53" s="512"/>
      <c r="L53" s="513"/>
      <c r="M53" s="514"/>
      <c r="N53" s="2518"/>
      <c r="O53" s="2518"/>
      <c r="P53" s="2517"/>
      <c r="Q53" s="2505"/>
      <c r="R53" s="2484"/>
      <c r="S53" s="2484"/>
      <c r="T53" s="2484"/>
      <c r="U53" s="2484"/>
      <c r="V53" s="2484"/>
      <c r="W53" s="2484"/>
      <c r="X53" s="2484"/>
      <c r="Y53" s="2484"/>
      <c r="Z53" s="2484"/>
      <c r="AA53" s="2484"/>
      <c r="AB53" s="2484"/>
      <c r="AC53" s="2484"/>
      <c r="AD53" s="2484"/>
    </row>
    <row r="54" spans="1:30" ht="15.75" thickBot="1">
      <c r="A54" s="365"/>
      <c r="B54" s="472"/>
      <c r="C54" s="465"/>
      <c r="D54" s="465"/>
      <c r="E54" s="465"/>
      <c r="F54" s="465"/>
      <c r="G54" s="465"/>
      <c r="H54" s="465"/>
      <c r="I54" s="465"/>
      <c r="J54" s="465"/>
      <c r="K54" s="465"/>
      <c r="L54" s="465"/>
      <c r="M54" s="466"/>
      <c r="N54" s="2519"/>
      <c r="O54" s="2519"/>
      <c r="P54" s="2517"/>
      <c r="Q54" s="2505"/>
      <c r="R54" s="2484"/>
      <c r="S54" s="2484"/>
      <c r="T54" s="2484"/>
      <c r="U54" s="2484"/>
      <c r="V54" s="2484"/>
      <c r="W54" s="2484"/>
      <c r="X54" s="2484"/>
      <c r="Y54" s="2484"/>
      <c r="Z54" s="2484"/>
      <c r="AA54" s="2484"/>
      <c r="AB54" s="2484"/>
      <c r="AC54" s="2484"/>
      <c r="AD54" s="2484"/>
    </row>
    <row r="55" spans="1:30" ht="15.75" thickTop="1">
      <c r="A55" s="365"/>
      <c r="B55" s="579">
        <f>B11</f>
        <v>111</v>
      </c>
      <c r="C55" s="478"/>
      <c r="D55" s="478"/>
      <c r="E55" s="478"/>
      <c r="F55" s="478"/>
      <c r="G55" s="478"/>
      <c r="H55" s="478"/>
      <c r="I55" s="478"/>
      <c r="J55" s="478"/>
      <c r="K55" s="479"/>
      <c r="L55" s="480"/>
      <c r="M55" s="481"/>
      <c r="N55" s="2518"/>
      <c r="O55" s="2518"/>
      <c r="P55" s="2517"/>
      <c r="Q55" s="2505"/>
      <c r="R55" s="2484"/>
      <c r="S55" s="2484"/>
      <c r="T55" s="2484"/>
      <c r="U55" s="2484"/>
      <c r="V55" s="2484"/>
      <c r="W55" s="2484"/>
      <c r="X55" s="2484"/>
      <c r="Y55" s="2484"/>
      <c r="Z55" s="2484"/>
      <c r="AA55" s="2484"/>
      <c r="AB55" s="2484"/>
      <c r="AC55" s="2484"/>
      <c r="AD55" s="2484"/>
    </row>
    <row r="56" spans="1:30" ht="15.75" thickBot="1">
      <c r="A56" s="365"/>
      <c r="B56" s="464"/>
      <c r="C56" s="489"/>
      <c r="D56" s="465"/>
      <c r="E56" s="465"/>
      <c r="F56" s="465"/>
      <c r="G56" s="465"/>
      <c r="H56" s="465"/>
      <c r="I56" s="465"/>
      <c r="J56" s="465"/>
      <c r="K56" s="465"/>
      <c r="L56" s="465"/>
      <c r="M56" s="466"/>
      <c r="N56" s="2519"/>
      <c r="O56" s="2519"/>
      <c r="P56" s="2517"/>
      <c r="Q56" s="2505"/>
      <c r="R56" s="2484"/>
      <c r="S56" s="2484"/>
      <c r="T56" s="2484"/>
      <c r="U56" s="2484"/>
      <c r="V56" s="2484"/>
      <c r="W56" s="2484"/>
      <c r="X56" s="2484"/>
      <c r="Y56" s="2484"/>
      <c r="Z56" s="2484"/>
      <c r="AA56" s="2484"/>
      <c r="AB56" s="2484"/>
      <c r="AC56" s="2484"/>
      <c r="AD56" s="2484"/>
    </row>
    <row r="57" spans="1:30" s="406" customFormat="1" ht="15.75" thickTop="1">
      <c r="A57" s="482"/>
      <c r="B57" s="467">
        <f>B12</f>
        <v>111</v>
      </c>
      <c r="C57" s="478"/>
      <c r="D57" s="478"/>
      <c r="E57" s="478"/>
      <c r="F57" s="478"/>
      <c r="G57" s="483"/>
      <c r="H57" s="484"/>
      <c r="I57" s="484"/>
      <c r="J57" s="484"/>
      <c r="K57" s="484"/>
      <c r="L57" s="485"/>
      <c r="M57" s="486"/>
      <c r="N57" s="2520"/>
      <c r="O57" s="2520"/>
      <c r="P57" s="2520"/>
      <c r="Q57" s="2512"/>
      <c r="R57" s="2490"/>
      <c r="S57" s="2490"/>
      <c r="T57" s="2490"/>
      <c r="U57" s="2490"/>
      <c r="V57" s="2490"/>
      <c r="W57" s="2490"/>
      <c r="X57" s="2490"/>
      <c r="Y57" s="2490"/>
      <c r="Z57" s="2490"/>
      <c r="AA57" s="2490"/>
      <c r="AB57" s="2490"/>
      <c r="AC57" s="2490"/>
      <c r="AD57" s="2490"/>
    </row>
    <row r="58" spans="1:30" s="406" customFormat="1" ht="15.75" thickBot="1">
      <c r="A58" s="482"/>
      <c r="B58" s="472"/>
      <c r="C58" s="489"/>
      <c r="D58" s="465"/>
      <c r="E58" s="465"/>
      <c r="F58" s="465"/>
      <c r="G58" s="465"/>
      <c r="H58" s="465"/>
      <c r="I58" s="465"/>
      <c r="J58" s="465"/>
      <c r="K58" s="465"/>
      <c r="L58" s="465"/>
      <c r="M58" s="466"/>
      <c r="N58" s="2519"/>
      <c r="O58" s="2519"/>
      <c r="P58" s="2520"/>
      <c r="Q58" s="2512"/>
      <c r="R58" s="2490"/>
      <c r="S58" s="2490"/>
      <c r="T58" s="2490"/>
      <c r="U58" s="2490"/>
      <c r="V58" s="2490"/>
      <c r="W58" s="2490"/>
      <c r="X58" s="2490"/>
      <c r="Y58" s="2490"/>
      <c r="Z58" s="2490"/>
      <c r="AA58" s="2490"/>
      <c r="AB58" s="2490"/>
      <c r="AC58" s="2490"/>
      <c r="AD58" s="2490"/>
    </row>
    <row r="59" spans="1:30" s="406" customFormat="1" ht="15.75" thickTop="1">
      <c r="A59" s="482"/>
      <c r="B59" s="467">
        <f>B13</f>
        <v>111</v>
      </c>
      <c r="C59" s="478"/>
      <c r="D59" s="478"/>
      <c r="E59" s="478"/>
      <c r="F59" s="478"/>
      <c r="G59" s="483"/>
      <c r="H59" s="484"/>
      <c r="I59" s="484"/>
      <c r="J59" s="484"/>
      <c r="K59" s="484"/>
      <c r="L59" s="485"/>
      <c r="M59" s="486"/>
      <c r="N59" s="2520"/>
      <c r="O59" s="2520"/>
      <c r="P59" s="2490"/>
      <c r="Q59" s="2514"/>
      <c r="R59" s="2490"/>
      <c r="S59" s="2490"/>
      <c r="T59" s="2490"/>
      <c r="U59" s="2490"/>
      <c r="V59" s="2490"/>
      <c r="W59" s="2490"/>
      <c r="X59" s="2490"/>
      <c r="Y59" s="2490"/>
      <c r="Z59" s="2490"/>
      <c r="AA59" s="2490"/>
      <c r="AB59" s="2490"/>
      <c r="AC59" s="2490"/>
      <c r="AD59" s="2490"/>
    </row>
    <row r="60" spans="1:30" s="406" customFormat="1" ht="15.75" thickBot="1">
      <c r="A60" s="482"/>
      <c r="B60" s="472"/>
      <c r="C60" s="489"/>
      <c r="D60" s="489"/>
      <c r="E60" s="489"/>
      <c r="F60" s="489"/>
      <c r="G60" s="489"/>
      <c r="H60" s="491"/>
      <c r="I60" s="491"/>
      <c r="J60" s="491"/>
      <c r="K60" s="491"/>
      <c r="L60" s="491"/>
      <c r="M60" s="492"/>
      <c r="N60" s="2520"/>
      <c r="O60" s="2520"/>
      <c r="P60" s="2520"/>
      <c r="Q60" s="2512"/>
      <c r="R60" s="2490"/>
      <c r="S60" s="2490"/>
      <c r="T60" s="2490"/>
      <c r="U60" s="2490"/>
      <c r="V60" s="2490"/>
      <c r="W60" s="2490"/>
      <c r="X60" s="2490"/>
      <c r="Y60" s="2490"/>
      <c r="Z60" s="2490"/>
      <c r="AA60" s="2490"/>
      <c r="AB60" s="2490"/>
      <c r="AC60" s="2490"/>
      <c r="AD60" s="2490"/>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8"/>
      <c r="O61" s="2518"/>
      <c r="P61" s="2542"/>
      <c r="Q61" s="2505"/>
      <c r="R61" s="2484"/>
      <c r="S61" s="2484"/>
      <c r="T61" s="2484"/>
      <c r="U61" s="2484"/>
      <c r="V61" s="2484"/>
      <c r="W61" s="2484"/>
      <c r="X61" s="2484"/>
      <c r="Y61" s="2484"/>
      <c r="Z61" s="2484"/>
      <c r="AA61" s="2484"/>
      <c r="AB61" s="2484"/>
      <c r="AC61" s="2484"/>
      <c r="AD61" s="2484"/>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9"/>
      <c r="O62" s="2519"/>
      <c r="P62" s="2517"/>
      <c r="Q62" s="2505"/>
      <c r="R62" s="2484"/>
      <c r="S62" s="2484"/>
      <c r="T62" s="2484"/>
      <c r="U62" s="2484"/>
      <c r="V62" s="2484"/>
      <c r="W62" s="2484"/>
      <c r="X62" s="2484"/>
      <c r="Y62" s="2484"/>
      <c r="Z62" s="2484"/>
      <c r="AA62" s="2484"/>
      <c r="AB62" s="2484"/>
      <c r="AC62" s="2484"/>
      <c r="AD62" s="2484"/>
    </row>
    <row r="63" spans="1:30" ht="27.75" thickTop="1">
      <c r="A63" s="365"/>
      <c r="B63" s="467" t="s">
        <v>1863</v>
      </c>
      <c r="C63" s="507" t="s">
        <v>1721</v>
      </c>
      <c r="D63" s="507" t="s">
        <v>1722</v>
      </c>
      <c r="E63" s="507" t="s">
        <v>1723</v>
      </c>
      <c r="F63" s="507" t="s">
        <v>1724</v>
      </c>
      <c r="G63" s="507" t="s">
        <v>1725</v>
      </c>
      <c r="H63" s="468"/>
      <c r="I63" s="468"/>
      <c r="J63" s="468"/>
      <c r="K63" s="469"/>
      <c r="L63" s="470"/>
      <c r="M63" s="471"/>
      <c r="N63" s="2518"/>
      <c r="O63" s="2518"/>
      <c r="P63" s="2517"/>
      <c r="Q63" s="2505"/>
      <c r="R63" s="2484"/>
      <c r="S63" s="2484"/>
      <c r="T63" s="2484"/>
      <c r="U63" s="2484"/>
      <c r="V63" s="2484"/>
      <c r="W63" s="2484"/>
      <c r="X63" s="2484"/>
      <c r="Y63" s="2484"/>
      <c r="Z63" s="2484"/>
      <c r="AA63" s="2484"/>
      <c r="AB63" s="2484"/>
      <c r="AC63" s="2484"/>
      <c r="AD63" s="2484"/>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9"/>
      <c r="O64" s="2519"/>
      <c r="P64" s="2517"/>
      <c r="Q64" s="2505"/>
      <c r="R64" s="2484"/>
      <c r="S64" s="2484"/>
      <c r="T64" s="2484"/>
      <c r="U64" s="2484"/>
      <c r="V64" s="2484"/>
      <c r="W64" s="2484"/>
      <c r="X64" s="2484"/>
      <c r="Y64" s="2484"/>
      <c r="Z64" s="2484"/>
      <c r="AA64" s="2484"/>
      <c r="AB64" s="2484"/>
      <c r="AC64" s="2484"/>
      <c r="AD64" s="2484"/>
    </row>
    <row r="65" spans="1:30" ht="15.75" thickTop="1">
      <c r="A65" s="365"/>
      <c r="B65" s="475" t="s">
        <v>1813</v>
      </c>
      <c r="C65" s="579" t="s">
        <v>1799</v>
      </c>
      <c r="D65" s="579" t="s">
        <v>1800</v>
      </c>
      <c r="E65" s="579" t="s">
        <v>1801</v>
      </c>
      <c r="F65" s="579" t="s">
        <v>1802</v>
      </c>
      <c r="G65" s="579" t="s">
        <v>1803</v>
      </c>
      <c r="H65" s="468"/>
      <c r="I65" s="468"/>
      <c r="J65" s="468"/>
      <c r="K65" s="468"/>
      <c r="L65" s="468"/>
      <c r="M65" s="1059"/>
      <c r="N65" s="2519"/>
      <c r="O65" s="2519"/>
      <c r="P65" s="2517"/>
      <c r="Q65" s="2505"/>
      <c r="R65" s="2484"/>
      <c r="S65" s="2484"/>
      <c r="T65" s="2484"/>
      <c r="U65" s="2484"/>
      <c r="V65" s="2484"/>
      <c r="W65" s="2484"/>
      <c r="X65" s="2484"/>
      <c r="Y65" s="2484"/>
      <c r="Z65" s="2484"/>
      <c r="AA65" s="2484"/>
      <c r="AB65" s="2484"/>
      <c r="AC65" s="2484"/>
      <c r="AD65" s="2484"/>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9"/>
      <c r="O66" s="2519"/>
      <c r="P66" s="2517"/>
      <c r="Q66" s="2505"/>
      <c r="R66" s="2484"/>
      <c r="S66" s="2484"/>
      <c r="T66" s="2484"/>
      <c r="U66" s="2484"/>
      <c r="V66" s="2484"/>
      <c r="W66" s="2484"/>
      <c r="X66" s="2484"/>
      <c r="Y66" s="2484"/>
      <c r="Z66" s="2484"/>
      <c r="AA66" s="2484"/>
      <c r="AB66" s="2484"/>
      <c r="AC66" s="2484"/>
      <c r="AD66" s="2484"/>
    </row>
    <row r="67" spans="1:30" ht="15.75" thickTop="1">
      <c r="A67" s="365"/>
      <c r="B67" s="467" t="s">
        <v>1733</v>
      </c>
      <c r="C67" s="507" t="s">
        <v>1721</v>
      </c>
      <c r="D67" s="507" t="s">
        <v>1722</v>
      </c>
      <c r="E67" s="507" t="s">
        <v>1723</v>
      </c>
      <c r="F67" s="507" t="s">
        <v>1724</v>
      </c>
      <c r="G67" s="507" t="s">
        <v>1725</v>
      </c>
      <c r="H67" s="468"/>
      <c r="I67" s="468"/>
      <c r="J67" s="468"/>
      <c r="K67" s="469"/>
      <c r="L67" s="470"/>
      <c r="M67" s="471"/>
      <c r="N67" s="2518"/>
      <c r="O67" s="2518"/>
      <c r="P67" s="2517"/>
      <c r="Q67" s="2505"/>
      <c r="R67" s="2484"/>
      <c r="S67" s="2484"/>
      <c r="T67" s="2484"/>
      <c r="U67" s="2484"/>
      <c r="V67" s="2484"/>
      <c r="W67" s="2484"/>
      <c r="X67" s="2484"/>
      <c r="Y67" s="2484"/>
      <c r="Z67" s="2484"/>
      <c r="AA67" s="2484"/>
      <c r="AB67" s="2484"/>
      <c r="AC67" s="2484"/>
      <c r="AD67" s="2484"/>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9"/>
      <c r="O68" s="2519"/>
      <c r="P68" s="2517"/>
      <c r="Q68" s="2505"/>
      <c r="R68" s="2484"/>
      <c r="S68" s="2484"/>
      <c r="T68" s="2484"/>
      <c r="U68" s="2484"/>
      <c r="V68" s="2484"/>
      <c r="W68" s="2484"/>
      <c r="X68" s="2484"/>
      <c r="Y68" s="2484"/>
      <c r="Z68" s="2484"/>
      <c r="AA68" s="2484"/>
      <c r="AB68" s="2484"/>
      <c r="AC68" s="2484"/>
      <c r="AD68" s="2484"/>
    </row>
    <row r="69" spans="1:30" ht="15.75" thickTop="1">
      <c r="A69" s="365"/>
      <c r="B69" s="467" t="s">
        <v>1852</v>
      </c>
      <c r="C69" s="483"/>
      <c r="D69" s="483"/>
      <c r="E69" s="483"/>
      <c r="F69" s="483"/>
      <c r="G69" s="483"/>
      <c r="H69" s="511"/>
      <c r="I69" s="511"/>
      <c r="J69" s="511"/>
      <c r="K69" s="512"/>
      <c r="L69" s="513"/>
      <c r="M69" s="514"/>
      <c r="N69" s="2518"/>
      <c r="O69" s="2518"/>
      <c r="P69" s="2517"/>
      <c r="Q69" s="2505"/>
      <c r="R69" s="2484"/>
      <c r="S69" s="2484"/>
      <c r="T69" s="2484"/>
      <c r="U69" s="2484"/>
      <c r="V69" s="2484"/>
      <c r="W69" s="2484"/>
      <c r="X69" s="2484"/>
      <c r="Y69" s="2484"/>
      <c r="Z69" s="2484"/>
      <c r="AA69" s="2484"/>
      <c r="AB69" s="2484"/>
      <c r="AC69" s="2484"/>
      <c r="AD69" s="2484"/>
    </row>
    <row r="70" spans="1:30" ht="15.75" thickBot="1">
      <c r="A70" s="365"/>
      <c r="B70" s="472"/>
      <c r="C70" s="473">
        <v>100</v>
      </c>
      <c r="D70" s="473">
        <f>C70-$K22</f>
        <v>100</v>
      </c>
      <c r="E70" s="473"/>
      <c r="F70" s="473"/>
      <c r="G70" s="473"/>
      <c r="H70" s="473"/>
      <c r="I70" s="473"/>
      <c r="J70" s="473"/>
      <c r="K70" s="473"/>
      <c r="L70" s="473"/>
      <c r="M70" s="474"/>
      <c r="N70" s="2519"/>
      <c r="O70" s="2519"/>
      <c r="P70" s="2517"/>
      <c r="Q70" s="2505"/>
      <c r="R70" s="2484"/>
      <c r="S70" s="2484"/>
      <c r="T70" s="2484"/>
      <c r="U70" s="2484"/>
      <c r="V70" s="2484"/>
      <c r="W70" s="2484"/>
      <c r="X70" s="2484"/>
      <c r="Y70" s="2484"/>
      <c r="Z70" s="2484"/>
      <c r="AA70" s="2484"/>
      <c r="AB70" s="2484"/>
      <c r="AC70" s="2484"/>
      <c r="AD70" s="2484"/>
    </row>
    <row r="71" spans="1:30" s="100" customFormat="1" ht="15.75" thickTop="1">
      <c r="A71" s="368"/>
      <c r="B71" s="467">
        <f>B23</f>
        <v>111</v>
      </c>
      <c r="C71" s="478"/>
      <c r="D71" s="478"/>
      <c r="E71" s="478"/>
      <c r="F71" s="478"/>
      <c r="G71" s="483"/>
      <c r="H71" s="483"/>
      <c r="I71" s="483"/>
      <c r="J71" s="483"/>
      <c r="K71" s="483"/>
      <c r="L71" s="508"/>
      <c r="M71" s="509"/>
      <c r="N71" s="2517"/>
      <c r="O71" s="2517"/>
      <c r="P71" s="2517"/>
      <c r="Q71" s="2505"/>
      <c r="R71" s="2436"/>
      <c r="S71" s="2436"/>
      <c r="T71" s="2436"/>
      <c r="U71" s="2436"/>
      <c r="V71" s="2436"/>
      <c r="W71" s="2436"/>
      <c r="X71" s="2436"/>
      <c r="Y71" s="2436"/>
      <c r="Z71" s="2436"/>
      <c r="AA71" s="2436"/>
      <c r="AB71" s="2436"/>
      <c r="AC71" s="2436"/>
      <c r="AD71" s="2436"/>
    </row>
    <row r="72" spans="1:30" s="100" customFormat="1" ht="15.75" thickBot="1">
      <c r="A72" s="368"/>
      <c r="B72" s="472"/>
      <c r="C72" s="489"/>
      <c r="D72" s="465"/>
      <c r="E72" s="465"/>
      <c r="F72" s="465"/>
      <c r="G72" s="465"/>
      <c r="H72" s="465"/>
      <c r="I72" s="465"/>
      <c r="J72" s="465"/>
      <c r="K72" s="465"/>
      <c r="L72" s="465"/>
      <c r="M72" s="466"/>
      <c r="N72" s="2519"/>
      <c r="O72" s="2519"/>
      <c r="P72" s="2517"/>
      <c r="Q72" s="2505"/>
      <c r="R72" s="2436"/>
      <c r="S72" s="2436"/>
      <c r="T72" s="2436"/>
      <c r="U72" s="2436"/>
      <c r="V72" s="2436"/>
      <c r="W72" s="2436"/>
      <c r="X72" s="2436"/>
      <c r="Y72" s="2436"/>
      <c r="Z72" s="2436"/>
      <c r="AA72" s="2436"/>
      <c r="AB72" s="2436"/>
      <c r="AC72" s="2436"/>
      <c r="AD72" s="2436"/>
    </row>
    <row r="73" spans="1:30" s="100" customFormat="1" ht="15.75" thickTop="1">
      <c r="A73" s="368"/>
      <c r="B73" s="467">
        <f>B24</f>
        <v>111</v>
      </c>
      <c r="C73" s="478"/>
      <c r="D73" s="478"/>
      <c r="E73" s="478"/>
      <c r="F73" s="478"/>
      <c r="G73" s="483"/>
      <c r="H73" s="483"/>
      <c r="I73" s="483"/>
      <c r="J73" s="483"/>
      <c r="K73" s="483"/>
      <c r="L73" s="483"/>
      <c r="M73" s="509"/>
      <c r="N73" s="2517"/>
      <c r="O73" s="2517"/>
      <c r="P73" s="2517"/>
      <c r="Q73" s="2505"/>
      <c r="R73" s="2436"/>
      <c r="S73" s="2436"/>
      <c r="T73" s="2436"/>
      <c r="U73" s="2436"/>
      <c r="V73" s="2436"/>
      <c r="W73" s="2436"/>
      <c r="X73" s="2436"/>
      <c r="Y73" s="2436"/>
      <c r="Z73" s="2436"/>
      <c r="AA73" s="2436"/>
      <c r="AB73" s="2436"/>
      <c r="AC73" s="2436"/>
      <c r="AD73" s="2436"/>
    </row>
    <row r="74" spans="1:30" s="100" customFormat="1" ht="15.75" thickBot="1">
      <c r="A74" s="368"/>
      <c r="B74" s="472"/>
      <c r="C74" s="489"/>
      <c r="D74" s="465"/>
      <c r="E74" s="465"/>
      <c r="F74" s="465"/>
      <c r="G74" s="465"/>
      <c r="H74" s="465"/>
      <c r="I74" s="465"/>
      <c r="J74" s="465"/>
      <c r="K74" s="465"/>
      <c r="L74" s="465"/>
      <c r="M74" s="466"/>
      <c r="N74" s="2519"/>
      <c r="O74" s="2519"/>
      <c r="P74" s="2517"/>
      <c r="Q74" s="2505"/>
      <c r="R74" s="2436"/>
      <c r="S74" s="2436"/>
      <c r="T74" s="2436"/>
      <c r="U74" s="2436"/>
      <c r="V74" s="2436"/>
      <c r="W74" s="2436"/>
      <c r="X74" s="2436"/>
      <c r="Y74" s="2436"/>
      <c r="Z74" s="2436"/>
      <c r="AA74" s="2436"/>
      <c r="AB74" s="2436"/>
      <c r="AC74" s="2436"/>
      <c r="AD74" s="2436"/>
    </row>
    <row r="75" spans="1:30" s="406" customFormat="1" ht="15.75" thickTop="1">
      <c r="A75" s="482"/>
      <c r="B75" s="467">
        <f>B25</f>
        <v>111</v>
      </c>
      <c r="C75" s="478"/>
      <c r="D75" s="478"/>
      <c r="E75" s="478"/>
      <c r="F75" s="478"/>
      <c r="G75" s="483"/>
      <c r="H75" s="484"/>
      <c r="I75" s="484"/>
      <c r="J75" s="484"/>
      <c r="K75" s="484"/>
      <c r="L75" s="485"/>
      <c r="M75" s="486"/>
      <c r="N75" s="2520"/>
      <c r="O75" s="2520"/>
      <c r="P75" s="2520"/>
      <c r="Q75" s="2512"/>
      <c r="R75" s="2490"/>
      <c r="S75" s="2490"/>
      <c r="T75" s="2490"/>
      <c r="U75" s="2490"/>
      <c r="V75" s="2490"/>
      <c r="W75" s="2490"/>
      <c r="X75" s="2490"/>
      <c r="Y75" s="2490"/>
      <c r="Z75" s="2490"/>
      <c r="AA75" s="2490"/>
      <c r="AB75" s="2490"/>
      <c r="AC75" s="2490"/>
      <c r="AD75" s="2490"/>
    </row>
    <row r="76" spans="1:30" s="406" customFormat="1" ht="15.75" thickBot="1">
      <c r="A76" s="482"/>
      <c r="B76" s="472"/>
      <c r="C76" s="489"/>
      <c r="D76" s="489"/>
      <c r="E76" s="489"/>
      <c r="F76" s="489"/>
      <c r="G76" s="465"/>
      <c r="H76" s="465"/>
      <c r="I76" s="465"/>
      <c r="J76" s="465"/>
      <c r="K76" s="465"/>
      <c r="L76" s="465"/>
      <c r="M76" s="466"/>
      <c r="N76" s="2520"/>
      <c r="O76" s="2520"/>
      <c r="P76" s="2520"/>
      <c r="Q76" s="2512"/>
      <c r="R76" s="2490"/>
      <c r="S76" s="2490"/>
      <c r="T76" s="2490"/>
      <c r="U76" s="2490"/>
      <c r="V76" s="2490"/>
      <c r="W76" s="2490"/>
      <c r="X76" s="2490"/>
      <c r="Y76" s="2490"/>
      <c r="Z76" s="2490"/>
      <c r="AA76" s="2490"/>
      <c r="AB76" s="2490"/>
      <c r="AC76" s="2490"/>
      <c r="AD76" s="2490"/>
    </row>
    <row r="77" spans="1:30" ht="15" thickTop="1">
      <c r="A77" s="377" t="s">
        <v>1694</v>
      </c>
      <c r="B77" s="458" t="s">
        <v>1740</v>
      </c>
      <c r="C77" s="483"/>
      <c r="D77" s="483"/>
      <c r="E77" s="460"/>
      <c r="F77" s="460"/>
      <c r="G77" s="460"/>
      <c r="H77" s="460"/>
      <c r="I77" s="460"/>
      <c r="J77" s="460"/>
      <c r="K77" s="461"/>
      <c r="L77" s="462"/>
      <c r="M77" s="463"/>
      <c r="N77" s="2518"/>
      <c r="O77" s="2518"/>
      <c r="P77" s="2517"/>
      <c r="Q77" s="2505"/>
      <c r="R77" s="2484"/>
      <c r="S77" s="2484"/>
      <c r="T77" s="2484"/>
      <c r="U77" s="2484"/>
      <c r="V77" s="2484"/>
      <c r="W77" s="2484"/>
      <c r="X77" s="2484"/>
      <c r="Y77" s="2484"/>
      <c r="Z77" s="2484"/>
      <c r="AA77" s="2484"/>
      <c r="AB77" s="2484"/>
      <c r="AC77" s="2484"/>
      <c r="AD77" s="2484"/>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7"/>
      <c r="O79" s="2517"/>
      <c r="P79" s="2517"/>
      <c r="Q79" s="2505"/>
      <c r="R79" s="2484"/>
      <c r="S79" s="2484"/>
      <c r="T79" s="2484"/>
      <c r="U79" s="2484"/>
      <c r="V79" s="2484"/>
      <c r="W79" s="2484"/>
      <c r="X79" s="2484"/>
      <c r="Y79" s="2484"/>
      <c r="Z79" s="2484"/>
      <c r="AA79" s="2484"/>
      <c r="AB79" s="2484"/>
      <c r="AC79" s="2484"/>
      <c r="AD79" s="2484"/>
    </row>
    <row r="80" spans="1:30" ht="15">
      <c r="A80" s="365"/>
      <c r="B80" s="475"/>
      <c r="C80" s="528">
        <v>0.5</v>
      </c>
      <c r="D80" s="528">
        <v>0.6</v>
      </c>
      <c r="E80" s="528">
        <v>0.7</v>
      </c>
      <c r="F80" s="528">
        <v>0.8</v>
      </c>
      <c r="G80" s="528">
        <v>0.9</v>
      </c>
      <c r="H80" s="528">
        <v>1.0001</v>
      </c>
      <c r="I80" s="579"/>
      <c r="J80" s="579"/>
      <c r="K80" s="586"/>
      <c r="L80" s="587"/>
      <c r="M80" s="588"/>
      <c r="N80" s="2517"/>
      <c r="O80" s="2517"/>
      <c r="P80" s="2517"/>
      <c r="Q80" s="2505"/>
      <c r="R80" s="2484"/>
      <c r="S80" s="2484"/>
      <c r="T80" s="2484"/>
      <c r="U80" s="2484"/>
      <c r="V80" s="2484"/>
      <c r="W80" s="2484"/>
      <c r="X80" s="2484"/>
      <c r="Y80" s="2484"/>
      <c r="Z80" s="2484"/>
      <c r="AA80" s="2484"/>
      <c r="AB80" s="2484"/>
      <c r="AC80" s="2484"/>
      <c r="AD80" s="2484"/>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7"/>
      <c r="B82" s="475" t="s">
        <v>1856</v>
      </c>
      <c r="C82" s="483"/>
      <c r="D82" s="483"/>
      <c r="E82" s="511"/>
      <c r="F82" s="511"/>
      <c r="G82" s="511"/>
      <c r="H82" s="511"/>
      <c r="I82" s="511"/>
      <c r="J82" s="511"/>
      <c r="K82" s="512"/>
      <c r="L82" s="513"/>
      <c r="M82" s="514"/>
      <c r="N82" s="2518"/>
      <c r="O82" s="2518"/>
      <c r="P82" s="2517"/>
      <c r="Q82" s="2505"/>
      <c r="R82" s="2484"/>
      <c r="S82" s="2484"/>
      <c r="T82" s="2484"/>
      <c r="U82" s="2484"/>
      <c r="V82" s="2484"/>
      <c r="W82" s="2484"/>
      <c r="X82" s="2484"/>
      <c r="Y82" s="2484"/>
      <c r="Z82" s="2484"/>
      <c r="AA82" s="2484"/>
      <c r="AB82" s="2484"/>
      <c r="AC82" s="2484"/>
      <c r="AD82" s="2484"/>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7"/>
      <c r="B84" s="467" t="s">
        <v>1864</v>
      </c>
      <c r="C84" s="483"/>
      <c r="D84" s="483"/>
      <c r="E84" s="483"/>
      <c r="F84" s="483"/>
      <c r="G84" s="483"/>
      <c r="H84" s="483"/>
      <c r="I84" s="511"/>
      <c r="J84" s="511"/>
      <c r="K84" s="512"/>
      <c r="L84" s="513"/>
      <c r="M84" s="514"/>
      <c r="N84" s="2518"/>
      <c r="O84" s="2518"/>
      <c r="P84" s="2517"/>
      <c r="Q84" s="2505"/>
      <c r="R84" s="2484"/>
      <c r="S84" s="2484"/>
      <c r="T84" s="2484"/>
      <c r="U84" s="2484"/>
      <c r="V84" s="2484"/>
      <c r="W84" s="2484"/>
      <c r="X84" s="2484"/>
      <c r="Y84" s="2484"/>
      <c r="Z84" s="2484"/>
      <c r="AA84" s="2484"/>
      <c r="AB84" s="2484"/>
      <c r="AC84" s="2484"/>
      <c r="AD84" s="2484"/>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7"/>
      <c r="B87" s="475"/>
      <c r="C87" s="6"/>
      <c r="D87" s="6"/>
      <c r="E87" s="6"/>
      <c r="F87" s="6"/>
      <c r="G87" s="6"/>
      <c r="H87" s="6"/>
      <c r="I87" s="6"/>
      <c r="J87" s="522"/>
      <c r="K87" s="522"/>
      <c r="L87" s="523"/>
      <c r="M87" s="524"/>
      <c r="N87" s="2518"/>
      <c r="O87" s="2518"/>
      <c r="P87" s="2517"/>
      <c r="Q87" s="2505"/>
      <c r="R87" s="2484"/>
      <c r="S87" s="2484"/>
      <c r="T87" s="2484"/>
      <c r="U87" s="2484"/>
      <c r="V87" s="2484"/>
      <c r="W87" s="2484"/>
      <c r="X87" s="2484"/>
      <c r="Y87" s="2484"/>
      <c r="Z87" s="2484"/>
      <c r="AA87" s="2484"/>
      <c r="AB87" s="2484"/>
      <c r="AC87" s="2484"/>
      <c r="AD87" s="2484"/>
    </row>
    <row r="88" spans="1:30" ht="15.75" thickBot="1">
      <c r="A88" s="365"/>
      <c r="B88" s="472"/>
      <c r="C88" s="489"/>
      <c r="D88" s="465"/>
      <c r="E88" s="465"/>
      <c r="F88" s="465"/>
      <c r="G88" s="465"/>
      <c r="H88" s="465"/>
      <c r="I88" s="465"/>
      <c r="J88" s="465"/>
      <c r="K88" s="465"/>
      <c r="L88" s="465"/>
      <c r="M88" s="465"/>
      <c r="N88" s="2519"/>
      <c r="O88" s="2519"/>
      <c r="P88" s="2517"/>
      <c r="Q88" s="2505"/>
      <c r="R88" s="2484"/>
      <c r="S88" s="2484"/>
      <c r="T88" s="2484"/>
      <c r="U88" s="2484"/>
      <c r="V88" s="2484"/>
      <c r="W88" s="2484"/>
      <c r="X88" s="2484"/>
      <c r="Y88" s="2484"/>
      <c r="Z88" s="2484"/>
      <c r="AA88" s="2484"/>
      <c r="AB88" s="2484"/>
      <c r="AC88" s="2484"/>
      <c r="AD88" s="2484"/>
    </row>
    <row r="89" spans="1:30" s="406" customFormat="1" ht="15" thickTop="1">
      <c r="A89" s="404"/>
      <c r="B89" s="467" t="s">
        <v>1866</v>
      </c>
      <c r="C89" s="483"/>
      <c r="D89" s="483"/>
      <c r="E89" s="483"/>
      <c r="F89" s="483"/>
      <c r="G89" s="483"/>
      <c r="H89" s="483"/>
      <c r="I89" s="483"/>
      <c r="J89" s="483"/>
      <c r="K89" s="483"/>
      <c r="L89" s="483"/>
      <c r="M89" s="509"/>
      <c r="N89" s="2520"/>
      <c r="O89" s="2520"/>
      <c r="P89" s="2520"/>
      <c r="Q89" s="2512"/>
      <c r="R89" s="2490"/>
      <c r="S89" s="2490"/>
      <c r="T89" s="2490"/>
      <c r="U89" s="2490"/>
      <c r="V89" s="2490"/>
      <c r="W89" s="2490"/>
      <c r="X89" s="2490"/>
      <c r="Y89" s="2490"/>
      <c r="Z89" s="2490"/>
      <c r="AA89" s="2490"/>
      <c r="AB89" s="2490"/>
      <c r="AC89" s="2490"/>
      <c r="AD89" s="2490"/>
    </row>
    <row r="90" spans="1:30" s="406" customFormat="1" ht="15.75" thickBot="1">
      <c r="A90" s="482"/>
      <c r="B90" s="472"/>
      <c r="C90" s="489"/>
      <c r="D90" s="465"/>
      <c r="E90" s="465"/>
      <c r="F90" s="465"/>
      <c r="G90" s="465"/>
      <c r="H90" s="465"/>
      <c r="I90" s="465"/>
      <c r="J90" s="465"/>
      <c r="K90" s="465"/>
      <c r="L90" s="465"/>
      <c r="M90" s="466"/>
      <c r="N90" s="2520"/>
      <c r="O90" s="2520"/>
      <c r="P90" s="2520"/>
      <c r="Q90" s="2512"/>
      <c r="R90" s="2490"/>
      <c r="S90" s="2490"/>
      <c r="T90" s="2490"/>
      <c r="U90" s="2490"/>
      <c r="V90" s="2490"/>
      <c r="W90" s="2490"/>
      <c r="X90" s="2490"/>
      <c r="Y90" s="2490"/>
      <c r="Z90" s="2490"/>
      <c r="AA90" s="2490"/>
      <c r="AB90" s="2490"/>
      <c r="AC90" s="2490"/>
      <c r="AD90" s="2490"/>
    </row>
    <row r="91" spans="1:30" ht="15" thickTop="1">
      <c r="A91" s="407"/>
      <c r="B91" s="467">
        <f>B32</f>
        <v>111</v>
      </c>
      <c r="C91" s="478"/>
      <c r="D91" s="478"/>
      <c r="E91" s="478"/>
      <c r="F91" s="478"/>
      <c r="G91" s="483"/>
      <c r="H91" s="484"/>
      <c r="I91" s="484"/>
      <c r="J91" s="484"/>
      <c r="K91" s="484"/>
      <c r="L91" s="485"/>
      <c r="M91" s="486"/>
      <c r="N91" s="2518"/>
      <c r="O91" s="2518"/>
      <c r="P91" s="2517"/>
      <c r="Q91" s="2505"/>
      <c r="R91" s="2484"/>
      <c r="S91" s="2484"/>
      <c r="T91" s="2484"/>
      <c r="U91" s="2484"/>
      <c r="V91" s="2484"/>
      <c r="W91" s="2484"/>
      <c r="X91" s="2484"/>
      <c r="Y91" s="2484"/>
      <c r="Z91" s="2484"/>
      <c r="AA91" s="2484"/>
      <c r="AB91" s="2484"/>
      <c r="AC91" s="2484"/>
      <c r="AD91" s="2484"/>
    </row>
    <row r="92" spans="1:30" ht="15.75" thickBot="1">
      <c r="A92" s="365"/>
      <c r="B92" s="472"/>
      <c r="C92" s="489"/>
      <c r="D92" s="465"/>
      <c r="E92" s="465"/>
      <c r="F92" s="465"/>
      <c r="G92" s="489"/>
      <c r="H92" s="491"/>
      <c r="I92" s="491"/>
      <c r="J92" s="491"/>
      <c r="K92" s="491"/>
      <c r="L92" s="491"/>
      <c r="M92" s="492"/>
      <c r="N92" s="2519"/>
      <c r="O92" s="2519"/>
      <c r="P92" s="2517"/>
      <c r="Q92" s="2505"/>
      <c r="R92" s="2484"/>
      <c r="S92" s="2484"/>
      <c r="T92" s="2484"/>
      <c r="U92" s="2484"/>
      <c r="V92" s="2484"/>
      <c r="W92" s="2484"/>
      <c r="X92" s="2484"/>
      <c r="Y92" s="2484"/>
      <c r="Z92" s="2484"/>
      <c r="AA92" s="2484"/>
      <c r="AB92" s="2484"/>
      <c r="AC92" s="2484"/>
      <c r="AD92" s="2484"/>
    </row>
    <row r="93" spans="1:30" ht="15" thickTop="1">
      <c r="A93" s="407"/>
      <c r="B93" s="467">
        <f>B33</f>
        <v>111</v>
      </c>
      <c r="C93" s="478"/>
      <c r="D93" s="478"/>
      <c r="E93" s="478"/>
      <c r="F93" s="478"/>
      <c r="G93" s="483"/>
      <c r="H93" s="484"/>
      <c r="I93" s="484"/>
      <c r="J93" s="484"/>
      <c r="K93" s="484"/>
      <c r="L93" s="485"/>
      <c r="M93" s="486"/>
      <c r="N93" s="2518"/>
      <c r="O93" s="2518"/>
      <c r="P93" s="2517"/>
      <c r="Q93" s="2505"/>
      <c r="R93" s="2484"/>
      <c r="S93" s="2484"/>
      <c r="T93" s="2484"/>
      <c r="U93" s="2484"/>
      <c r="V93" s="2484"/>
      <c r="W93" s="2484"/>
      <c r="X93" s="2484"/>
      <c r="Y93" s="2484"/>
      <c r="Z93" s="2484"/>
      <c r="AA93" s="2484"/>
      <c r="AB93" s="2484"/>
      <c r="AC93" s="2484"/>
      <c r="AD93" s="2484"/>
    </row>
    <row r="94" spans="1:30" ht="15.75" thickBot="1">
      <c r="A94" s="365"/>
      <c r="B94" s="472"/>
      <c r="C94" s="489"/>
      <c r="D94" s="465"/>
      <c r="E94" s="465"/>
      <c r="F94" s="465"/>
      <c r="G94" s="489"/>
      <c r="H94" s="491"/>
      <c r="I94" s="491"/>
      <c r="J94" s="491"/>
      <c r="K94" s="491"/>
      <c r="L94" s="491"/>
      <c r="M94" s="492"/>
      <c r="N94" s="2519"/>
      <c r="O94" s="2519"/>
      <c r="P94" s="2517"/>
      <c r="Q94" s="2505"/>
      <c r="R94" s="2484"/>
      <c r="S94" s="2484"/>
      <c r="T94" s="2484"/>
      <c r="U94" s="2484"/>
      <c r="V94" s="2484"/>
      <c r="W94" s="2484"/>
      <c r="X94" s="2484"/>
      <c r="Y94" s="2484"/>
      <c r="Z94" s="2484"/>
      <c r="AA94" s="2484"/>
      <c r="AB94" s="2484"/>
      <c r="AC94" s="2484"/>
      <c r="AD94" s="2484"/>
    </row>
    <row r="95" spans="1:30" ht="15" thickTop="1">
      <c r="A95" s="407"/>
      <c r="B95" s="558">
        <f>B34</f>
        <v>111</v>
      </c>
      <c r="C95" s="478"/>
      <c r="D95" s="478"/>
      <c r="E95" s="478"/>
      <c r="F95" s="478"/>
      <c r="G95" s="483"/>
      <c r="H95" s="484"/>
      <c r="I95" s="484"/>
      <c r="J95" s="484"/>
      <c r="K95" s="484"/>
      <c r="L95" s="485"/>
      <c r="M95" s="486"/>
      <c r="N95" s="2519"/>
      <c r="O95" s="2519"/>
      <c r="P95" s="2519"/>
      <c r="Q95" s="2533"/>
      <c r="R95" s="2484"/>
      <c r="S95" s="2484"/>
      <c r="T95" s="2484"/>
      <c r="U95" s="2484"/>
      <c r="V95" s="2484"/>
      <c r="W95" s="2484"/>
      <c r="X95" s="2484"/>
      <c r="Y95" s="2484"/>
      <c r="Z95" s="2484"/>
      <c r="AA95" s="2484"/>
      <c r="AB95" s="2484"/>
      <c r="AC95" s="2484"/>
      <c r="AD95" s="2484"/>
    </row>
    <row r="96" spans="1:30" ht="15.75" thickBot="1">
      <c r="A96" s="365"/>
      <c r="B96" s="472"/>
      <c r="C96" s="489"/>
      <c r="D96" s="489"/>
      <c r="E96" s="489"/>
      <c r="F96" s="489"/>
      <c r="G96" s="489"/>
      <c r="H96" s="491"/>
      <c r="I96" s="491"/>
      <c r="J96" s="491"/>
      <c r="K96" s="491"/>
      <c r="L96" s="491"/>
      <c r="M96" s="492"/>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78"/>
      <c r="B98" s="878"/>
      <c r="C98" s="878"/>
      <c r="D98" s="878"/>
      <c r="E98" s="878"/>
      <c r="F98" s="878"/>
      <c r="G98" s="878"/>
      <c r="H98" s="878"/>
      <c r="I98" s="878"/>
      <c r="J98" s="878"/>
      <c r="K98" s="879"/>
      <c r="L98" s="880"/>
      <c r="M98" s="878"/>
      <c r="N98" s="2484"/>
      <c r="O98" s="2484"/>
      <c r="P98" s="2484"/>
      <c r="Q98" s="2484"/>
      <c r="R98" s="2484"/>
      <c r="S98" s="2484"/>
      <c r="T98" s="2484"/>
      <c r="U98" s="2484"/>
      <c r="V98" s="2484"/>
      <c r="W98" s="2484"/>
      <c r="X98" s="2484"/>
      <c r="Y98" s="2484"/>
      <c r="Z98" s="2484"/>
      <c r="AA98" s="2484"/>
      <c r="AB98" s="2484"/>
      <c r="AC98" s="2484"/>
      <c r="AD98" s="2484"/>
    </row>
    <row r="99" spans="1:30">
      <c r="A99" s="878"/>
      <c r="B99" s="878"/>
      <c r="C99" s="878"/>
      <c r="D99" s="878"/>
      <c r="E99" s="878"/>
      <c r="F99" s="878"/>
      <c r="G99" s="878"/>
      <c r="H99" s="878"/>
      <c r="I99" s="878"/>
      <c r="J99" s="878"/>
      <c r="K99" s="879"/>
      <c r="L99" s="880"/>
      <c r="M99" s="878"/>
      <c r="N99" s="2484"/>
      <c r="O99" s="2484"/>
      <c r="P99" s="2484"/>
      <c r="Q99" s="2484"/>
      <c r="R99" s="2484"/>
      <c r="S99" s="2484"/>
      <c r="T99" s="2484"/>
      <c r="U99" s="2484"/>
      <c r="V99" s="2484"/>
      <c r="W99" s="2484"/>
      <c r="X99" s="2484"/>
      <c r="Y99" s="2484"/>
      <c r="Z99" s="2484"/>
      <c r="AA99" s="2484"/>
      <c r="AB99" s="2484"/>
      <c r="AC99" s="2484"/>
      <c r="AD99" s="2484"/>
    </row>
    <row r="100" spans="1:30">
      <c r="A100" s="878"/>
      <c r="B100" s="878"/>
      <c r="C100" s="878"/>
      <c r="D100" s="878"/>
      <c r="E100" s="878"/>
      <c r="F100" s="878"/>
      <c r="G100" s="878"/>
      <c r="H100" s="878"/>
      <c r="I100" s="878"/>
      <c r="J100" s="878"/>
      <c r="K100" s="879"/>
      <c r="L100" s="880"/>
      <c r="M100" s="878"/>
      <c r="N100" s="2484"/>
      <c r="O100" s="2484"/>
      <c r="P100" s="2484"/>
      <c r="Q100" s="2484"/>
      <c r="R100" s="2484"/>
      <c r="S100" s="2484"/>
      <c r="T100" s="2484"/>
      <c r="U100" s="2484"/>
      <c r="V100" s="2484"/>
      <c r="W100" s="2484"/>
      <c r="X100" s="2484"/>
      <c r="Y100" s="2484"/>
      <c r="Z100" s="2484"/>
      <c r="AA100" s="2484"/>
      <c r="AB100" s="2484"/>
      <c r="AC100" s="2484"/>
      <c r="AD100" s="2484"/>
    </row>
    <row r="101" spans="1:30">
      <c r="A101" s="878"/>
      <c r="B101" s="878"/>
      <c r="C101" s="878"/>
      <c r="D101" s="878"/>
      <c r="E101" s="878"/>
      <c r="F101" s="878"/>
      <c r="G101" s="878"/>
      <c r="H101" s="878"/>
      <c r="I101" s="878"/>
      <c r="J101" s="878"/>
      <c r="K101" s="879"/>
      <c r="L101" s="880"/>
      <c r="M101" s="878"/>
      <c r="N101" s="2484"/>
      <c r="O101" s="2484"/>
      <c r="P101" s="2484"/>
      <c r="Q101" s="2484"/>
      <c r="R101" s="2484"/>
      <c r="S101" s="2484"/>
      <c r="T101" s="2484"/>
      <c r="U101" s="2484"/>
      <c r="V101" s="2484"/>
      <c r="W101" s="2484"/>
      <c r="X101" s="2484"/>
      <c r="Y101" s="2484"/>
      <c r="Z101" s="2484"/>
      <c r="AA101" s="2484"/>
      <c r="AB101" s="2484"/>
      <c r="AC101" s="2484"/>
      <c r="AD101" s="2484"/>
    </row>
    <row r="102" spans="1:30">
      <c r="A102" s="878"/>
      <c r="B102" s="878"/>
      <c r="C102" s="878"/>
      <c r="D102" s="878"/>
      <c r="E102" s="878"/>
      <c r="F102" s="878"/>
      <c r="G102" s="878"/>
      <c r="H102" s="878"/>
      <c r="I102" s="878"/>
      <c r="J102" s="878"/>
      <c r="K102" s="879"/>
      <c r="L102" s="880"/>
      <c r="M102" s="878"/>
      <c r="N102" s="2484"/>
      <c r="O102" s="2484"/>
      <c r="P102" s="2484"/>
      <c r="Q102" s="2484"/>
      <c r="R102" s="2484"/>
      <c r="S102" s="2484"/>
      <c r="T102" s="2484"/>
      <c r="U102" s="2484"/>
      <c r="V102" s="2484"/>
      <c r="W102" s="2484"/>
      <c r="X102" s="2484"/>
      <c r="Y102" s="2484"/>
      <c r="Z102" s="2484"/>
      <c r="AA102" s="2484"/>
      <c r="AB102" s="2484"/>
      <c r="AC102" s="2484"/>
      <c r="AD102" s="2484"/>
    </row>
    <row r="103" spans="1:30">
      <c r="A103" s="878"/>
      <c r="B103" s="878"/>
      <c r="C103" s="878"/>
      <c r="D103" s="878"/>
      <c r="E103" s="878"/>
      <c r="F103" s="878"/>
      <c r="G103" s="878"/>
      <c r="H103" s="878"/>
      <c r="I103" s="878"/>
      <c r="J103" s="878"/>
      <c r="K103" s="879"/>
      <c r="L103" s="880"/>
      <c r="M103" s="878"/>
      <c r="N103" s="878"/>
      <c r="O103" s="878"/>
      <c r="P103" s="2484"/>
      <c r="Q103" s="2484"/>
      <c r="R103" s="2484"/>
      <c r="S103" s="2484"/>
      <c r="T103" s="2484"/>
      <c r="U103" s="2484"/>
      <c r="V103" s="2484"/>
      <c r="W103" s="2484"/>
      <c r="X103" s="2484"/>
      <c r="Y103" s="2484"/>
      <c r="Z103" s="2484"/>
      <c r="AA103" s="2484"/>
      <c r="AB103" s="2484"/>
      <c r="AC103" s="2484"/>
      <c r="AD103" s="2484"/>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1917</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1"/>
      <c r="D2" s="851"/>
      <c r="E2" s="851"/>
      <c r="F2" s="852"/>
      <c r="G2" s="851"/>
      <c r="H2" s="851"/>
      <c r="I2" s="851"/>
      <c r="J2" s="851"/>
      <c r="K2" s="853"/>
      <c r="L2" s="2500"/>
      <c r="M2" s="2501"/>
      <c r="N2" s="2501"/>
      <c r="O2" s="2501"/>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7"/>
      <c r="E3" s="851"/>
      <c r="F3" s="852"/>
      <c r="G3" s="851"/>
      <c r="H3" s="851"/>
      <c r="I3" s="851"/>
      <c r="J3" s="851"/>
      <c r="K3" s="853"/>
      <c r="L3" s="2500"/>
      <c r="M3" s="2501"/>
      <c r="N3" s="2501"/>
      <c r="O3" s="2501"/>
      <c r="P3" s="339"/>
      <c r="Q3" s="339"/>
      <c r="R3" s="339"/>
      <c r="S3" s="339"/>
      <c r="T3" s="339"/>
      <c r="U3" s="339"/>
      <c r="V3" s="339"/>
      <c r="W3" s="339"/>
      <c r="X3" s="339"/>
      <c r="Y3" s="339"/>
      <c r="Z3" s="339"/>
      <c r="AA3" s="339"/>
      <c r="AB3" s="674"/>
      <c r="AC3" s="661"/>
    </row>
    <row r="4" spans="1:29" ht="15">
      <c r="A4" s="343" t="s">
        <v>1769</v>
      </c>
      <c r="B4" s="344"/>
      <c r="C4" s="3378" t="s">
        <v>1770</v>
      </c>
      <c r="D4" s="3390"/>
      <c r="E4" s="3391" t="s">
        <v>1771</v>
      </c>
      <c r="F4" s="3392"/>
      <c r="G4" s="3378" t="s">
        <v>1772</v>
      </c>
      <c r="H4" s="3390"/>
      <c r="I4" s="3378" t="s">
        <v>1773</v>
      </c>
      <c r="J4" s="3390"/>
      <c r="K4" s="535" t="s">
        <v>1774</v>
      </c>
      <c r="L4" s="2483"/>
      <c r="M4" s="2484"/>
      <c r="N4" s="2484"/>
      <c r="O4" s="2484"/>
      <c r="P4" s="3393" t="s">
        <v>1775</v>
      </c>
      <c r="Q4" s="3394"/>
      <c r="R4" s="3399" t="s">
        <v>1771</v>
      </c>
      <c r="S4" s="3400"/>
      <c r="T4" s="3399" t="s">
        <v>1772</v>
      </c>
      <c r="U4" s="3400"/>
      <c r="V4" s="3386" t="s">
        <v>1773</v>
      </c>
      <c r="W4" s="3386"/>
      <c r="X4" s="1261"/>
      <c r="Y4" s="3399" t="s">
        <v>1775</v>
      </c>
      <c r="Z4" s="3400"/>
      <c r="AA4" s="3387" t="s">
        <v>1771</v>
      </c>
      <c r="AB4" s="3388" t="s">
        <v>1772</v>
      </c>
      <c r="AC4" s="3387" t="s">
        <v>1773</v>
      </c>
    </row>
    <row r="5" spans="1:29" ht="15">
      <c r="A5" s="346"/>
      <c r="B5" s="347"/>
      <c r="C5" s="3412" t="s">
        <v>1673</v>
      </c>
      <c r="D5" s="3408"/>
      <c r="E5" s="3452" t="s">
        <v>1674</v>
      </c>
      <c r="F5" s="3416"/>
      <c r="G5" s="3412" t="s">
        <v>1675</v>
      </c>
      <c r="H5" s="3408"/>
      <c r="I5" s="3412" t="s">
        <v>1676</v>
      </c>
      <c r="J5" s="3408"/>
      <c r="K5" s="535"/>
      <c r="L5" s="2483"/>
      <c r="M5" s="2484"/>
      <c r="N5" s="2484"/>
      <c r="O5" s="2484"/>
      <c r="P5" s="3395"/>
      <c r="Q5" s="3396"/>
      <c r="R5" s="3401"/>
      <c r="S5" s="3402"/>
      <c r="T5" s="3401"/>
      <c r="U5" s="3402"/>
      <c r="V5" s="3386"/>
      <c r="W5" s="3386"/>
      <c r="X5" s="1261"/>
      <c r="Y5" s="3401"/>
      <c r="Z5" s="3402"/>
      <c r="AA5" s="3388"/>
      <c r="AB5" s="3388"/>
      <c r="AC5" s="3388"/>
    </row>
    <row r="6" spans="1:29" ht="15.75" thickBot="1">
      <c r="A6" s="348"/>
      <c r="B6" s="349"/>
      <c r="C6" s="3469" t="s">
        <v>1918</v>
      </c>
      <c r="D6" s="3470"/>
      <c r="E6" s="3471" t="s">
        <v>1918</v>
      </c>
      <c r="F6" s="3472"/>
      <c r="G6" s="3469" t="s">
        <v>1918</v>
      </c>
      <c r="H6" s="3470"/>
      <c r="I6" s="3469" t="s">
        <v>1918</v>
      </c>
      <c r="J6" s="3470"/>
      <c r="K6" s="535" t="s">
        <v>1678</v>
      </c>
      <c r="L6" s="2483"/>
      <c r="M6" s="2484"/>
      <c r="N6" s="2484"/>
      <c r="O6" s="2484"/>
      <c r="P6" s="3397"/>
      <c r="Q6" s="3398"/>
      <c r="R6" s="3401"/>
      <c r="S6" s="3402"/>
      <c r="T6" s="3403"/>
      <c r="U6" s="3404"/>
      <c r="V6" s="3386"/>
      <c r="W6" s="3386"/>
      <c r="X6" s="1261"/>
      <c r="Y6" s="3403"/>
      <c r="Z6" s="3404"/>
      <c r="AA6" s="3389"/>
      <c r="AB6" s="3389"/>
      <c r="AC6" s="3389"/>
    </row>
    <row r="7" spans="1:29" s="100" customFormat="1" ht="15.75" thickBot="1">
      <c r="A7" s="350" t="s">
        <v>1679</v>
      </c>
      <c r="B7" s="351"/>
      <c r="C7" s="352">
        <f>'数据-取费表'!B2</f>
        <v>45924</v>
      </c>
      <c r="D7" s="353">
        <v>100</v>
      </c>
      <c r="E7" s="354"/>
      <c r="F7" s="355">
        <f>SUMIF(65:65,YEAR(E7)&amp;"-"&amp;INT((MONTH(E7)+2)/3),66:66)</f>
        <v>0</v>
      </c>
      <c r="G7" s="1818"/>
      <c r="H7" s="353">
        <f>SUMIF(65:65,YEAR(G7)&amp;"-"&amp;INT((MONTH(G7)+2)/3),66:66)</f>
        <v>0</v>
      </c>
      <c r="I7" s="1818"/>
      <c r="J7" s="353">
        <f>SUMIF(65:65,YEAR(I7)&amp;"-"&amp;INT((MONTH(I7)+2)/3),66:66)</f>
        <v>0</v>
      </c>
      <c r="K7" s="38"/>
      <c r="L7" s="2485"/>
      <c r="M7" s="2436"/>
      <c r="N7" s="2436"/>
      <c r="O7" s="2436"/>
      <c r="P7" s="3409" t="s">
        <v>1680</v>
      </c>
      <c r="Q7" s="3411"/>
      <c r="R7" s="662" t="s">
        <v>14</v>
      </c>
      <c r="S7" s="663">
        <f t="shared" ref="S7:S15" si="0">F7</f>
        <v>0</v>
      </c>
      <c r="T7" s="662" t="s">
        <v>14</v>
      </c>
      <c r="U7" s="663">
        <f t="shared" ref="U7:U15" si="1">H7</f>
        <v>0</v>
      </c>
      <c r="V7" s="662" t="s">
        <v>14</v>
      </c>
      <c r="W7" s="663">
        <f t="shared" ref="W7:W15" si="2">J7</f>
        <v>0</v>
      </c>
      <c r="X7" s="664"/>
      <c r="Y7" s="3409" t="s">
        <v>1680</v>
      </c>
      <c r="Z7" s="3410"/>
      <c r="AA7" s="50" t="e">
        <f>D7/F7</f>
        <v>#DIV/0!</v>
      </c>
      <c r="AB7" s="50" t="e">
        <f>D7/H7</f>
        <v>#DIV/0!</v>
      </c>
      <c r="AC7" s="50" t="e">
        <f>D7/J7</f>
        <v>#DIV/0!</v>
      </c>
    </row>
    <row r="8" spans="1:29" s="100"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5"/>
      <c r="M8" s="2436"/>
      <c r="N8" s="2436"/>
      <c r="O8" s="2436"/>
      <c r="P8" s="3409" t="s">
        <v>1683</v>
      </c>
      <c r="Q8" s="3410"/>
      <c r="R8" s="662" t="s">
        <v>14</v>
      </c>
      <c r="S8" s="663">
        <f t="shared" si="0"/>
        <v>0</v>
      </c>
      <c r="T8" s="662" t="s">
        <v>14</v>
      </c>
      <c r="U8" s="663">
        <f t="shared" si="1"/>
        <v>0</v>
      </c>
      <c r="V8" s="662" t="s">
        <v>14</v>
      </c>
      <c r="W8" s="663">
        <f t="shared" si="2"/>
        <v>0</v>
      </c>
      <c r="X8" s="664"/>
      <c r="Y8" s="3409" t="s">
        <v>1683</v>
      </c>
      <c r="Z8" s="3410"/>
      <c r="AA8" s="50" t="e">
        <f t="shared" ref="AA8:AA40" si="3">D8/F8</f>
        <v>#DIV/0!</v>
      </c>
      <c r="AB8" s="50" t="e">
        <f t="shared" ref="AB8:AB40" si="4">D8/H8</f>
        <v>#DIV/0!</v>
      </c>
      <c r="AC8" s="50" t="e">
        <f t="shared" ref="AC8:AC40" si="5">D8/J8</f>
        <v>#DIV/0!</v>
      </c>
    </row>
    <row r="9" spans="1:29" s="100" customFormat="1">
      <c r="A9" s="357"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5"/>
      <c r="M9" s="2436"/>
      <c r="N9" s="2436"/>
      <c r="O9" s="2537"/>
      <c r="P9" s="3381" t="s">
        <v>1686</v>
      </c>
      <c r="Q9" s="528"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100</v>
      </c>
      <c r="G10" s="369"/>
      <c r="H10" s="117">
        <f>ROUND(100/'数据-取费表'!G16,0)</f>
        <v>100</v>
      </c>
      <c r="I10" s="369"/>
      <c r="J10" s="117">
        <f>ROUND(100/'数据-取费表'!G16,0)</f>
        <v>100</v>
      </c>
      <c r="K10" s="590"/>
      <c r="L10" s="2486"/>
      <c r="M10" s="2487"/>
      <c r="N10" s="2487"/>
      <c r="O10" s="2538"/>
      <c r="P10" s="3381"/>
      <c r="Q10" s="528"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8"/>
      <c r="M11" s="2484"/>
      <c r="N11" s="2484"/>
      <c r="O11" s="2539"/>
      <c r="P11" s="3381"/>
      <c r="Q11" s="528" t="str">
        <f t="shared" si="6"/>
        <v>容积率</v>
      </c>
      <c r="R11" s="662" t="s">
        <v>14</v>
      </c>
      <c r="S11" s="663" t="e">
        <f t="shared" si="0"/>
        <v>#N/A</v>
      </c>
      <c r="T11" s="662" t="s">
        <v>14</v>
      </c>
      <c r="U11" s="663" t="e">
        <f t="shared" si="1"/>
        <v>#N/A</v>
      </c>
      <c r="V11" s="662" t="s">
        <v>14</v>
      </c>
      <c r="W11" s="663" t="e">
        <f t="shared" si="2"/>
        <v>#N/A</v>
      </c>
      <c r="X11" s="664"/>
      <c r="Y11" s="3278"/>
      <c r="Z11" s="50" t="str">
        <f t="shared" si="7"/>
        <v>容积率</v>
      </c>
      <c r="AA11" s="50" t="e">
        <f t="shared" si="3"/>
        <v>#N/A</v>
      </c>
      <c r="AB11" s="50" t="e">
        <f t="shared" si="4"/>
        <v>#N/A</v>
      </c>
      <c r="AC11" s="50" t="e">
        <f t="shared" si="5"/>
        <v>#N/A</v>
      </c>
    </row>
    <row r="12" spans="1:29" s="100"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5"/>
      <c r="M12" s="2436"/>
      <c r="N12" s="2436"/>
      <c r="O12" s="2537"/>
      <c r="P12" s="3381"/>
      <c r="Q12" s="528">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9"/>
      <c r="M13" s="2484"/>
      <c r="N13" s="2484"/>
      <c r="O13" s="2539"/>
      <c r="P13" s="3381"/>
      <c r="Q13" s="528">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75"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9"/>
      <c r="M14" s="2484"/>
      <c r="N14" s="2484"/>
      <c r="O14" s="2539"/>
      <c r="P14" s="3381"/>
      <c r="Q14" s="528">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7" t="s">
        <v>1690</v>
      </c>
      <c r="B15" s="552" t="s">
        <v>1919</v>
      </c>
      <c r="C15" s="1815">
        <f>估价对象房地状况!G15</f>
        <v>0</v>
      </c>
      <c r="D15" s="378">
        <v>100</v>
      </c>
      <c r="E15" s="379"/>
      <c r="F15" s="378">
        <f>SUMIF(83:83,E16,84:84)-SUMIF(83:83,C16,84:84)+100</f>
        <v>100</v>
      </c>
      <c r="G15" s="379"/>
      <c r="H15" s="378">
        <f>SUMIF(83:83,G16,84:84)-SUMIF(83:83,C16,84:84)+100</f>
        <v>100</v>
      </c>
      <c r="I15" s="381"/>
      <c r="J15" s="378">
        <f>SUMIF(83:83,I16,84:84)-SUMIF(83:83,C16,84:84)+100</f>
        <v>100</v>
      </c>
      <c r="K15" s="591"/>
      <c r="L15" s="2489"/>
      <c r="M15" s="2484"/>
      <c r="N15" s="2484"/>
      <c r="O15" s="2539"/>
      <c r="P15" s="3382" t="s">
        <v>1691</v>
      </c>
      <c r="Q15" s="1259" t="str">
        <f t="shared" si="6"/>
        <v>产业集聚程度</v>
      </c>
      <c r="R15" s="665" t="s">
        <v>14</v>
      </c>
      <c r="S15" s="666">
        <f t="shared" si="0"/>
        <v>100</v>
      </c>
      <c r="T15" s="665" t="s">
        <v>14</v>
      </c>
      <c r="U15" s="666">
        <f t="shared" si="1"/>
        <v>100</v>
      </c>
      <c r="V15" s="665" t="s">
        <v>14</v>
      </c>
      <c r="W15" s="666">
        <f t="shared" si="2"/>
        <v>100</v>
      </c>
      <c r="X15" s="1261"/>
      <c r="Y15" s="3382" t="s">
        <v>1691</v>
      </c>
      <c r="Z15" s="1260" t="str">
        <f t="shared" si="7"/>
        <v>产业集聚程度</v>
      </c>
      <c r="AA15" s="1260">
        <f t="shared" si="3"/>
        <v>1</v>
      </c>
      <c r="AB15" s="1260">
        <f t="shared" si="4"/>
        <v>1</v>
      </c>
      <c r="AC15" s="1260">
        <f t="shared" si="5"/>
        <v>1</v>
      </c>
    </row>
    <row r="16" spans="1:29" ht="15">
      <c r="A16" s="365"/>
      <c r="B16" s="553"/>
      <c r="C16" s="384"/>
      <c r="D16" s="385"/>
      <c r="E16" s="1754"/>
      <c r="F16" s="385"/>
      <c r="G16" s="1754"/>
      <c r="H16" s="387"/>
      <c r="I16" s="1754"/>
      <c r="J16" s="385"/>
      <c r="K16" s="590"/>
      <c r="L16" s="2489"/>
      <c r="M16" s="2484"/>
      <c r="N16" s="2484"/>
      <c r="O16" s="2539"/>
      <c r="P16" s="3383"/>
      <c r="Q16" s="1259"/>
      <c r="R16" s="665"/>
      <c r="S16" s="666"/>
      <c r="T16" s="665"/>
      <c r="U16" s="666"/>
      <c r="V16" s="665"/>
      <c r="W16" s="666"/>
      <c r="X16" s="1261"/>
      <c r="Y16" s="3383"/>
      <c r="Z16" s="1260"/>
      <c r="AA16" s="1260">
        <v>1</v>
      </c>
      <c r="AB16" s="1260">
        <v>1</v>
      </c>
      <c r="AC16" s="1260">
        <v>1</v>
      </c>
    </row>
    <row r="17" spans="1:29" ht="15">
      <c r="A17" s="365"/>
      <c r="B17" s="554" t="s">
        <v>1833</v>
      </c>
      <c r="C17" s="1750">
        <f>估价对象房地状况!G16</f>
        <v>0</v>
      </c>
      <c r="D17" s="387">
        <v>100</v>
      </c>
      <c r="E17" s="389"/>
      <c r="F17" s="392">
        <f>SUMIF(85:85,E18,86:86)-SUMIF(85:85,C18,86:86)+100</f>
        <v>100</v>
      </c>
      <c r="G17" s="389"/>
      <c r="H17" s="392">
        <f>SUMIF(85:85,G18,86:86)-SUMIF(85:85,C18,86:86)+100</f>
        <v>100</v>
      </c>
      <c r="I17" s="391"/>
      <c r="J17" s="387">
        <f>SUMIF(85:85,I18,86:86)-SUMIF(85:85,C18,86:86)+100</f>
        <v>100</v>
      </c>
      <c r="K17" s="591"/>
      <c r="L17" s="2489"/>
      <c r="M17" s="2484"/>
      <c r="N17" s="2484"/>
      <c r="O17" s="2539"/>
      <c r="P17" s="3383"/>
      <c r="Q17" s="1259" t="str">
        <f>B17</f>
        <v>交通便捷度</v>
      </c>
      <c r="R17" s="665" t="s">
        <v>14</v>
      </c>
      <c r="S17" s="666">
        <f>F17</f>
        <v>100</v>
      </c>
      <c r="T17" s="665" t="s">
        <v>14</v>
      </c>
      <c r="U17" s="666">
        <f>H17</f>
        <v>100</v>
      </c>
      <c r="V17" s="665" t="s">
        <v>14</v>
      </c>
      <c r="W17" s="666">
        <f>J17</f>
        <v>100</v>
      </c>
      <c r="X17" s="1261"/>
      <c r="Y17" s="3383"/>
      <c r="Z17" s="1260" t="str">
        <f>Q17</f>
        <v>交通便捷度</v>
      </c>
      <c r="AA17" s="1260">
        <f t="shared" si="3"/>
        <v>1</v>
      </c>
      <c r="AB17" s="1260">
        <f t="shared" si="4"/>
        <v>1</v>
      </c>
      <c r="AC17" s="1260">
        <f t="shared" si="5"/>
        <v>1</v>
      </c>
    </row>
    <row r="18" spans="1:29" ht="15">
      <c r="A18" s="365"/>
      <c r="B18" s="399"/>
      <c r="C18" s="384"/>
      <c r="D18" s="385"/>
      <c r="E18" s="1748"/>
      <c r="F18" s="385"/>
      <c r="G18" s="1748"/>
      <c r="H18" s="385"/>
      <c r="I18" s="1747"/>
      <c r="J18" s="385"/>
      <c r="K18" s="590"/>
      <c r="L18" s="2489"/>
      <c r="M18" s="2484"/>
      <c r="N18" s="2484"/>
      <c r="O18" s="2539"/>
      <c r="P18" s="3383"/>
      <c r="Q18" s="1259"/>
      <c r="R18" s="665"/>
      <c r="S18" s="666"/>
      <c r="T18" s="665"/>
      <c r="U18" s="666"/>
      <c r="V18" s="665"/>
      <c r="W18" s="666"/>
      <c r="X18" s="1261"/>
      <c r="Y18" s="3383"/>
      <c r="Z18" s="1260"/>
      <c r="AA18" s="1260">
        <v>1</v>
      </c>
      <c r="AB18" s="1260">
        <v>1</v>
      </c>
      <c r="AC18" s="1260">
        <v>1</v>
      </c>
    </row>
    <row r="19" spans="1:29" ht="15">
      <c r="A19" s="365"/>
      <c r="B19" s="554" t="s">
        <v>1870</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9"/>
      <c r="M19" s="2484"/>
      <c r="N19" s="2484"/>
      <c r="O19" s="2539"/>
      <c r="P19" s="3383"/>
      <c r="Q19" s="1259" t="str">
        <f t="shared" ref="Q19:Q33" si="8">B19</f>
        <v>区域土地利用方向</v>
      </c>
      <c r="R19" s="665" t="s">
        <v>14</v>
      </c>
      <c r="S19" s="666">
        <f>F19</f>
        <v>100</v>
      </c>
      <c r="T19" s="665" t="s">
        <v>14</v>
      </c>
      <c r="U19" s="666">
        <f>H19</f>
        <v>100</v>
      </c>
      <c r="V19" s="665" t="s">
        <v>14</v>
      </c>
      <c r="W19" s="666">
        <f>J19</f>
        <v>100</v>
      </c>
      <c r="X19" s="1261"/>
      <c r="Y19" s="3383"/>
      <c r="Z19" s="1260" t="str">
        <f>Q19</f>
        <v>区域土地利用方向</v>
      </c>
      <c r="AA19" s="1260">
        <f t="shared" si="3"/>
        <v>1</v>
      </c>
      <c r="AB19" s="1260">
        <f t="shared" si="4"/>
        <v>1</v>
      </c>
      <c r="AC19" s="1260">
        <f t="shared" si="5"/>
        <v>1</v>
      </c>
    </row>
    <row r="20" spans="1:29" ht="15">
      <c r="A20" s="346"/>
      <c r="B20" s="399"/>
      <c r="C20" s="384"/>
      <c r="D20" s="385"/>
      <c r="E20" s="1748"/>
      <c r="F20" s="385"/>
      <c r="G20" s="1748"/>
      <c r="H20" s="385"/>
      <c r="I20" s="1748"/>
      <c r="J20" s="385"/>
      <c r="K20" s="694"/>
      <c r="L20" s="2489"/>
      <c r="M20" s="2484"/>
      <c r="N20" s="2484"/>
      <c r="O20" s="2539"/>
      <c r="P20" s="3383"/>
      <c r="Q20" s="1259"/>
      <c r="R20" s="665"/>
      <c r="S20" s="666"/>
      <c r="T20" s="665"/>
      <c r="U20" s="666"/>
      <c r="V20" s="665"/>
      <c r="W20" s="666"/>
      <c r="X20" s="1261"/>
      <c r="Y20" s="3383"/>
      <c r="Z20" s="1260"/>
      <c r="AA20" s="1260"/>
      <c r="AB20" s="1260"/>
      <c r="AC20" s="1260"/>
    </row>
    <row r="21" spans="1:29" ht="15">
      <c r="A21" s="346"/>
      <c r="B21" s="554" t="s">
        <v>1920</v>
      </c>
      <c r="C21" s="1750">
        <f>估价对象房地状况!G18</f>
        <v>0</v>
      </c>
      <c r="D21" s="387">
        <v>100</v>
      </c>
      <c r="E21" s="389"/>
      <c r="F21" s="387">
        <f>SUMIF(89:89,E22,90:90)-SUMIF(89:89,C22,90:90)+100</f>
        <v>100</v>
      </c>
      <c r="G21" s="389"/>
      <c r="H21" s="387">
        <f>SUMIF(89:89,G22,90:90)-SUMIF(89:89,C22,90:90)+100</f>
        <v>100</v>
      </c>
      <c r="I21" s="391"/>
      <c r="J21" s="387">
        <f>SUMIF(89:89,I22,90:90)-SUMIF(89:89,C22,90:90)+100</f>
        <v>100</v>
      </c>
      <c r="K21" s="591"/>
      <c r="L21" s="2489"/>
      <c r="M21" s="2484"/>
      <c r="N21" s="2484"/>
      <c r="O21" s="2539"/>
      <c r="P21" s="3383"/>
      <c r="Q21" s="1259" t="str">
        <f t="shared" si="8"/>
        <v>环境状况</v>
      </c>
      <c r="R21" s="665" t="s">
        <v>14</v>
      </c>
      <c r="S21" s="666">
        <f>F21</f>
        <v>100</v>
      </c>
      <c r="T21" s="665" t="s">
        <v>14</v>
      </c>
      <c r="U21" s="666">
        <f>H21</f>
        <v>100</v>
      </c>
      <c r="V21" s="665" t="s">
        <v>14</v>
      </c>
      <c r="W21" s="666">
        <f>J21</f>
        <v>100</v>
      </c>
      <c r="X21" s="1261"/>
      <c r="Y21" s="3383"/>
      <c r="Z21" s="1260" t="str">
        <f>Q21</f>
        <v>环境状况</v>
      </c>
      <c r="AA21" s="1260">
        <f t="shared" si="3"/>
        <v>1</v>
      </c>
      <c r="AB21" s="1260">
        <f t="shared" si="4"/>
        <v>1</v>
      </c>
      <c r="AC21" s="1260">
        <f t="shared" si="5"/>
        <v>1</v>
      </c>
    </row>
    <row r="22" spans="1:29" ht="15">
      <c r="A22" s="346"/>
      <c r="B22" s="399"/>
      <c r="C22" s="384"/>
      <c r="D22" s="385"/>
      <c r="E22" s="1754"/>
      <c r="F22" s="385"/>
      <c r="G22" s="1754"/>
      <c r="H22" s="385"/>
      <c r="I22" s="384"/>
      <c r="J22" s="385"/>
      <c r="K22" s="590"/>
      <c r="L22" s="2489"/>
      <c r="M22" s="2484"/>
      <c r="N22" s="2484"/>
      <c r="O22" s="2539"/>
      <c r="P22" s="3383"/>
      <c r="Q22" s="1259"/>
      <c r="R22" s="665"/>
      <c r="S22" s="666"/>
      <c r="T22" s="665"/>
      <c r="U22" s="666"/>
      <c r="V22" s="665"/>
      <c r="W22" s="666"/>
      <c r="X22" s="1261"/>
      <c r="Y22" s="3383"/>
      <c r="Z22" s="1260"/>
      <c r="AA22" s="1260">
        <v>1</v>
      </c>
      <c r="AB22" s="1260">
        <v>1</v>
      </c>
      <c r="AC22" s="1260">
        <v>1</v>
      </c>
    </row>
    <row r="23" spans="1:29" s="100" customFormat="1" ht="15">
      <c r="A23" s="441"/>
      <c r="B23" s="555" t="s">
        <v>1778</v>
      </c>
      <c r="C23" s="1750">
        <f>估价对象房地状况!G19</f>
        <v>0</v>
      </c>
      <c r="D23" s="387">
        <v>100</v>
      </c>
      <c r="E23" s="389"/>
      <c r="F23" s="387">
        <f>SUMIF(91:91,E24,92:92)-SUMIF(91:91,C24,92:92)+100</f>
        <v>100</v>
      </c>
      <c r="G23" s="389"/>
      <c r="H23" s="387">
        <f>SUMIF(91:91,G24,92:92)-SUMIF(91:91,C24,92:92)+100</f>
        <v>100</v>
      </c>
      <c r="I23" s="391"/>
      <c r="J23" s="387">
        <f>SUMIF(91:91,I24,92:92)-SUMIF(91:91,C24,92:92)+100</f>
        <v>100</v>
      </c>
      <c r="K23" s="591"/>
      <c r="L23" s="2485"/>
      <c r="M23" s="2436"/>
      <c r="N23" s="2436"/>
      <c r="O23" s="2537"/>
      <c r="P23" s="3383"/>
      <c r="Q23" s="528" t="str">
        <f t="shared" si="8"/>
        <v>公共配套设施</v>
      </c>
      <c r="R23" s="662" t="s">
        <v>14</v>
      </c>
      <c r="S23" s="663">
        <f>F23</f>
        <v>100</v>
      </c>
      <c r="T23" s="662" t="s">
        <v>14</v>
      </c>
      <c r="U23" s="663">
        <f>H23</f>
        <v>100</v>
      </c>
      <c r="V23" s="662" t="s">
        <v>14</v>
      </c>
      <c r="W23" s="663">
        <f>J23</f>
        <v>100</v>
      </c>
      <c r="X23" s="664"/>
      <c r="Y23" s="3383"/>
      <c r="Z23" s="50" t="str">
        <f>Q23</f>
        <v>公共配套设施</v>
      </c>
      <c r="AA23" s="1260">
        <f>D23/F23</f>
        <v>1</v>
      </c>
      <c r="AB23" s="1260">
        <f>D23/H23</f>
        <v>1</v>
      </c>
      <c r="AC23" s="1260">
        <f>D23/J23</f>
        <v>1</v>
      </c>
    </row>
    <row r="24" spans="1:29" s="100" customFormat="1" ht="15">
      <c r="A24" s="441"/>
      <c r="B24" s="399"/>
      <c r="C24" s="1822"/>
      <c r="D24" s="385"/>
      <c r="E24" s="1754"/>
      <c r="F24" s="385"/>
      <c r="G24" s="1754"/>
      <c r="H24" s="385"/>
      <c r="I24" s="384"/>
      <c r="J24" s="385"/>
      <c r="K24" s="590"/>
      <c r="L24" s="2485"/>
      <c r="M24" s="2436"/>
      <c r="N24" s="2436"/>
      <c r="O24" s="2537"/>
      <c r="P24" s="3383"/>
      <c r="Q24" s="528"/>
      <c r="R24" s="662"/>
      <c r="S24" s="663"/>
      <c r="T24" s="662"/>
      <c r="U24" s="663"/>
      <c r="V24" s="662"/>
      <c r="W24" s="663"/>
      <c r="X24" s="664"/>
      <c r="Y24" s="3383"/>
      <c r="Z24" s="50"/>
      <c r="AA24" s="50">
        <v>1</v>
      </c>
      <c r="AB24" s="50">
        <v>1</v>
      </c>
      <c r="AC24" s="50">
        <v>1</v>
      </c>
    </row>
    <row r="25" spans="1:29" s="100" customFormat="1" ht="15">
      <c r="A25" s="441"/>
      <c r="B25" s="555" t="s">
        <v>1779</v>
      </c>
      <c r="C25" s="1750">
        <f>估价对象房地状况!G20</f>
        <v>0</v>
      </c>
      <c r="D25" s="387">
        <v>100</v>
      </c>
      <c r="E25" s="389"/>
      <c r="F25" s="387">
        <f>SUMIF(93:93,E26,94:94)-SUMIF(93:93,C26,94:94)+100</f>
        <v>100</v>
      </c>
      <c r="G25" s="389"/>
      <c r="H25" s="387">
        <f>SUMIF(93:93,G26,94:94)-SUMIF(93:93,C26,94:94)+100</f>
        <v>100</v>
      </c>
      <c r="I25" s="391"/>
      <c r="J25" s="387">
        <f>SUMIF(93:93,I26,94:94)-SUMIF(93:93,C26,94:94)+100</f>
        <v>100</v>
      </c>
      <c r="K25" s="591"/>
      <c r="L25" s="2485"/>
      <c r="M25" s="2436"/>
      <c r="N25" s="2436"/>
      <c r="O25" s="2537"/>
      <c r="P25" s="3383"/>
      <c r="Q25" s="528" t="str">
        <f t="shared" ref="Q25" si="9">B25</f>
        <v>基础设施水平</v>
      </c>
      <c r="R25" s="662" t="s">
        <v>14</v>
      </c>
      <c r="S25" s="663">
        <f>F25</f>
        <v>100</v>
      </c>
      <c r="T25" s="662" t="s">
        <v>14</v>
      </c>
      <c r="U25" s="663">
        <f>H25</f>
        <v>100</v>
      </c>
      <c r="V25" s="662" t="s">
        <v>14</v>
      </c>
      <c r="W25" s="663">
        <f>J25</f>
        <v>100</v>
      </c>
      <c r="X25" s="664"/>
      <c r="Y25" s="3383"/>
      <c r="Z25" s="50" t="str">
        <f>Q25</f>
        <v>基础设施水平</v>
      </c>
      <c r="AA25" s="1260">
        <f>D25/F25</f>
        <v>1</v>
      </c>
      <c r="AB25" s="1260">
        <f>D25/H25</f>
        <v>1</v>
      </c>
      <c r="AC25" s="1260">
        <f>D25/J25</f>
        <v>1</v>
      </c>
    </row>
    <row r="26" spans="1:29" s="100" customFormat="1" ht="15">
      <c r="A26" s="441"/>
      <c r="B26" s="399"/>
      <c r="C26" s="1822"/>
      <c r="D26" s="385"/>
      <c r="E26" s="1823"/>
      <c r="F26" s="385"/>
      <c r="G26" s="1823"/>
      <c r="H26" s="385"/>
      <c r="I26" s="1823"/>
      <c r="J26" s="385"/>
      <c r="K26" s="590"/>
      <c r="L26" s="2485"/>
      <c r="M26" s="2436"/>
      <c r="N26" s="2436"/>
      <c r="O26" s="2537"/>
      <c r="P26" s="3383"/>
      <c r="Q26" s="528"/>
      <c r="R26" s="662"/>
      <c r="S26" s="663"/>
      <c r="T26" s="662"/>
      <c r="U26" s="663"/>
      <c r="V26" s="662"/>
      <c r="W26" s="663"/>
      <c r="X26" s="664"/>
      <c r="Y26" s="3383"/>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9"/>
      <c r="M27" s="2484"/>
      <c r="N27" s="2484"/>
      <c r="O27" s="2539"/>
      <c r="P27" s="3383"/>
      <c r="Q27" s="1259" t="str">
        <f t="shared" si="8"/>
        <v>临街状况</v>
      </c>
      <c r="R27" s="665" t="s">
        <v>14</v>
      </c>
      <c r="S27" s="666">
        <f t="shared" ref="S27:S40" si="10">F27</f>
        <v>100</v>
      </c>
      <c r="T27" s="665" t="s">
        <v>14</v>
      </c>
      <c r="U27" s="666">
        <f t="shared" ref="U27:U40" si="11">H27</f>
        <v>100</v>
      </c>
      <c r="V27" s="665" t="s">
        <v>14</v>
      </c>
      <c r="W27" s="666">
        <f t="shared" ref="W27:W40" si="12">J27</f>
        <v>100</v>
      </c>
      <c r="X27" s="1261"/>
      <c r="Y27" s="3383"/>
      <c r="Z27" s="1260" t="str">
        <f t="shared" ref="Z27:Z40" si="13">Q27</f>
        <v>临街状况</v>
      </c>
      <c r="AA27" s="1260">
        <f t="shared" si="3"/>
        <v>1</v>
      </c>
      <c r="AB27" s="1260">
        <f t="shared" si="4"/>
        <v>1</v>
      </c>
      <c r="AC27" s="1260">
        <f t="shared" si="5"/>
        <v>1</v>
      </c>
    </row>
    <row r="28" spans="1:29" ht="27">
      <c r="A28" s="365"/>
      <c r="B28" s="555" t="s">
        <v>1815</v>
      </c>
      <c r="C28" s="1834">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9"/>
      <c r="M28" s="2484"/>
      <c r="N28" s="2484"/>
      <c r="O28" s="2539"/>
      <c r="P28" s="3383"/>
      <c r="Q28" s="1259" t="str">
        <f t="shared" si="8"/>
        <v>毗邻道路的类型与等级</v>
      </c>
      <c r="R28" s="665" t="s">
        <v>14</v>
      </c>
      <c r="S28" s="666">
        <f t="shared" si="10"/>
        <v>100</v>
      </c>
      <c r="T28" s="665" t="s">
        <v>14</v>
      </c>
      <c r="U28" s="666">
        <f t="shared" si="11"/>
        <v>100</v>
      </c>
      <c r="V28" s="665" t="s">
        <v>14</v>
      </c>
      <c r="W28" s="666">
        <f t="shared" si="12"/>
        <v>100</v>
      </c>
      <c r="X28" s="1261"/>
      <c r="Y28" s="3383"/>
      <c r="Z28" s="1260" t="str">
        <f t="shared" si="13"/>
        <v>毗邻道路的类型与等级</v>
      </c>
      <c r="AA28" s="1260">
        <f t="shared" si="3"/>
        <v>1</v>
      </c>
      <c r="AB28" s="1260">
        <f t="shared" si="4"/>
        <v>1</v>
      </c>
      <c r="AC28" s="1260">
        <f t="shared" si="5"/>
        <v>1</v>
      </c>
    </row>
    <row r="29" spans="1:29" ht="15">
      <c r="A29" s="365"/>
      <c r="B29" s="399"/>
      <c r="C29" s="384"/>
      <c r="D29" s="385"/>
      <c r="E29" s="1754"/>
      <c r="F29" s="385"/>
      <c r="G29" s="1754"/>
      <c r="H29" s="385"/>
      <c r="I29" s="1754"/>
      <c r="J29" s="385"/>
      <c r="K29" s="537"/>
      <c r="L29" s="2489"/>
      <c r="M29" s="2484"/>
      <c r="N29" s="2484"/>
      <c r="O29" s="2539"/>
      <c r="P29" s="3383"/>
      <c r="Q29" s="1259"/>
      <c r="R29" s="665"/>
      <c r="S29" s="666"/>
      <c r="T29" s="665"/>
      <c r="U29" s="666"/>
      <c r="V29" s="665"/>
      <c r="W29" s="666"/>
      <c r="X29" s="1261"/>
      <c r="Y29" s="3383"/>
      <c r="Z29" s="1260"/>
      <c r="AA29" s="1260">
        <v>1</v>
      </c>
      <c r="AB29" s="1260">
        <v>1</v>
      </c>
      <c r="AC29" s="1260">
        <v>1</v>
      </c>
    </row>
    <row r="30" spans="1:29" ht="15">
      <c r="A30" s="365"/>
      <c r="B30" s="117" t="s">
        <v>1872</v>
      </c>
      <c r="C30" s="1065">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9"/>
      <c r="M30" s="2484"/>
      <c r="N30" s="2484"/>
      <c r="O30" s="2539"/>
      <c r="P30" s="3383"/>
      <c r="Q30" s="1259" t="str">
        <f t="shared" si="8"/>
        <v>土地级别</v>
      </c>
      <c r="R30" s="665" t="s">
        <v>14</v>
      </c>
      <c r="S30" s="666">
        <f t="shared" si="10"/>
        <v>100</v>
      </c>
      <c r="T30" s="665" t="s">
        <v>14</v>
      </c>
      <c r="U30" s="666">
        <f t="shared" si="11"/>
        <v>100</v>
      </c>
      <c r="V30" s="665" t="s">
        <v>14</v>
      </c>
      <c r="W30" s="666">
        <f t="shared" si="12"/>
        <v>100</v>
      </c>
      <c r="X30" s="1261"/>
      <c r="Y30" s="3383"/>
      <c r="Z30" s="1260" t="str">
        <f t="shared" si="13"/>
        <v>土地级别</v>
      </c>
      <c r="AA30" s="1260">
        <f t="shared" si="3"/>
        <v>1</v>
      </c>
      <c r="AB30" s="1260">
        <f t="shared" si="4"/>
        <v>1</v>
      </c>
      <c r="AC30" s="1260">
        <f t="shared" si="5"/>
        <v>1</v>
      </c>
    </row>
    <row r="31" spans="1:29" ht="15">
      <c r="A31" s="346"/>
      <c r="B31" s="1095">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9"/>
      <c r="M31" s="2484"/>
      <c r="N31" s="2484"/>
      <c r="O31" s="2539"/>
      <c r="P31" s="3383"/>
      <c r="Q31" s="1259">
        <f t="shared" si="8"/>
        <v>111</v>
      </c>
      <c r="R31" s="665" t="s">
        <v>14</v>
      </c>
      <c r="S31" s="666">
        <f t="shared" si="10"/>
        <v>100</v>
      </c>
      <c r="T31" s="665" t="s">
        <v>14</v>
      </c>
      <c r="U31" s="666">
        <f t="shared" si="11"/>
        <v>100</v>
      </c>
      <c r="V31" s="665" t="s">
        <v>14</v>
      </c>
      <c r="W31" s="666">
        <f t="shared" si="12"/>
        <v>100</v>
      </c>
      <c r="X31" s="1261"/>
      <c r="Y31" s="3383"/>
      <c r="Z31" s="1260">
        <f t="shared" si="13"/>
        <v>111</v>
      </c>
      <c r="AA31" s="1260">
        <f t="shared" si="3"/>
        <v>1</v>
      </c>
      <c r="AB31" s="1260">
        <f t="shared" si="4"/>
        <v>1</v>
      </c>
      <c r="AC31" s="1260">
        <f t="shared" si="5"/>
        <v>1</v>
      </c>
    </row>
    <row r="32" spans="1:29" ht="15">
      <c r="A32" s="593"/>
      <c r="B32" s="1835">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9"/>
      <c r="M32" s="2484"/>
      <c r="N32" s="2484"/>
      <c r="O32" s="2539"/>
      <c r="P32" s="3384" t="s">
        <v>1696</v>
      </c>
      <c r="Q32" s="1259">
        <f t="shared" si="8"/>
        <v>111</v>
      </c>
      <c r="R32" s="665" t="s">
        <v>14</v>
      </c>
      <c r="S32" s="666">
        <f t="shared" si="10"/>
        <v>100</v>
      </c>
      <c r="T32" s="665" t="s">
        <v>14</v>
      </c>
      <c r="U32" s="666">
        <f t="shared" si="11"/>
        <v>100</v>
      </c>
      <c r="V32" s="665" t="s">
        <v>14</v>
      </c>
      <c r="W32" s="666">
        <f t="shared" si="12"/>
        <v>100</v>
      </c>
      <c r="X32" s="1261"/>
      <c r="Y32" s="3385" t="s">
        <v>1696</v>
      </c>
      <c r="Z32" s="1260">
        <f t="shared" si="13"/>
        <v>111</v>
      </c>
      <c r="AA32" s="1260">
        <f t="shared" si="3"/>
        <v>1</v>
      </c>
      <c r="AB32" s="1260">
        <f t="shared" si="4"/>
        <v>1</v>
      </c>
      <c r="AC32" s="1260">
        <f t="shared" si="5"/>
        <v>1</v>
      </c>
    </row>
    <row r="33" spans="1:31" s="406" customFormat="1" ht="15.75" thickBot="1">
      <c r="A33" s="594"/>
      <c r="B33" s="1836">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8"/>
      <c r="M33" s="2490"/>
      <c r="N33" s="2490"/>
      <c r="O33" s="2540"/>
      <c r="P33" s="3385"/>
      <c r="Q33" s="1259">
        <f t="shared" si="8"/>
        <v>111</v>
      </c>
      <c r="R33" s="667" t="s">
        <v>14</v>
      </c>
      <c r="S33" s="668">
        <f t="shared" si="10"/>
        <v>100</v>
      </c>
      <c r="T33" s="667" t="s">
        <v>14</v>
      </c>
      <c r="U33" s="668">
        <f t="shared" si="11"/>
        <v>100</v>
      </c>
      <c r="V33" s="667" t="s">
        <v>14</v>
      </c>
      <c r="W33" s="668">
        <f t="shared" si="12"/>
        <v>100</v>
      </c>
      <c r="X33" s="669"/>
      <c r="Y33" s="3385"/>
      <c r="Z33" s="670">
        <f t="shared" si="13"/>
        <v>111</v>
      </c>
      <c r="AA33" s="1260">
        <f t="shared" si="3"/>
        <v>1</v>
      </c>
      <c r="AB33" s="1260">
        <f t="shared" si="4"/>
        <v>1</v>
      </c>
      <c r="AC33" s="1260">
        <f t="shared" si="5"/>
        <v>1</v>
      </c>
    </row>
    <row r="34" spans="1:31" ht="15">
      <c r="A34" s="377" t="s">
        <v>1694</v>
      </c>
      <c r="B34" s="393" t="s">
        <v>1873</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9"/>
      <c r="M34" s="2484"/>
      <c r="N34" s="2484"/>
      <c r="O34" s="2539"/>
      <c r="P34" s="3385"/>
      <c r="Q34" s="1259" t="str">
        <f>B34</f>
        <v>宗地面积</v>
      </c>
      <c r="R34" s="665" t="s">
        <v>14</v>
      </c>
      <c r="S34" s="666" t="e">
        <f t="shared" si="10"/>
        <v>#N/A</v>
      </c>
      <c r="T34" s="665" t="s">
        <v>14</v>
      </c>
      <c r="U34" s="666" t="e">
        <f t="shared" si="11"/>
        <v>#N/A</v>
      </c>
      <c r="V34" s="665" t="s">
        <v>14</v>
      </c>
      <c r="W34" s="666" t="e">
        <f t="shared" si="12"/>
        <v>#N/A</v>
      </c>
      <c r="X34" s="1261"/>
      <c r="Y34" s="3385"/>
      <c r="Z34" s="1260" t="str">
        <f t="shared" si="13"/>
        <v>宗地面积</v>
      </c>
      <c r="AA34" s="1260" t="e">
        <f t="shared" si="3"/>
        <v>#N/A</v>
      </c>
      <c r="AB34" s="1260" t="e">
        <f t="shared" si="4"/>
        <v>#N/A</v>
      </c>
      <c r="AC34" s="1260" t="e">
        <f t="shared" si="5"/>
        <v>#N/A</v>
      </c>
    </row>
    <row r="35" spans="1:31" ht="15">
      <c r="A35" s="407"/>
      <c r="B35" s="362" t="s">
        <v>1874</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9"/>
      <c r="M35" s="2484"/>
      <c r="N35" s="2484"/>
      <c r="O35" s="2539"/>
      <c r="P35" s="3385"/>
      <c r="Q35" s="1259" t="str">
        <f t="shared" ref="Q35:Q40" si="14">B35</f>
        <v>宗地形状</v>
      </c>
      <c r="R35" s="665" t="s">
        <v>14</v>
      </c>
      <c r="S35" s="666">
        <f t="shared" si="10"/>
        <v>100</v>
      </c>
      <c r="T35" s="665" t="s">
        <v>14</v>
      </c>
      <c r="U35" s="666">
        <f t="shared" si="11"/>
        <v>100</v>
      </c>
      <c r="V35" s="665" t="s">
        <v>14</v>
      </c>
      <c r="W35" s="666">
        <f t="shared" si="12"/>
        <v>100</v>
      </c>
      <c r="X35" s="1261"/>
      <c r="Y35" s="3385"/>
      <c r="Z35" s="1260" t="str">
        <f t="shared" si="13"/>
        <v>宗地形状</v>
      </c>
      <c r="AA35" s="1260">
        <f t="shared" si="3"/>
        <v>1</v>
      </c>
      <c r="AB35" s="1260">
        <f t="shared" si="4"/>
        <v>1</v>
      </c>
      <c r="AC35" s="1260">
        <f t="shared" si="5"/>
        <v>1</v>
      </c>
    </row>
    <row r="36" spans="1:31" s="100" customFormat="1" ht="15">
      <c r="A36" s="408"/>
      <c r="B36" s="362" t="s">
        <v>1876</v>
      </c>
      <c r="C36" s="1824"/>
      <c r="D36" s="117">
        <v>100</v>
      </c>
      <c r="E36" s="1824"/>
      <c r="F36" s="372">
        <f>SUMIF(112:112,E36,113:113)-SUMIF(112:112,C36,113:113)+100</f>
        <v>100</v>
      </c>
      <c r="G36" s="1824"/>
      <c r="H36" s="372">
        <f>SUMIF(112:112,G36,113:113)-SUMIF(112:112,C36,113:113)+100</f>
        <v>100</v>
      </c>
      <c r="I36" s="1824"/>
      <c r="J36" s="372">
        <f>SUMIF(112:112,I36,113:113)-SUMIF(112:112,C36,113:113)+100</f>
        <v>100</v>
      </c>
      <c r="K36" s="536"/>
      <c r="L36" s="2485"/>
      <c r="M36" s="2436"/>
      <c r="N36" s="2436"/>
      <c r="O36" s="2537"/>
      <c r="P36" s="3385"/>
      <c r="Q36" s="1259" t="str">
        <f t="shared" si="14"/>
        <v>宗地开发程度</v>
      </c>
      <c r="R36" s="662" t="s">
        <v>14</v>
      </c>
      <c r="S36" s="663">
        <f t="shared" si="10"/>
        <v>100</v>
      </c>
      <c r="T36" s="662" t="s">
        <v>14</v>
      </c>
      <c r="U36" s="663">
        <f t="shared" si="11"/>
        <v>100</v>
      </c>
      <c r="V36" s="662" t="s">
        <v>14</v>
      </c>
      <c r="W36" s="663">
        <f t="shared" si="12"/>
        <v>100</v>
      </c>
      <c r="X36" s="664"/>
      <c r="Y36" s="3385"/>
      <c r="Z36" s="50" t="str">
        <f t="shared" si="13"/>
        <v>宗地开发程度</v>
      </c>
      <c r="AA36" s="50">
        <f t="shared" si="3"/>
        <v>1</v>
      </c>
      <c r="AB36" s="50">
        <f t="shared" si="4"/>
        <v>1</v>
      </c>
      <c r="AC36" s="50">
        <f t="shared" si="5"/>
        <v>1</v>
      </c>
    </row>
    <row r="37" spans="1:31" ht="15">
      <c r="A37" s="407"/>
      <c r="B37" s="362" t="s">
        <v>1877</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9"/>
      <c r="M37" s="2484"/>
      <c r="N37" s="2484"/>
      <c r="O37" s="2539"/>
      <c r="P37" s="3385" t="s">
        <v>1696</v>
      </c>
      <c r="Q37" s="1259" t="str">
        <f t="shared" si="14"/>
        <v>工程地质条件</v>
      </c>
      <c r="R37" s="665" t="s">
        <v>14</v>
      </c>
      <c r="S37" s="666">
        <f t="shared" si="10"/>
        <v>100</v>
      </c>
      <c r="T37" s="665" t="s">
        <v>14</v>
      </c>
      <c r="U37" s="666">
        <f t="shared" si="11"/>
        <v>100</v>
      </c>
      <c r="V37" s="665" t="s">
        <v>14</v>
      </c>
      <c r="W37" s="666">
        <f t="shared" si="12"/>
        <v>100</v>
      </c>
      <c r="X37" s="1261"/>
      <c r="Y37" s="3385" t="s">
        <v>1696</v>
      </c>
      <c r="Z37" s="1260" t="str">
        <f t="shared" si="13"/>
        <v>工程地质条件</v>
      </c>
      <c r="AA37" s="1260">
        <f t="shared" si="3"/>
        <v>1</v>
      </c>
      <c r="AB37" s="1260">
        <f t="shared" si="4"/>
        <v>1</v>
      </c>
      <c r="AC37" s="1260">
        <f t="shared" si="5"/>
        <v>1</v>
      </c>
    </row>
    <row r="38" spans="1:31" ht="15">
      <c r="A38" s="407"/>
      <c r="B38" s="1063">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9"/>
      <c r="M38" s="2484"/>
      <c r="N38" s="2484"/>
      <c r="O38" s="2539"/>
      <c r="P38" s="3385"/>
      <c r="Q38" s="1259">
        <f t="shared" si="14"/>
        <v>111</v>
      </c>
      <c r="R38" s="665" t="s">
        <v>14</v>
      </c>
      <c r="S38" s="666">
        <f t="shared" si="10"/>
        <v>100</v>
      </c>
      <c r="T38" s="665" t="s">
        <v>14</v>
      </c>
      <c r="U38" s="666">
        <f t="shared" si="11"/>
        <v>100</v>
      </c>
      <c r="V38" s="665" t="s">
        <v>14</v>
      </c>
      <c r="W38" s="666">
        <f t="shared" si="12"/>
        <v>100</v>
      </c>
      <c r="X38" s="1261"/>
      <c r="Y38" s="3385"/>
      <c r="Z38" s="1260">
        <f t="shared" si="13"/>
        <v>111</v>
      </c>
      <c r="AA38" s="1260">
        <f t="shared" si="3"/>
        <v>1</v>
      </c>
      <c r="AB38" s="1260">
        <f t="shared" si="4"/>
        <v>1</v>
      </c>
      <c r="AC38" s="1260">
        <f t="shared" si="5"/>
        <v>1</v>
      </c>
    </row>
    <row r="39" spans="1:31" ht="15">
      <c r="A39" s="407"/>
      <c r="B39" s="1063">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9"/>
      <c r="M39" s="2484"/>
      <c r="N39" s="2484"/>
      <c r="O39" s="2539"/>
      <c r="P39" s="3385"/>
      <c r="Q39" s="1259">
        <f t="shared" si="14"/>
        <v>111</v>
      </c>
      <c r="R39" s="665" t="s">
        <v>14</v>
      </c>
      <c r="S39" s="666">
        <f t="shared" si="10"/>
        <v>100</v>
      </c>
      <c r="T39" s="665" t="s">
        <v>14</v>
      </c>
      <c r="U39" s="666">
        <f t="shared" si="11"/>
        <v>100</v>
      </c>
      <c r="V39" s="665" t="s">
        <v>14</v>
      </c>
      <c r="W39" s="666">
        <f t="shared" si="12"/>
        <v>100</v>
      </c>
      <c r="X39" s="1261"/>
      <c r="Y39" s="3385"/>
      <c r="Z39" s="1260">
        <f t="shared" si="13"/>
        <v>111</v>
      </c>
      <c r="AA39" s="1260">
        <f t="shared" si="3"/>
        <v>1</v>
      </c>
      <c r="AB39" s="1260">
        <f t="shared" si="4"/>
        <v>1</v>
      </c>
      <c r="AC39" s="1260">
        <f t="shared" si="5"/>
        <v>1</v>
      </c>
    </row>
    <row r="40" spans="1:31" s="406" customFormat="1" ht="15.75" thickBot="1">
      <c r="A40" s="404"/>
      <c r="B40" s="1063">
        <v>111</v>
      </c>
      <c r="C40" s="1825"/>
      <c r="D40" s="118">
        <v>100</v>
      </c>
      <c r="E40" s="592"/>
      <c r="F40" s="375">
        <f>SUMIF(120:120,E40,121:121)-SUMIF(120:120,C40,121:121)+100</f>
        <v>100</v>
      </c>
      <c r="G40" s="592"/>
      <c r="H40" s="375">
        <f>SUMIF(120:120,G40,121:121)-SUMIF(120:120,C40,121:121)+100</f>
        <v>100</v>
      </c>
      <c r="I40" s="478"/>
      <c r="J40" s="375">
        <f>SUMIF(120:120,I40,121:121)-SUMIF(120:120,C40,121:121)+100</f>
        <v>100</v>
      </c>
      <c r="K40" s="599"/>
      <c r="L40" s="2488"/>
      <c r="M40" s="2490"/>
      <c r="N40" s="2490"/>
      <c r="O40" s="2540"/>
      <c r="P40" s="3385"/>
      <c r="Q40" s="1259">
        <f t="shared" si="14"/>
        <v>111</v>
      </c>
      <c r="R40" s="667" t="s">
        <v>14</v>
      </c>
      <c r="S40" s="668">
        <f t="shared" si="10"/>
        <v>100</v>
      </c>
      <c r="T40" s="667" t="s">
        <v>14</v>
      </c>
      <c r="U40" s="668">
        <f t="shared" si="11"/>
        <v>100</v>
      </c>
      <c r="V40" s="667" t="s">
        <v>14</v>
      </c>
      <c r="W40" s="668">
        <f t="shared" si="12"/>
        <v>100</v>
      </c>
      <c r="X40" s="669"/>
      <c r="Y40" s="3385"/>
      <c r="Z40" s="670">
        <f t="shared" si="13"/>
        <v>111</v>
      </c>
      <c r="AA40" s="1260">
        <f t="shared" si="3"/>
        <v>1</v>
      </c>
      <c r="AB40" s="1260">
        <f t="shared" si="4"/>
        <v>1</v>
      </c>
      <c r="AC40" s="1260">
        <f t="shared" si="5"/>
        <v>1</v>
      </c>
    </row>
    <row r="41" spans="1:31" ht="15">
      <c r="A41" s="414" t="s">
        <v>1844</v>
      </c>
      <c r="B41" s="1826" t="s">
        <v>1921</v>
      </c>
      <c r="C41" s="600" t="s">
        <v>0</v>
      </c>
      <c r="D41" s="416"/>
      <c r="E41" s="417"/>
      <c r="F41" s="418"/>
      <c r="G41" s="419"/>
      <c r="H41" s="420"/>
      <c r="I41" s="417"/>
      <c r="J41" s="420"/>
      <c r="K41" s="672"/>
      <c r="L41" s="2491"/>
      <c r="M41" s="2484"/>
      <c r="N41" s="2484"/>
      <c r="O41" s="2484"/>
      <c r="P41" s="3381" t="str">
        <f>A41</f>
        <v>成交单价</v>
      </c>
      <c r="Q41" s="3381"/>
      <c r="R41" s="3386">
        <f>E41</f>
        <v>0</v>
      </c>
      <c r="S41" s="3386"/>
      <c r="T41" s="3386">
        <f>G41</f>
        <v>0</v>
      </c>
      <c r="U41" s="3386"/>
      <c r="V41" s="3386">
        <f>I41</f>
        <v>0</v>
      </c>
      <c r="W41" s="3386"/>
      <c r="X41" s="383"/>
      <c r="Y41" s="671"/>
      <c r="Z41" s="383"/>
      <c r="AA41" s="383"/>
      <c r="AB41" s="383"/>
      <c r="AC41" s="383"/>
    </row>
    <row r="42" spans="1:31" ht="15.75" thickBot="1">
      <c r="A42" s="421" t="s">
        <v>1793</v>
      </c>
      <c r="B42" s="601"/>
      <c r="C42" s="424" t="e">
        <f>R43</f>
        <v>#DIV/0!</v>
      </c>
      <c r="D42" s="2137" t="s">
        <v>2137</v>
      </c>
      <c r="E42" s="424" t="e">
        <f>R42</f>
        <v>#DIV/0!</v>
      </c>
      <c r="F42" s="2138"/>
      <c r="G42" s="423" t="e">
        <f>T42</f>
        <v>#DIV/0!</v>
      </c>
      <c r="H42" s="2138"/>
      <c r="I42" s="424" t="e">
        <f>V42</f>
        <v>#DIV/0!</v>
      </c>
      <c r="J42" s="2138"/>
      <c r="K42" s="2140">
        <f>F42+H42+J42</f>
        <v>0</v>
      </c>
      <c r="L42" s="2491"/>
      <c r="M42" s="2484"/>
      <c r="N42" s="2484"/>
      <c r="O42" s="2484"/>
      <c r="P42" s="3381" t="str">
        <f>A42</f>
        <v>比较价值（元/平方米）</v>
      </c>
      <c r="Q42" s="3381"/>
      <c r="R42" s="3374" t="e">
        <f>ROUND(PRODUCT(R41,AA7:AA40),0)</f>
        <v>#DIV/0!</v>
      </c>
      <c r="S42" s="3374"/>
      <c r="T42" s="3374" t="e">
        <f>ROUND(PRODUCT(T41,AB7:AB40),0)</f>
        <v>#DIV/0!</v>
      </c>
      <c r="U42" s="3374"/>
      <c r="V42" s="3374" t="e">
        <f>ROUND(PRODUCT(V41,AC7:AC40),0)</f>
        <v>#DIV/0!</v>
      </c>
      <c r="W42" s="3374"/>
      <c r="X42" s="383"/>
      <c r="Y42" s="383"/>
      <c r="Z42" s="383"/>
      <c r="AA42" s="383"/>
      <c r="AB42" s="383"/>
      <c r="AC42" s="383"/>
    </row>
    <row r="43" spans="1:31" ht="15.75" thickBot="1">
      <c r="A43" s="425" t="s">
        <v>1794</v>
      </c>
      <c r="B43" s="426"/>
      <c r="C43" s="427" t="e">
        <f>R43</f>
        <v>#DIV/0!</v>
      </c>
      <c r="D43" s="427"/>
      <c r="E43" s="427"/>
      <c r="F43" s="427"/>
      <c r="G43" s="427"/>
      <c r="H43" s="427"/>
      <c r="I43" s="427"/>
      <c r="J43" s="427"/>
      <c r="K43" s="673"/>
      <c r="L43" s="2491"/>
      <c r="M43" s="2484"/>
      <c r="N43" s="2484"/>
      <c r="O43" s="2484"/>
      <c r="P43" s="3375" t="str">
        <f>A43</f>
        <v>估价对象XX用房的比较价值（楼面单价，元/平方米）</v>
      </c>
      <c r="Q43" s="3376"/>
      <c r="R43" s="3377" t="e">
        <f>ROUND(IF(D42="简单平均",AVERAGE(R42:W42),R42*F42+T42*H42+V42*J42),0)</f>
        <v>#DIV/0!</v>
      </c>
      <c r="S43" s="3377"/>
      <c r="T43" s="3377"/>
      <c r="U43" s="3377"/>
      <c r="V43" s="3377"/>
      <c r="W43" s="3377"/>
      <c r="X43" s="383"/>
      <c r="Y43" s="383"/>
      <c r="Z43" s="383"/>
      <c r="AA43" s="383"/>
      <c r="AB43" s="383"/>
      <c r="AC43" s="383"/>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5" customFormat="1" ht="15" thickBot="1">
      <c r="A49" s="2494"/>
      <c r="B49" s="2497"/>
      <c r="C49" s="655"/>
      <c r="D49" s="653"/>
      <c r="E49" s="653"/>
      <c r="F49" s="653"/>
      <c r="G49" s="653"/>
      <c r="H49" s="653"/>
      <c r="I49" s="653"/>
      <c r="J49" s="653"/>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2" t="s">
        <v>1880</v>
      </c>
      <c r="B50" s="603" t="s">
        <v>1881</v>
      </c>
      <c r="C50" s="1827" t="s">
        <v>1882</v>
      </c>
      <c r="D50" s="1828" t="s">
        <v>1883</v>
      </c>
      <c r="E50" s="604" t="s">
        <v>1884</v>
      </c>
      <c r="F50" s="605" t="s">
        <v>1885</v>
      </c>
      <c r="G50" s="3378" t="s">
        <v>1886</v>
      </c>
      <c r="H50" s="3379"/>
      <c r="I50" s="1260" t="s">
        <v>1922</v>
      </c>
      <c r="J50" s="1260">
        <f>项目基本情况!F35</f>
        <v>0</v>
      </c>
      <c r="K50" s="1830" t="s">
        <v>1888</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0" customFormat="1">
      <c r="A51" s="606" t="s">
        <v>1889</v>
      </c>
      <c r="B51" s="607" t="e">
        <f>C43</f>
        <v>#DIV/0!</v>
      </c>
      <c r="C51" s="608">
        <v>1</v>
      </c>
      <c r="D51" s="886">
        <v>1</v>
      </c>
      <c r="E51" s="608">
        <f>'数据-汇总表'!E8+'数据-汇总表'!E9</f>
        <v>55618.469999999863</v>
      </c>
      <c r="F51" s="609" t="e">
        <f t="shared" ref="F51:F60" si="15">ROUND(B51*E51/10000,0)</f>
        <v>#DIV/0!</v>
      </c>
      <c r="G51" s="3380"/>
      <c r="H51" s="3381"/>
      <c r="I51" s="723">
        <v>1</v>
      </c>
      <c r="J51" s="723">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0" customFormat="1">
      <c r="A52" s="611" t="s">
        <v>1890</v>
      </c>
      <c r="B52" s="208" t="e">
        <f>ROUND($C$43*C52*D52,0)</f>
        <v>#DIV/0!</v>
      </c>
      <c r="C52" s="161">
        <f t="shared" ref="C52:C60" si="16">IF($C$50="北京市系数",I52,J52)</f>
        <v>0.5</v>
      </c>
      <c r="D52" s="887">
        <v>0.25</v>
      </c>
      <c r="E52" s="612"/>
      <c r="F52" s="609" t="e">
        <f t="shared" si="15"/>
        <v>#DIV/0!</v>
      </c>
      <c r="G52" s="2747" t="s">
        <v>1891</v>
      </c>
      <c r="H52" s="830" t="str">
        <f>项目基本情况!B37</f>
        <v>八级</v>
      </c>
      <c r="I52" s="723">
        <f>SUMIF(修正!A59:A70,H52,修正!B59:B70)</f>
        <v>0.5</v>
      </c>
      <c r="J52" s="724"/>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0" customFormat="1">
      <c r="A53" s="611" t="s">
        <v>1892</v>
      </c>
      <c r="B53" s="208" t="e">
        <f t="shared" ref="B53:B60" si="17">ROUND($C$43*C53*D53,0)</f>
        <v>#DIV/0!</v>
      </c>
      <c r="C53" s="161">
        <f t="shared" si="16"/>
        <v>0.2</v>
      </c>
      <c r="D53" s="887">
        <v>0.25</v>
      </c>
      <c r="E53" s="612"/>
      <c r="F53" s="609" t="e">
        <f t="shared" si="15"/>
        <v>#DIV/0!</v>
      </c>
      <c r="G53" s="2748"/>
      <c r="H53" s="830" t="str">
        <f>项目基本情况!B37</f>
        <v>八级</v>
      </c>
      <c r="I53" s="723">
        <f>SUMIF(修正!A59:A70,H53,修正!C59:C70)</f>
        <v>0.2</v>
      </c>
      <c r="J53" s="724"/>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0" customFormat="1">
      <c r="A54" s="611" t="s">
        <v>1893</v>
      </c>
      <c r="B54" s="208" t="e">
        <f t="shared" si="17"/>
        <v>#DIV/0!</v>
      </c>
      <c r="C54" s="161">
        <f t="shared" si="16"/>
        <v>0.2</v>
      </c>
      <c r="D54" s="887">
        <v>0.25</v>
      </c>
      <c r="E54" s="612"/>
      <c r="F54" s="609" t="e">
        <f t="shared" si="15"/>
        <v>#DIV/0!</v>
      </c>
      <c r="G54" s="2748"/>
      <c r="H54" s="830" t="str">
        <f>项目基本情况!B37</f>
        <v>八级</v>
      </c>
      <c r="I54" s="723">
        <f>SUMIF(修正!A59:A70,H54,修正!D59:D70)</f>
        <v>0.2</v>
      </c>
      <c r="J54" s="724"/>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0" customFormat="1" hidden="1">
      <c r="A55" s="611"/>
      <c r="B55" s="208"/>
      <c r="C55" s="161"/>
      <c r="D55" s="887"/>
      <c r="E55" s="612"/>
      <c r="F55" s="609"/>
      <c r="G55" s="2749"/>
      <c r="H55" s="830"/>
      <c r="I55" s="723"/>
      <c r="J55" s="724"/>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0" customFormat="1">
      <c r="A56" s="611" t="s">
        <v>1894</v>
      </c>
      <c r="B56" s="208" t="e">
        <f t="shared" si="17"/>
        <v>#DIV/0!</v>
      </c>
      <c r="C56" s="161">
        <f t="shared" si="16"/>
        <v>0</v>
      </c>
      <c r="D56" s="887">
        <v>0.25</v>
      </c>
      <c r="E56" s="207">
        <f>'数据-汇总表'!E11</f>
        <v>0</v>
      </c>
      <c r="F56" s="609" t="e">
        <f t="shared" si="15"/>
        <v>#DIV/0!</v>
      </c>
      <c r="G56" s="1831" t="s">
        <v>1895</v>
      </c>
      <c r="H56" s="830">
        <f>项目基本情况!C37</f>
        <v>0</v>
      </c>
      <c r="I56" s="723">
        <f>SUMIF(修正!A59:A70,H56,修正!E59:E70)</f>
        <v>0</v>
      </c>
      <c r="J56" s="724"/>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0" customFormat="1">
      <c r="A57" s="611" t="s">
        <v>1896</v>
      </c>
      <c r="B57" s="208" t="e">
        <f t="shared" si="17"/>
        <v>#DIV/0!</v>
      </c>
      <c r="C57" s="161">
        <f t="shared" si="16"/>
        <v>0</v>
      </c>
      <c r="D57" s="887">
        <v>0.25</v>
      </c>
      <c r="E57" s="207">
        <f>'数据-汇总表'!E12</f>
        <v>2565.2700000000004</v>
      </c>
      <c r="F57" s="609" t="e">
        <f t="shared" si="15"/>
        <v>#DIV/0!</v>
      </c>
      <c r="G57" s="835" t="s">
        <v>1897</v>
      </c>
      <c r="H57" s="830">
        <f>IF(G57="商业",项目基本情况!B37,IF(G57="办公",项目基本情况!C37,IF(G57="住宅",项目基本情况!D37,项目基本情况!E37)))</f>
        <v>0</v>
      </c>
      <c r="I57" s="723">
        <f>SUMIF(修正!A59:A70,H57,修正!F59:F70)</f>
        <v>0</v>
      </c>
      <c r="J57" s="724"/>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0" customFormat="1">
      <c r="A58" s="611" t="s">
        <v>1898</v>
      </c>
      <c r="B58" s="208" t="e">
        <f t="shared" si="17"/>
        <v>#DIV/0!</v>
      </c>
      <c r="C58" s="161">
        <f t="shared" si="16"/>
        <v>0.1</v>
      </c>
      <c r="D58" s="887">
        <v>0.25</v>
      </c>
      <c r="E58" s="207">
        <f>'数据-汇总表'!E13</f>
        <v>15647.569999999918</v>
      </c>
      <c r="F58" s="609" t="e">
        <f t="shared" si="15"/>
        <v>#DIV/0!</v>
      </c>
      <c r="G58" s="835" t="s">
        <v>1899</v>
      </c>
      <c r="H58" s="830" t="str">
        <f>IF(G58="商业",项目基本情况!B37,IF(G58="办公",项目基本情况!C37,IF(G58="住宅",项目基本情况!D37,项目基本情况!E37)))</f>
        <v>八级</v>
      </c>
      <c r="I58" s="723">
        <f>SUMIF(修正!A59:A70,H58,修正!G59:G70)</f>
        <v>0.1</v>
      </c>
      <c r="J58" s="724"/>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0" customFormat="1">
      <c r="A59" s="611" t="s">
        <v>1900</v>
      </c>
      <c r="B59" s="208" t="e">
        <f t="shared" si="17"/>
        <v>#DIV/0!</v>
      </c>
      <c r="C59" s="161">
        <f t="shared" si="16"/>
        <v>0.1</v>
      </c>
      <c r="D59" s="887">
        <v>0.25</v>
      </c>
      <c r="E59" s="207">
        <f>'数据-汇总表'!E14</f>
        <v>0</v>
      </c>
      <c r="F59" s="609" t="e">
        <f t="shared" si="15"/>
        <v>#DIV/0!</v>
      </c>
      <c r="G59" s="1831" t="s">
        <v>1891</v>
      </c>
      <c r="H59" s="830" t="str">
        <f>项目基本情况!B37</f>
        <v>八级</v>
      </c>
      <c r="I59" s="723">
        <f>SUMIF(修正!A59:A70,H59,修正!G59:G70)</f>
        <v>0.1</v>
      </c>
      <c r="J59" s="724"/>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0" customFormat="1" ht="15" thickBot="1">
      <c r="A60" s="611" t="s">
        <v>1901</v>
      </c>
      <c r="B60" s="208" t="e">
        <f t="shared" si="17"/>
        <v>#DIV/0!</v>
      </c>
      <c r="C60" s="161">
        <f t="shared" si="16"/>
        <v>0</v>
      </c>
      <c r="D60" s="887">
        <v>0.25</v>
      </c>
      <c r="E60" s="207">
        <f>'数据-汇总表'!E15</f>
        <v>0</v>
      </c>
      <c r="F60" s="609" t="e">
        <f t="shared" si="15"/>
        <v>#DIV/0!</v>
      </c>
      <c r="G60" s="1832" t="s">
        <v>1895</v>
      </c>
      <c r="H60" s="840">
        <f>项目基本情况!C37</f>
        <v>0</v>
      </c>
      <c r="I60" s="723">
        <f>SUMIF(修正!A59:A70,H60,修正!G59:G70)</f>
        <v>0</v>
      </c>
      <c r="J60" s="724"/>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0" customFormat="1" ht="15" thickBot="1">
      <c r="A61" s="613" t="s">
        <v>1902</v>
      </c>
      <c r="B61" s="614" t="s">
        <v>22</v>
      </c>
      <c r="C61" s="614" t="s">
        <v>23</v>
      </c>
      <c r="D61" s="614" t="s">
        <v>392</v>
      </c>
      <c r="E61" s="614">
        <f>IF(B41="楼面地价",SUM(E51:E60),'数据-汇总表'!D3)</f>
        <v>25963.4</v>
      </c>
      <c r="F61" s="615" t="e">
        <f>IF(B41="楼面地价",SUM(F51:F60),ROUND(C43*E61/10000,0))</f>
        <v>#DIV/0!</v>
      </c>
      <c r="G61" s="881"/>
      <c r="H61" s="881"/>
      <c r="I61" s="881"/>
      <c r="J61" s="881"/>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7"/>
      <c r="B62" s="871"/>
      <c r="C62" s="873"/>
      <c r="D62" s="857"/>
      <c r="E62" s="857"/>
      <c r="F62" s="857"/>
      <c r="G62" s="857"/>
      <c r="H62" s="857"/>
      <c r="I62" s="857"/>
      <c r="J62" s="857"/>
      <c r="K62" s="831"/>
      <c r="L62" s="832"/>
      <c r="M62" s="857"/>
      <c r="N62" s="857"/>
      <c r="O62" s="857"/>
      <c r="P62" s="2484"/>
      <c r="Q62" s="2484"/>
      <c r="R62" s="2484"/>
      <c r="S62" s="2484"/>
      <c r="T62" s="2484"/>
      <c r="U62" s="2484"/>
      <c r="V62" s="2484"/>
      <c r="W62" s="2484"/>
      <c r="X62" s="2484"/>
      <c r="Y62" s="2484"/>
      <c r="Z62" s="2484"/>
      <c r="AA62" s="2484"/>
      <c r="AB62" s="2484"/>
      <c r="AC62" s="2484"/>
      <c r="AD62" s="2484"/>
      <c r="AE62" s="2484"/>
    </row>
    <row r="63" spans="1:31">
      <c r="A63" s="857"/>
      <c r="B63" s="871"/>
      <c r="C63" s="654" t="str">
        <f>YEAR(C7)&amp;"-"&amp;MONTH(C7)&amp;"-1"</f>
        <v>2025-9-1</v>
      </c>
      <c r="D63" s="654">
        <f>EDATE(C63,-3)</f>
        <v>45809</v>
      </c>
      <c r="E63" s="654">
        <f>EDATE(D63,-3)</f>
        <v>45717</v>
      </c>
      <c r="F63" s="654">
        <f t="shared" ref="F63:O63" si="18">EDATE(E63,-3)</f>
        <v>45627</v>
      </c>
      <c r="G63" s="654">
        <f t="shared" si="18"/>
        <v>45536</v>
      </c>
      <c r="H63" s="654">
        <f t="shared" si="18"/>
        <v>45444</v>
      </c>
      <c r="I63" s="654">
        <f t="shared" si="18"/>
        <v>45352</v>
      </c>
      <c r="J63" s="654">
        <f t="shared" si="18"/>
        <v>45261</v>
      </c>
      <c r="K63" s="654">
        <f t="shared" si="18"/>
        <v>45170</v>
      </c>
      <c r="L63" s="654">
        <f t="shared" si="18"/>
        <v>45078</v>
      </c>
      <c r="M63" s="654">
        <f t="shared" si="18"/>
        <v>44986</v>
      </c>
      <c r="N63" s="654">
        <f t="shared" si="18"/>
        <v>44896</v>
      </c>
      <c r="O63" s="654">
        <f t="shared" si="18"/>
        <v>44805</v>
      </c>
      <c r="P63" s="2484"/>
      <c r="Q63" s="2484"/>
      <c r="R63" s="2484"/>
      <c r="S63" s="2484"/>
      <c r="T63" s="2484"/>
      <c r="U63" s="2484"/>
      <c r="V63" s="2484"/>
      <c r="W63" s="2484"/>
      <c r="X63" s="2484"/>
      <c r="Y63" s="2484"/>
      <c r="Z63" s="2484"/>
      <c r="AA63" s="2484"/>
      <c r="AB63" s="2484"/>
      <c r="AC63" s="2484"/>
      <c r="AD63" s="2484"/>
      <c r="AE63" s="2484"/>
    </row>
    <row r="64" spans="1:31" ht="21.75" thickBot="1">
      <c r="A64" s="656" t="s">
        <v>1798</v>
      </c>
      <c r="B64" s="383"/>
      <c r="C64" s="657"/>
      <c r="D64" s="657"/>
      <c r="E64" s="657"/>
      <c r="F64" s="658"/>
      <c r="G64" s="658"/>
      <c r="H64" s="657"/>
      <c r="I64" s="657"/>
      <c r="J64" s="657"/>
      <c r="K64" s="659"/>
      <c r="L64" s="660"/>
      <c r="M64" s="657"/>
      <c r="N64" s="657"/>
      <c r="O64" s="882"/>
      <c r="P64" s="2534"/>
      <c r="Q64" s="2505"/>
      <c r="R64" s="2484"/>
      <c r="S64" s="2484"/>
      <c r="T64" s="2484"/>
      <c r="U64" s="2484"/>
      <c r="V64" s="2484"/>
      <c r="W64" s="2484"/>
      <c r="X64" s="2484"/>
      <c r="Y64" s="2484"/>
      <c r="Z64" s="2484"/>
      <c r="AA64" s="2484"/>
      <c r="AB64" s="2484"/>
      <c r="AC64" s="2484"/>
      <c r="AD64" s="2484"/>
      <c r="AE64" s="2484"/>
    </row>
    <row r="65" spans="1:31" s="440" customFormat="1" ht="15">
      <c r="A65" s="1626" t="s">
        <v>1903</v>
      </c>
      <c r="B65" s="1042"/>
      <c r="C65" s="1097" t="str">
        <f>YEAR(C63)&amp;"-"&amp;ROUNDUP(MONTH(C63)/3,0)</f>
        <v>2025-3</v>
      </c>
      <c r="D65" s="1097" t="str">
        <f t="shared" ref="D65:O65" si="19">YEAR(D63)&amp;"-"&amp;ROUNDUP(MONTH(D63)/3,0)</f>
        <v>2025-2</v>
      </c>
      <c r="E65" s="1097" t="str">
        <f t="shared" si="19"/>
        <v>2025-1</v>
      </c>
      <c r="F65" s="1097" t="str">
        <f t="shared" si="19"/>
        <v>2024-4</v>
      </c>
      <c r="G65" s="1097" t="str">
        <f t="shared" si="19"/>
        <v>2024-3</v>
      </c>
      <c r="H65" s="1097" t="str">
        <f t="shared" si="19"/>
        <v>2024-2</v>
      </c>
      <c r="I65" s="1097" t="str">
        <f t="shared" si="19"/>
        <v>2024-1</v>
      </c>
      <c r="J65" s="1097" t="str">
        <f t="shared" si="19"/>
        <v>2023-4</v>
      </c>
      <c r="K65" s="1097" t="str">
        <f t="shared" si="19"/>
        <v>2023-3</v>
      </c>
      <c r="L65" s="1097" t="str">
        <f t="shared" si="19"/>
        <v>2023-2</v>
      </c>
      <c r="M65" s="1097" t="str">
        <f t="shared" si="19"/>
        <v>2023-1</v>
      </c>
      <c r="N65" s="1097" t="str">
        <f t="shared" si="19"/>
        <v>2022-4</v>
      </c>
      <c r="O65" s="1097" t="str">
        <f t="shared" si="19"/>
        <v>2022-3</v>
      </c>
      <c r="P65" s="2507"/>
      <c r="Q65" s="2507"/>
      <c r="R65" s="2507"/>
      <c r="S65" s="2507"/>
      <c r="T65" s="2507"/>
      <c r="U65" s="2507"/>
      <c r="V65" s="2507"/>
      <c r="W65" s="2507"/>
      <c r="X65" s="2507"/>
      <c r="Y65" s="2507"/>
      <c r="Z65" s="2507"/>
      <c r="AA65" s="2507"/>
      <c r="AB65" s="2507"/>
      <c r="AC65" s="2507"/>
      <c r="AD65" s="2507"/>
      <c r="AE65" s="2507"/>
    </row>
    <row r="66" spans="1:31" s="100" customFormat="1" ht="30.75" customHeight="1">
      <c r="A66" s="1837" t="s">
        <v>1923</v>
      </c>
      <c r="B66" s="278" t="str">
        <f>"北京市平均增长率"&amp;TEXT(基准地价修正!P28,"0.00%")</f>
        <v>北京市平均增长率0.00%</v>
      </c>
      <c r="C66" s="528">
        <v>100</v>
      </c>
      <c r="D66" s="6"/>
      <c r="E66" s="6"/>
      <c r="F66" s="6"/>
      <c r="G66" s="6"/>
      <c r="H66" s="6"/>
      <c r="I66" s="6"/>
      <c r="J66" s="6"/>
      <c r="K66" s="6"/>
      <c r="L66" s="6"/>
      <c r="M66" s="1062"/>
      <c r="N66" s="1062"/>
      <c r="O66" s="1095"/>
      <c r="P66" s="2505"/>
      <c r="Q66" s="2436"/>
      <c r="R66" s="2436"/>
      <c r="S66" s="2436"/>
      <c r="T66" s="2436"/>
      <c r="U66" s="2436"/>
      <c r="V66" s="2436"/>
      <c r="W66" s="2436"/>
      <c r="X66" s="2436"/>
      <c r="Y66" s="2436"/>
      <c r="Z66" s="2436"/>
      <c r="AA66" s="2436"/>
      <c r="AB66" s="2436"/>
      <c r="AC66" s="2436"/>
      <c r="AD66" s="2436"/>
      <c r="AE66" s="2436"/>
    </row>
    <row r="67" spans="1:31" s="100" customFormat="1" ht="15.75" thickBot="1">
      <c r="A67" s="447" t="s">
        <v>1716</v>
      </c>
      <c r="B67" s="448"/>
      <c r="C67" s="449"/>
      <c r="D67" s="450"/>
      <c r="E67" s="450"/>
      <c r="F67" s="450"/>
      <c r="G67" s="450"/>
      <c r="H67" s="450"/>
      <c r="I67" s="450"/>
      <c r="J67" s="450"/>
      <c r="K67" s="450"/>
      <c r="L67" s="450"/>
      <c r="M67" s="451"/>
      <c r="N67" s="451"/>
      <c r="O67" s="452"/>
      <c r="P67" s="2505"/>
      <c r="Q67" s="2505"/>
      <c r="R67" s="2436"/>
      <c r="S67" s="2436"/>
      <c r="T67" s="2436"/>
      <c r="U67" s="2436"/>
      <c r="V67" s="2436"/>
      <c r="W67" s="2436"/>
      <c r="X67" s="2436"/>
      <c r="Y67" s="2436"/>
      <c r="Z67" s="2436"/>
      <c r="AA67" s="2436"/>
      <c r="AB67" s="2436"/>
      <c r="AC67" s="2436"/>
      <c r="AD67" s="2436"/>
      <c r="AE67" s="2436"/>
    </row>
    <row r="68" spans="1:31" s="100" customFormat="1" ht="15">
      <c r="A68" s="453" t="s">
        <v>1681</v>
      </c>
      <c r="B68" s="442"/>
      <c r="C68" s="454" t="s">
        <v>1776</v>
      </c>
      <c r="D68" s="31"/>
      <c r="E68" s="31"/>
      <c r="F68" s="31"/>
      <c r="G68" s="31"/>
      <c r="H68" s="31"/>
      <c r="I68" s="31"/>
      <c r="J68" s="31"/>
      <c r="K68" s="31"/>
      <c r="L68" s="455"/>
      <c r="M68" s="456"/>
      <c r="N68" s="2517"/>
      <c r="O68" s="2517"/>
      <c r="P68" s="2541"/>
      <c r="Q68" s="2505"/>
      <c r="R68" s="2436"/>
      <c r="S68" s="2436"/>
      <c r="T68" s="2436"/>
      <c r="U68" s="2436"/>
      <c r="V68" s="2436"/>
      <c r="W68" s="2436"/>
      <c r="X68" s="2436"/>
      <c r="Y68" s="2436"/>
      <c r="Z68" s="2436"/>
      <c r="AA68" s="2436"/>
      <c r="AB68" s="2436"/>
      <c r="AC68" s="2436"/>
      <c r="AD68" s="2436"/>
      <c r="AE68" s="2436"/>
    </row>
    <row r="69" spans="1:31" s="100" customFormat="1" ht="15.75" thickBot="1">
      <c r="A69" s="453"/>
      <c r="B69" s="442"/>
      <c r="C69" s="561">
        <v>100</v>
      </c>
      <c r="D69" s="444"/>
      <c r="E69" s="444"/>
      <c r="F69" s="444"/>
      <c r="G69" s="444"/>
      <c r="H69" s="444"/>
      <c r="I69" s="444"/>
      <c r="J69" s="444"/>
      <c r="K69" s="444"/>
      <c r="L69" s="444"/>
      <c r="M69" s="446"/>
      <c r="N69" s="2517"/>
      <c r="O69" s="2517"/>
      <c r="P69" s="2505"/>
      <c r="Q69" s="2505"/>
      <c r="R69" s="2436"/>
      <c r="S69" s="2436"/>
      <c r="T69" s="2436"/>
      <c r="U69" s="2436"/>
      <c r="V69" s="2436"/>
      <c r="W69" s="2436"/>
      <c r="X69" s="2436"/>
      <c r="Y69" s="2436"/>
      <c r="Z69" s="2436"/>
      <c r="AA69" s="2436"/>
      <c r="AB69" s="2436"/>
      <c r="AC69" s="2436"/>
      <c r="AD69" s="2436"/>
      <c r="AE69" s="2436"/>
    </row>
    <row r="70" spans="1:31">
      <c r="A70" s="377" t="s">
        <v>1719</v>
      </c>
      <c r="B70" s="458" t="s">
        <v>1685</v>
      </c>
      <c r="C70" s="460"/>
      <c r="D70" s="460"/>
      <c r="E70" s="460"/>
      <c r="F70" s="460"/>
      <c r="G70" s="460"/>
      <c r="H70" s="460"/>
      <c r="I70" s="460"/>
      <c r="J70" s="460"/>
      <c r="K70" s="461"/>
      <c r="L70" s="462"/>
      <c r="M70" s="463"/>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5"/>
      <c r="B71" s="464"/>
      <c r="C71" s="465"/>
      <c r="D71" s="465"/>
      <c r="E71" s="465"/>
      <c r="F71" s="465"/>
      <c r="G71" s="465"/>
      <c r="H71" s="465"/>
      <c r="I71" s="465"/>
      <c r="J71" s="465"/>
      <c r="K71" s="465"/>
      <c r="L71" s="465"/>
      <c r="M71" s="466"/>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5"/>
      <c r="B72" s="467" t="s">
        <v>1688</v>
      </c>
      <c r="C72" s="468"/>
      <c r="D72" s="468"/>
      <c r="E72" s="468"/>
      <c r="F72" s="468"/>
      <c r="G72" s="468"/>
      <c r="H72" s="468"/>
      <c r="I72" s="468"/>
      <c r="J72" s="468"/>
      <c r="K72" s="469"/>
      <c r="L72" s="470"/>
      <c r="M72" s="471"/>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5"/>
      <c r="B73" s="472"/>
      <c r="C73" s="473"/>
      <c r="D73" s="473"/>
      <c r="E73" s="473"/>
      <c r="F73" s="473"/>
      <c r="G73" s="473"/>
      <c r="H73" s="473"/>
      <c r="I73" s="473"/>
      <c r="J73" s="473"/>
      <c r="K73" s="473"/>
      <c r="L73" s="473"/>
      <c r="M73" s="474"/>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5"/>
      <c r="B75" s="477"/>
      <c r="C75" s="478"/>
      <c r="D75" s="478"/>
      <c r="E75" s="478"/>
      <c r="F75" s="478"/>
      <c r="G75" s="478"/>
      <c r="H75" s="478"/>
      <c r="I75" s="478"/>
      <c r="J75" s="478"/>
      <c r="K75" s="479"/>
      <c r="L75" s="480"/>
      <c r="M75" s="481"/>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6" customFormat="1" ht="15.75" thickTop="1">
      <c r="A77" s="482"/>
      <c r="B77" s="467">
        <f>B12</f>
        <v>111</v>
      </c>
      <c r="C77" s="483"/>
      <c r="D77" s="483"/>
      <c r="E77" s="483"/>
      <c r="F77" s="483"/>
      <c r="G77" s="483"/>
      <c r="H77" s="484"/>
      <c r="I77" s="484"/>
      <c r="J77" s="484"/>
      <c r="K77" s="484"/>
      <c r="L77" s="485"/>
      <c r="M77" s="486"/>
      <c r="N77" s="2520"/>
      <c r="O77" s="2520"/>
      <c r="P77" s="2520"/>
      <c r="Q77" s="2512"/>
      <c r="R77" s="2490"/>
      <c r="S77" s="2490"/>
      <c r="T77" s="2490"/>
      <c r="U77" s="2490"/>
      <c r="V77" s="2490"/>
      <c r="W77" s="2490"/>
      <c r="X77" s="2490"/>
      <c r="Y77" s="2490"/>
      <c r="Z77" s="2490"/>
      <c r="AA77" s="2490"/>
      <c r="AB77" s="2490"/>
      <c r="AC77" s="2490"/>
      <c r="AD77" s="2490"/>
      <c r="AE77" s="2490"/>
    </row>
    <row r="78" spans="1:31" s="406" customFormat="1" ht="15.75" thickBot="1">
      <c r="A78" s="482"/>
      <c r="B78" s="472"/>
      <c r="C78" s="489"/>
      <c r="D78" s="465"/>
      <c r="E78" s="465"/>
      <c r="F78" s="465"/>
      <c r="G78" s="465"/>
      <c r="H78" s="465"/>
      <c r="I78" s="465"/>
      <c r="J78" s="465"/>
      <c r="K78" s="465"/>
      <c r="L78" s="465"/>
      <c r="M78" s="466"/>
      <c r="N78" s="2519"/>
      <c r="O78" s="2519"/>
      <c r="P78" s="2520"/>
      <c r="Q78" s="2512"/>
      <c r="R78" s="2490"/>
      <c r="S78" s="2490"/>
      <c r="T78" s="2490"/>
      <c r="U78" s="2490"/>
      <c r="V78" s="2490"/>
      <c r="W78" s="2490"/>
      <c r="X78" s="2490"/>
      <c r="Y78" s="2490"/>
      <c r="Z78" s="2490"/>
      <c r="AA78" s="2490"/>
      <c r="AB78" s="2490"/>
      <c r="AC78" s="2490"/>
      <c r="AD78" s="2490"/>
      <c r="AE78" s="2490"/>
    </row>
    <row r="79" spans="1:31" s="406" customFormat="1" ht="15.75" thickTop="1">
      <c r="A79" s="482"/>
      <c r="B79" s="467">
        <f>B13</f>
        <v>111</v>
      </c>
      <c r="C79" s="483"/>
      <c r="D79" s="483"/>
      <c r="E79" s="483"/>
      <c r="F79" s="483"/>
      <c r="G79" s="483"/>
      <c r="H79" s="484"/>
      <c r="I79" s="484"/>
      <c r="J79" s="484"/>
      <c r="K79" s="484"/>
      <c r="L79" s="485"/>
      <c r="M79" s="486"/>
      <c r="N79" s="2520"/>
      <c r="O79" s="2520"/>
      <c r="P79" s="2490"/>
      <c r="Q79" s="2514"/>
      <c r="R79" s="2490"/>
      <c r="S79" s="2490"/>
      <c r="T79" s="2490"/>
      <c r="U79" s="2490"/>
      <c r="V79" s="2490"/>
      <c r="W79" s="2490"/>
      <c r="X79" s="2490"/>
      <c r="Y79" s="2490"/>
      <c r="Z79" s="2490"/>
      <c r="AA79" s="2490"/>
      <c r="AB79" s="2490"/>
      <c r="AC79" s="2490"/>
      <c r="AD79" s="2490"/>
      <c r="AE79" s="2490"/>
    </row>
    <row r="80" spans="1:31" s="406" customFormat="1" ht="15.75" thickBot="1">
      <c r="A80" s="482"/>
      <c r="B80" s="472"/>
      <c r="C80" s="489"/>
      <c r="D80" s="489"/>
      <c r="E80" s="489"/>
      <c r="F80" s="489"/>
      <c r="G80" s="489"/>
      <c r="H80" s="491"/>
      <c r="I80" s="491"/>
      <c r="J80" s="491"/>
      <c r="K80" s="491"/>
      <c r="L80" s="491"/>
      <c r="M80" s="492"/>
      <c r="N80" s="2520"/>
      <c r="O80" s="2520"/>
      <c r="P80" s="2520"/>
      <c r="Q80" s="2512"/>
      <c r="R80" s="2490"/>
      <c r="S80" s="2490"/>
      <c r="T80" s="2490"/>
      <c r="U80" s="2490"/>
      <c r="V80" s="2490"/>
      <c r="W80" s="2490"/>
      <c r="X80" s="2490"/>
      <c r="Y80" s="2490"/>
      <c r="Z80" s="2490"/>
      <c r="AA80" s="2490"/>
      <c r="AB80" s="2490"/>
      <c r="AC80" s="2490"/>
      <c r="AD80" s="2490"/>
      <c r="AE80" s="2490"/>
    </row>
    <row r="81" spans="1:31" s="406" customFormat="1" ht="15.75" thickTop="1">
      <c r="A81" s="482"/>
      <c r="B81" s="475">
        <f>B14</f>
        <v>111</v>
      </c>
      <c r="C81" s="31"/>
      <c r="D81" s="31"/>
      <c r="E81" s="31"/>
      <c r="F81" s="31"/>
      <c r="G81" s="31"/>
      <c r="H81" s="493"/>
      <c r="I81" s="493"/>
      <c r="J81" s="493"/>
      <c r="K81" s="493"/>
      <c r="L81" s="494"/>
      <c r="M81" s="495"/>
      <c r="N81" s="2520"/>
      <c r="O81" s="2520"/>
      <c r="P81" s="2545"/>
      <c r="Q81" s="2512"/>
      <c r="R81" s="2490"/>
      <c r="S81" s="2490"/>
      <c r="T81" s="2490"/>
      <c r="U81" s="2490"/>
      <c r="V81" s="2490"/>
      <c r="W81" s="2490"/>
      <c r="X81" s="2490"/>
      <c r="Y81" s="2490"/>
      <c r="Z81" s="2490"/>
      <c r="AA81" s="2490"/>
      <c r="AB81" s="2490"/>
      <c r="AC81" s="2490"/>
      <c r="AD81" s="2490"/>
      <c r="AE81" s="2490"/>
    </row>
    <row r="82" spans="1:31" s="406" customFormat="1" ht="15.75" thickBot="1">
      <c r="A82" s="497"/>
      <c r="B82" s="498"/>
      <c r="C82" s="499"/>
      <c r="D82" s="499"/>
      <c r="E82" s="499"/>
      <c r="F82" s="499"/>
      <c r="G82" s="499"/>
      <c r="H82" s="500"/>
      <c r="I82" s="500"/>
      <c r="J82" s="500"/>
      <c r="K82" s="500"/>
      <c r="L82" s="500"/>
      <c r="M82" s="501"/>
      <c r="N82" s="2520"/>
      <c r="O82" s="2520"/>
      <c r="P82" s="2520"/>
      <c r="Q82" s="2512"/>
      <c r="R82" s="2490"/>
      <c r="S82" s="2490"/>
      <c r="T82" s="2490"/>
      <c r="U82" s="2490"/>
      <c r="V82" s="2490"/>
      <c r="W82" s="2490"/>
      <c r="X82" s="2490"/>
      <c r="Y82" s="2490"/>
      <c r="Z82" s="2490"/>
      <c r="AA82" s="2490"/>
      <c r="AB82" s="2490"/>
      <c r="AC82" s="2490"/>
      <c r="AD82" s="2490"/>
      <c r="AE82" s="2490"/>
    </row>
    <row r="83" spans="1:31">
      <c r="A83" s="377" t="s">
        <v>1690</v>
      </c>
      <c r="B83" s="458" t="s">
        <v>1829</v>
      </c>
      <c r="C83" s="502" t="s">
        <v>1721</v>
      </c>
      <c r="D83" s="502" t="s">
        <v>1722</v>
      </c>
      <c r="E83" s="502" t="s">
        <v>1723</v>
      </c>
      <c r="F83" s="502" t="s">
        <v>1724</v>
      </c>
      <c r="G83" s="502" t="s">
        <v>1725</v>
      </c>
      <c r="H83" s="459"/>
      <c r="I83" s="459"/>
      <c r="J83" s="459"/>
      <c r="K83" s="503"/>
      <c r="L83" s="504"/>
      <c r="M83" s="505"/>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5"/>
      <c r="B85" s="467" t="s">
        <v>1726</v>
      </c>
      <c r="C85" s="507" t="s">
        <v>1721</v>
      </c>
      <c r="D85" s="507" t="s">
        <v>1722</v>
      </c>
      <c r="E85" s="507" t="s">
        <v>1723</v>
      </c>
      <c r="F85" s="507" t="s">
        <v>1724</v>
      </c>
      <c r="G85" s="507" t="s">
        <v>1725</v>
      </c>
      <c r="H85" s="468"/>
      <c r="I85" s="468"/>
      <c r="J85" s="468"/>
      <c r="K85" s="469"/>
      <c r="L85" s="470"/>
      <c r="M85" s="471"/>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9"/>
      <c r="O86" s="2519"/>
      <c r="P86" s="2517"/>
      <c r="Q86" s="2505"/>
      <c r="R86" s="2484"/>
      <c r="S86" s="2484"/>
      <c r="T86" s="2484"/>
      <c r="U86" s="2484"/>
      <c r="V86" s="2484"/>
      <c r="W86" s="2484"/>
      <c r="X86" s="2484"/>
      <c r="Y86" s="2484"/>
      <c r="Z86" s="2484"/>
      <c r="AA86" s="2484"/>
      <c r="AB86" s="2484"/>
      <c r="AC86" s="2484"/>
      <c r="AD86" s="2484"/>
      <c r="AE86" s="2484"/>
    </row>
    <row r="87" spans="1:31" s="100" customFormat="1" ht="15.75" thickTop="1">
      <c r="A87" s="368"/>
      <c r="B87" s="467" t="s">
        <v>1906</v>
      </c>
      <c r="C87" s="502" t="s">
        <v>1721</v>
      </c>
      <c r="D87" s="502" t="s">
        <v>1722</v>
      </c>
      <c r="E87" s="502" t="s">
        <v>1723</v>
      </c>
      <c r="F87" s="502" t="s">
        <v>1724</v>
      </c>
      <c r="G87" s="502" t="s">
        <v>1725</v>
      </c>
      <c r="H87" s="507"/>
      <c r="I87" s="507"/>
      <c r="J87" s="507"/>
      <c r="K87" s="507"/>
      <c r="L87" s="616"/>
      <c r="M87" s="545"/>
      <c r="N87" s="2517"/>
      <c r="O87" s="2517"/>
      <c r="P87" s="2517"/>
      <c r="Q87" s="2505"/>
      <c r="R87" s="2436"/>
      <c r="S87" s="2436"/>
      <c r="T87" s="2436"/>
      <c r="U87" s="2436"/>
      <c r="V87" s="2436"/>
      <c r="W87" s="2436"/>
      <c r="X87" s="2436"/>
      <c r="Y87" s="2436"/>
      <c r="Z87" s="2436"/>
      <c r="AA87" s="2436"/>
      <c r="AB87" s="2436"/>
      <c r="AC87" s="2436"/>
      <c r="AD87" s="2436"/>
      <c r="AE87" s="2436"/>
    </row>
    <row r="88" spans="1:31" s="100" customFormat="1" ht="15.75" thickBot="1">
      <c r="A88" s="368"/>
      <c r="B88" s="472"/>
      <c r="C88" s="510">
        <v>100</v>
      </c>
      <c r="D88" s="473">
        <f>C88-$K19</f>
        <v>100</v>
      </c>
      <c r="E88" s="473">
        <f>D88-$K19</f>
        <v>100</v>
      </c>
      <c r="F88" s="473">
        <f>E88-$K19</f>
        <v>100</v>
      </c>
      <c r="G88" s="473">
        <f>F88-$K19</f>
        <v>100</v>
      </c>
      <c r="H88" s="473"/>
      <c r="I88" s="473"/>
      <c r="J88" s="473"/>
      <c r="K88" s="473"/>
      <c r="L88" s="473"/>
      <c r="M88" s="474"/>
      <c r="N88" s="2519"/>
      <c r="O88" s="2519"/>
      <c r="P88" s="2517"/>
      <c r="Q88" s="2505"/>
      <c r="R88" s="2436"/>
      <c r="S88" s="2436"/>
      <c r="T88" s="2436"/>
      <c r="U88" s="2436"/>
      <c r="V88" s="2436"/>
      <c r="W88" s="2436"/>
      <c r="X88" s="2436"/>
      <c r="Y88" s="2436"/>
      <c r="Z88" s="2436"/>
      <c r="AA88" s="2436"/>
      <c r="AB88" s="2436"/>
      <c r="AC88" s="2436"/>
      <c r="AD88" s="2436"/>
      <c r="AE88" s="2436"/>
    </row>
    <row r="89" spans="1:31" s="100" customFormat="1" ht="27.75" thickTop="1">
      <c r="A89" s="368"/>
      <c r="B89" s="467" t="s">
        <v>1907</v>
      </c>
      <c r="C89" s="502" t="s">
        <v>1721</v>
      </c>
      <c r="D89" s="502" t="s">
        <v>1722</v>
      </c>
      <c r="E89" s="502" t="s">
        <v>1723</v>
      </c>
      <c r="F89" s="502" t="s">
        <v>1724</v>
      </c>
      <c r="G89" s="502" t="s">
        <v>1725</v>
      </c>
      <c r="H89" s="507"/>
      <c r="I89" s="507"/>
      <c r="J89" s="507"/>
      <c r="K89" s="507"/>
      <c r="L89" s="507"/>
      <c r="M89" s="545"/>
      <c r="N89" s="2517"/>
      <c r="O89" s="2517"/>
      <c r="P89" s="2517"/>
      <c r="Q89" s="2505"/>
      <c r="R89" s="2436"/>
      <c r="S89" s="2436"/>
      <c r="T89" s="2436"/>
      <c r="U89" s="2436"/>
      <c r="V89" s="2436"/>
      <c r="W89" s="2436"/>
      <c r="X89" s="2436"/>
      <c r="Y89" s="2436"/>
      <c r="Z89" s="2436"/>
      <c r="AA89" s="2436"/>
      <c r="AB89" s="2436"/>
      <c r="AC89" s="2436"/>
      <c r="AD89" s="2436"/>
      <c r="AE89" s="2436"/>
    </row>
    <row r="90" spans="1:31" s="100" customFormat="1" ht="15.75" thickBot="1">
      <c r="A90" s="368"/>
      <c r="B90" s="472"/>
      <c r="C90" s="473">
        <v>100</v>
      </c>
      <c r="D90" s="473">
        <f>C90-$K21</f>
        <v>100</v>
      </c>
      <c r="E90" s="473">
        <f>D90-$K21</f>
        <v>100</v>
      </c>
      <c r="F90" s="473">
        <f>E90-$K21</f>
        <v>100</v>
      </c>
      <c r="G90" s="473">
        <f>F90-$K21</f>
        <v>100</v>
      </c>
      <c r="H90" s="473"/>
      <c r="I90" s="473"/>
      <c r="J90" s="473"/>
      <c r="K90" s="473"/>
      <c r="L90" s="473"/>
      <c r="M90" s="474"/>
      <c r="N90" s="2519"/>
      <c r="O90" s="2519"/>
      <c r="P90" s="2517"/>
      <c r="Q90" s="2505"/>
      <c r="R90" s="2436"/>
      <c r="S90" s="2436"/>
      <c r="T90" s="2436"/>
      <c r="U90" s="2436"/>
      <c r="V90" s="2436"/>
      <c r="W90" s="2436"/>
      <c r="X90" s="2436"/>
      <c r="Y90" s="2436"/>
      <c r="Z90" s="2436"/>
      <c r="AA90" s="2436"/>
      <c r="AB90" s="2436"/>
      <c r="AC90" s="2436"/>
      <c r="AD90" s="2436"/>
      <c r="AE90" s="2436"/>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20"/>
      <c r="O91" s="2520"/>
      <c r="P91" s="2520"/>
      <c r="Q91" s="2512"/>
      <c r="R91" s="2490"/>
      <c r="S91" s="2490"/>
      <c r="T91" s="2490"/>
      <c r="U91" s="2490"/>
      <c r="V91" s="2490"/>
      <c r="W91" s="2490"/>
      <c r="X91" s="2490"/>
      <c r="Y91" s="2490"/>
      <c r="Z91" s="2490"/>
      <c r="AA91" s="2490"/>
      <c r="AB91" s="2490"/>
      <c r="AC91" s="2490"/>
      <c r="AD91" s="2490"/>
      <c r="AE91" s="2490"/>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20"/>
      <c r="O92" s="2520"/>
      <c r="P92" s="2520"/>
      <c r="Q92" s="2512"/>
      <c r="R92" s="2490"/>
      <c r="S92" s="2490"/>
      <c r="T92" s="2490"/>
      <c r="U92" s="2490"/>
      <c r="V92" s="2490"/>
      <c r="W92" s="2490"/>
      <c r="X92" s="2490"/>
      <c r="Y92" s="2490"/>
      <c r="Z92" s="2490"/>
      <c r="AA92" s="2490"/>
      <c r="AB92" s="2490"/>
      <c r="AC92" s="2490"/>
      <c r="AD92" s="2490"/>
      <c r="AE92" s="2490"/>
    </row>
    <row r="93" spans="1:31" s="406" customFormat="1" ht="15.75" thickTop="1">
      <c r="A93" s="482"/>
      <c r="B93" s="475" t="s">
        <v>1924</v>
      </c>
      <c r="C93" s="579" t="s">
        <v>1799</v>
      </c>
      <c r="D93" s="579" t="s">
        <v>1800</v>
      </c>
      <c r="E93" s="579" t="s">
        <v>1801</v>
      </c>
      <c r="F93" s="579" t="s">
        <v>1802</v>
      </c>
      <c r="G93" s="579" t="s">
        <v>1803</v>
      </c>
      <c r="H93" s="525"/>
      <c r="I93" s="525"/>
      <c r="J93" s="525"/>
      <c r="K93" s="525"/>
      <c r="L93" s="525"/>
      <c r="M93" s="527"/>
      <c r="N93" s="2520"/>
      <c r="O93" s="2520"/>
      <c r="P93" s="2520"/>
      <c r="Q93" s="2512"/>
      <c r="R93" s="2490"/>
      <c r="S93" s="2490"/>
      <c r="T93" s="2490"/>
      <c r="U93" s="2490"/>
      <c r="V93" s="2490"/>
      <c r="W93" s="2490"/>
      <c r="X93" s="2490"/>
      <c r="Y93" s="2490"/>
      <c r="Z93" s="2490"/>
      <c r="AA93" s="2490"/>
      <c r="AB93" s="2490"/>
      <c r="AC93" s="2490"/>
      <c r="AD93" s="2490"/>
      <c r="AE93" s="2490"/>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1"/>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5"/>
      <c r="B95" s="467" t="str">
        <f>B27</f>
        <v>临街状况</v>
      </c>
      <c r="C95" s="468" t="s">
        <v>1908</v>
      </c>
      <c r="D95" s="468" t="s">
        <v>1909</v>
      </c>
      <c r="E95" s="468" t="s">
        <v>1910</v>
      </c>
      <c r="F95" s="468" t="s">
        <v>1911</v>
      </c>
      <c r="G95" s="468"/>
      <c r="H95" s="468"/>
      <c r="I95" s="468"/>
      <c r="J95" s="468"/>
      <c r="K95" s="469"/>
      <c r="L95" s="470"/>
      <c r="M95" s="471"/>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5"/>
      <c r="B97" s="467" t="s">
        <v>1815</v>
      </c>
      <c r="C97" s="483"/>
      <c r="D97" s="483"/>
      <c r="E97" s="483"/>
      <c r="F97" s="483"/>
      <c r="G97" s="483"/>
      <c r="H97" s="511"/>
      <c r="I97" s="511"/>
      <c r="J97" s="511"/>
      <c r="K97" s="512"/>
      <c r="L97" s="513"/>
      <c r="M97" s="514"/>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5"/>
      <c r="B99" s="467" t="s">
        <v>1872</v>
      </c>
      <c r="C99" s="511"/>
      <c r="D99" s="511"/>
      <c r="E99" s="511"/>
      <c r="F99" s="511"/>
      <c r="G99" s="511"/>
      <c r="H99" s="511"/>
      <c r="I99" s="511"/>
      <c r="J99" s="511"/>
      <c r="K99" s="512"/>
      <c r="L99" s="513"/>
      <c r="M99" s="514"/>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5"/>
      <c r="B101" s="475">
        <f>B31</f>
        <v>111</v>
      </c>
      <c r="C101" s="483"/>
      <c r="D101" s="483"/>
      <c r="E101" s="483"/>
      <c r="F101" s="483"/>
      <c r="G101" s="515"/>
      <c r="H101" s="515"/>
      <c r="I101" s="515"/>
      <c r="J101" s="515"/>
      <c r="K101" s="516"/>
      <c r="L101" s="517"/>
      <c r="M101" s="518"/>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5"/>
      <c r="B102" s="498"/>
      <c r="C102" s="489"/>
      <c r="D102" s="465"/>
      <c r="E102" s="465"/>
      <c r="F102" s="465"/>
      <c r="G102" s="519"/>
      <c r="H102" s="519"/>
      <c r="I102" s="519"/>
      <c r="J102" s="519"/>
      <c r="K102" s="519"/>
      <c r="L102" s="519"/>
      <c r="M102" s="520"/>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3"/>
      <c r="B103" s="467">
        <f>B32</f>
        <v>111</v>
      </c>
      <c r="C103" s="483"/>
      <c r="D103" s="483"/>
      <c r="E103" s="483"/>
      <c r="F103" s="483"/>
      <c r="G103" s="511"/>
      <c r="H103" s="511"/>
      <c r="I103" s="511"/>
      <c r="J103" s="511"/>
      <c r="K103" s="512"/>
      <c r="L103" s="513"/>
      <c r="M103" s="514"/>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5"/>
      <c r="B104" s="472"/>
      <c r="C104" s="489"/>
      <c r="D104" s="489"/>
      <c r="E104" s="489"/>
      <c r="F104" s="489"/>
      <c r="G104" s="465"/>
      <c r="H104" s="465"/>
      <c r="I104" s="465"/>
      <c r="J104" s="465"/>
      <c r="K104" s="465"/>
      <c r="L104" s="465"/>
      <c r="M104" s="466"/>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6" customFormat="1" ht="15" thickTop="1">
      <c r="A105" s="404"/>
      <c r="B105" s="521">
        <f>B33</f>
        <v>111</v>
      </c>
      <c r="C105" s="31"/>
      <c r="D105" s="31"/>
      <c r="E105" s="31"/>
      <c r="F105" s="31"/>
      <c r="G105" s="6"/>
      <c r="H105" s="6"/>
      <c r="I105" s="6"/>
      <c r="J105" s="522"/>
      <c r="K105" s="522"/>
      <c r="L105" s="523"/>
      <c r="M105" s="524"/>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6" customFormat="1" ht="15.75" thickBot="1">
      <c r="A106" s="482"/>
      <c r="B106" s="475"/>
      <c r="C106" s="499"/>
      <c r="D106" s="499"/>
      <c r="E106" s="499"/>
      <c r="F106" s="499"/>
      <c r="G106" s="595"/>
      <c r="H106" s="595"/>
      <c r="I106" s="595"/>
      <c r="J106" s="595"/>
      <c r="K106" s="595"/>
      <c r="L106" s="595"/>
      <c r="M106" s="617"/>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7" t="s">
        <v>1694</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2" t="str">
        <f t="shared" si="25"/>
        <v>(含)-</v>
      </c>
      <c r="L107" s="1242" t="str">
        <f t="shared" si="25"/>
        <v>(含)-</v>
      </c>
      <c r="M107" s="1243"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5"/>
      <c r="B108" s="475"/>
      <c r="C108" s="6"/>
      <c r="D108" s="6"/>
      <c r="E108" s="6"/>
      <c r="F108" s="6"/>
      <c r="G108" s="6"/>
      <c r="H108" s="6"/>
      <c r="I108" s="6"/>
      <c r="J108" s="522"/>
      <c r="K108" s="522"/>
      <c r="L108" s="523"/>
      <c r="M108" s="524"/>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5"/>
      <c r="B109" s="472"/>
      <c r="C109" s="499"/>
      <c r="D109" s="519"/>
      <c r="E109" s="519"/>
      <c r="F109" s="519"/>
      <c r="G109" s="519"/>
      <c r="H109" s="519"/>
      <c r="I109" s="519"/>
      <c r="J109" s="519"/>
      <c r="K109" s="519"/>
      <c r="L109" s="519"/>
      <c r="M109" s="520"/>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7"/>
      <c r="B110" s="467" t="s">
        <v>1913</v>
      </c>
      <c r="C110" s="511"/>
      <c r="D110" s="511"/>
      <c r="E110" s="511"/>
      <c r="F110" s="511"/>
      <c r="G110" s="511"/>
      <c r="H110" s="511"/>
      <c r="I110" s="511"/>
      <c r="J110" s="511"/>
      <c r="K110" s="512"/>
      <c r="L110" s="513"/>
      <c r="M110" s="514"/>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6" customFormat="1" ht="15" thickTop="1">
      <c r="A112" s="404"/>
      <c r="B112" s="467" t="s">
        <v>1915</v>
      </c>
      <c r="C112" s="483"/>
      <c r="D112" s="483"/>
      <c r="E112" s="483"/>
      <c r="F112" s="483"/>
      <c r="G112" s="483"/>
      <c r="H112" s="511"/>
      <c r="I112" s="511"/>
      <c r="J112" s="511"/>
      <c r="K112" s="512"/>
      <c r="L112" s="513"/>
      <c r="M112" s="514"/>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7"/>
      <c r="B114" s="467" t="s">
        <v>1916</v>
      </c>
      <c r="C114" s="483"/>
      <c r="D114" s="483"/>
      <c r="E114" s="511"/>
      <c r="F114" s="511"/>
      <c r="G114" s="511"/>
      <c r="H114" s="511"/>
      <c r="I114" s="511"/>
      <c r="J114" s="511"/>
      <c r="K114" s="512"/>
      <c r="L114" s="513"/>
      <c r="M114" s="514"/>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7"/>
      <c r="B116" s="467">
        <f>B38</f>
        <v>111</v>
      </c>
      <c r="C116" s="483"/>
      <c r="D116" s="483"/>
      <c r="E116" s="483"/>
      <c r="F116" s="483"/>
      <c r="G116" s="483"/>
      <c r="H116" s="511"/>
      <c r="I116" s="511"/>
      <c r="J116" s="511"/>
      <c r="K116" s="512"/>
      <c r="L116" s="513"/>
      <c r="M116" s="514"/>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5"/>
      <c r="B117" s="472"/>
      <c r="C117" s="489"/>
      <c r="D117" s="465"/>
      <c r="E117" s="465"/>
      <c r="F117" s="465"/>
      <c r="G117" s="465"/>
      <c r="H117" s="465"/>
      <c r="I117" s="465"/>
      <c r="J117" s="465"/>
      <c r="K117" s="465"/>
      <c r="L117" s="465"/>
      <c r="M117" s="466"/>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7"/>
      <c r="B118" s="467">
        <f>B39</f>
        <v>111</v>
      </c>
      <c r="C118" s="483"/>
      <c r="D118" s="483"/>
      <c r="E118" s="483"/>
      <c r="F118" s="483"/>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5"/>
      <c r="B119" s="472"/>
      <c r="C119" s="489"/>
      <c r="D119" s="489"/>
      <c r="E119" s="489"/>
      <c r="F119" s="489"/>
      <c r="G119" s="465"/>
      <c r="H119" s="465"/>
      <c r="I119" s="465"/>
      <c r="J119" s="465"/>
      <c r="K119" s="465"/>
      <c r="L119" s="465"/>
      <c r="M119" s="466"/>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6" customFormat="1" ht="15" thickTop="1">
      <c r="A120" s="404"/>
      <c r="B120" s="467">
        <f>B40</f>
        <v>111</v>
      </c>
      <c r="C120" s="31"/>
      <c r="D120" s="31"/>
      <c r="E120" s="31"/>
      <c r="F120" s="31"/>
      <c r="G120" s="484"/>
      <c r="H120" s="484"/>
      <c r="I120" s="484"/>
      <c r="J120" s="484"/>
      <c r="K120" s="484"/>
      <c r="L120" s="485"/>
      <c r="M120" s="486"/>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6" customFormat="1" ht="15.75" thickBot="1">
      <c r="A121" s="497"/>
      <c r="B121" s="618"/>
      <c r="C121" s="499"/>
      <c r="D121" s="499"/>
      <c r="E121" s="499"/>
      <c r="F121" s="499"/>
      <c r="G121" s="519"/>
      <c r="H121" s="519"/>
      <c r="I121" s="519"/>
      <c r="J121" s="519"/>
      <c r="K121" s="519"/>
      <c r="L121" s="519"/>
      <c r="M121" s="520"/>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A654D-1A7F-4071-933E-162866BBA728}">
  <dimension ref="A1"/>
  <sheetViews>
    <sheetView workbookViewId="0">
      <selection activeCell="A41" sqref="A41"/>
    </sheetView>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5" t="s">
        <v>2082</v>
      </c>
      <c r="C1" s="3476" t="s">
        <v>2083</v>
      </c>
      <c r="D1" s="3477"/>
      <c r="E1" s="3477"/>
      <c r="F1" s="3477"/>
      <c r="G1" s="3477"/>
      <c r="H1" s="3477"/>
      <c r="I1" s="3477"/>
      <c r="J1" s="3477"/>
      <c r="K1" s="3477"/>
      <c r="L1" s="3477"/>
      <c r="M1" s="3477"/>
      <c r="N1" s="3477"/>
      <c r="O1" s="3477"/>
      <c r="P1" s="3477"/>
      <c r="Q1" s="3477"/>
      <c r="R1" s="3477"/>
      <c r="S1" s="3478"/>
      <c r="T1" s="925" t="s">
        <v>2084</v>
      </c>
    </row>
    <row r="2" spans="1:45" s="623" customFormat="1">
      <c r="A2" s="926"/>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7"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8"/>
      <c r="B3" s="624"/>
      <c r="C3" s="625"/>
      <c r="D3" s="626"/>
      <c r="E3" s="626"/>
      <c r="F3" s="1216"/>
      <c r="G3" s="1216"/>
      <c r="H3" s="1216"/>
      <c r="I3" s="1216"/>
      <c r="J3" s="1216"/>
      <c r="K3" s="1216"/>
      <c r="L3" s="1217"/>
      <c r="M3" s="1218"/>
      <c r="N3" s="1218"/>
      <c r="O3" s="1216"/>
      <c r="P3" s="1216"/>
      <c r="Q3" s="1216"/>
      <c r="R3" s="1216"/>
      <c r="S3" s="1219"/>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29"/>
      <c r="B4" s="930"/>
      <c r="C4" s="931"/>
      <c r="D4" s="932"/>
      <c r="E4" s="932"/>
      <c r="F4" s="1220"/>
      <c r="G4" s="1220"/>
      <c r="H4" s="1220"/>
      <c r="I4" s="1220"/>
      <c r="J4" s="1220"/>
      <c r="K4" s="1220"/>
      <c r="L4" s="1220"/>
      <c r="M4" s="1221"/>
      <c r="N4" s="1221"/>
      <c r="O4" s="1220"/>
      <c r="P4" s="1220"/>
      <c r="Q4" s="1220"/>
      <c r="R4" s="1220"/>
      <c r="S4" s="1222"/>
      <c r="T4" s="935"/>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1"/>
      <c r="B5" s="1245" t="s">
        <v>2086</v>
      </c>
      <c r="C5" s="936"/>
      <c r="D5" s="937"/>
      <c r="E5" s="937"/>
      <c r="F5" s="1223"/>
      <c r="G5" s="1223"/>
      <c r="H5" s="1223"/>
      <c r="I5" s="1223"/>
      <c r="J5" s="1223"/>
      <c r="K5" s="1223"/>
      <c r="L5" s="1224"/>
      <c r="M5" s="1225"/>
      <c r="N5" s="1225"/>
      <c r="O5" s="1223"/>
      <c r="P5" s="1223"/>
      <c r="Q5" s="1223"/>
      <c r="R5" s="1223"/>
      <c r="S5" s="1226"/>
      <c r="T5" s="939"/>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1"/>
      <c r="B6" s="842"/>
      <c r="C6" s="848">
        <v>100</v>
      </c>
      <c r="D6" s="845">
        <f>C6-$T5</f>
        <v>100</v>
      </c>
      <c r="E6" s="845">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4"/>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1"/>
      <c r="B7" s="1246" t="s">
        <v>2087</v>
      </c>
      <c r="C7" s="847"/>
      <c r="D7" s="841"/>
      <c r="E7" s="841"/>
      <c r="F7" s="1228"/>
      <c r="G7" s="1228"/>
      <c r="H7" s="1228"/>
      <c r="I7" s="1228"/>
      <c r="J7" s="1228"/>
      <c r="K7" s="1228"/>
      <c r="L7" s="1228"/>
      <c r="M7" s="1229"/>
      <c r="N7" s="1230"/>
      <c r="O7" s="1231"/>
      <c r="P7" s="1231"/>
      <c r="Q7" s="1232"/>
      <c r="R7" s="1233"/>
      <c r="S7" s="1234"/>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1"/>
      <c r="B8" s="842"/>
      <c r="C8" s="848">
        <v>100</v>
      </c>
      <c r="D8" s="845">
        <f>C8-$T7</f>
        <v>100</v>
      </c>
      <c r="E8" s="845">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4"/>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1"/>
      <c r="B9" s="1246" t="s">
        <v>2088</v>
      </c>
      <c r="C9" s="847"/>
      <c r="D9" s="841"/>
      <c r="E9" s="841"/>
      <c r="F9" s="1228"/>
      <c r="G9" s="1228"/>
      <c r="H9" s="1228"/>
      <c r="I9" s="1228"/>
      <c r="J9" s="1228"/>
      <c r="K9" s="1228"/>
      <c r="L9" s="1235"/>
      <c r="M9" s="1229"/>
      <c r="N9" s="1230"/>
      <c r="O9" s="1231"/>
      <c r="P9" s="1231"/>
      <c r="Q9" s="1232"/>
      <c r="R9" s="1233"/>
      <c r="S9" s="1234"/>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1"/>
      <c r="B10" s="930"/>
      <c r="C10" s="940">
        <v>100</v>
      </c>
      <c r="D10" s="711">
        <f>C10-$T9</f>
        <v>100</v>
      </c>
      <c r="E10" s="711">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5"/>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1"/>
      <c r="B11" s="1245" t="s">
        <v>2089</v>
      </c>
      <c r="C11" s="936"/>
      <c r="D11" s="937"/>
      <c r="E11" s="937"/>
      <c r="F11" s="937"/>
      <c r="G11" s="937"/>
      <c r="H11" s="937"/>
      <c r="I11" s="937"/>
      <c r="J11" s="937"/>
      <c r="K11" s="937"/>
      <c r="L11" s="937"/>
      <c r="M11" s="938"/>
      <c r="N11" s="941"/>
      <c r="O11" s="942"/>
      <c r="P11" s="942"/>
      <c r="Q11" s="943"/>
      <c r="R11" s="944"/>
      <c r="S11" s="945"/>
      <c r="T11" s="939"/>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1"/>
      <c r="B13" s="1245" t="s">
        <v>2090</v>
      </c>
      <c r="C13" s="936"/>
      <c r="D13" s="937"/>
      <c r="E13" s="937"/>
      <c r="F13" s="937"/>
      <c r="G13" s="937"/>
      <c r="H13" s="937"/>
      <c r="I13" s="937"/>
      <c r="J13" s="937"/>
      <c r="K13" s="937"/>
      <c r="L13" s="937"/>
      <c r="M13" s="938"/>
      <c r="N13" s="941"/>
      <c r="O13" s="942"/>
      <c r="P13" s="942"/>
      <c r="Q13" s="943"/>
      <c r="R13" s="944"/>
      <c r="S13" s="945"/>
      <c r="T13" s="946"/>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1"/>
      <c r="B15" s="1245" t="s">
        <v>2091</v>
      </c>
      <c r="C15" s="936"/>
      <c r="D15" s="937"/>
      <c r="E15" s="937"/>
      <c r="F15" s="937"/>
      <c r="G15" s="937"/>
      <c r="H15" s="937"/>
      <c r="I15" s="937"/>
      <c r="J15" s="937"/>
      <c r="K15" s="937"/>
      <c r="L15" s="937"/>
      <c r="M15" s="938"/>
      <c r="N15" s="941"/>
      <c r="O15" s="942"/>
      <c r="P15" s="942"/>
      <c r="Q15" s="943"/>
      <c r="R15" s="944"/>
      <c r="S15" s="945"/>
      <c r="T15" s="946"/>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2" t="s">
        <v>2092</v>
      </c>
      <c r="B17" s="1983" t="s">
        <v>2093</v>
      </c>
      <c r="C17" s="949"/>
      <c r="D17" s="950"/>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3"/>
      <c r="AS17" s="683"/>
    </row>
    <row r="18" spans="1:45" s="623" customFormat="1" ht="13.5" thickBot="1">
      <c r="A18" s="958"/>
      <c r="B18" s="959"/>
      <c r="C18" s="960"/>
      <c r="D18" s="961"/>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3"/>
      <c r="AS18" s="683"/>
    </row>
    <row r="19" spans="1:45">
      <c r="A19" s="119"/>
      <c r="B19" s="149"/>
      <c r="C19" s="149"/>
      <c r="D19" s="1984" t="s">
        <v>2094</v>
      </c>
      <c r="E19" s="1249"/>
      <c r="F19" s="1249"/>
      <c r="G19" s="1249"/>
      <c r="H19" s="992"/>
      <c r="I19" s="149"/>
      <c r="J19" s="149"/>
      <c r="K19" s="149"/>
      <c r="L19" s="149"/>
      <c r="M19" s="149"/>
      <c r="N19" s="149"/>
      <c r="O19" s="149"/>
      <c r="P19" s="149"/>
      <c r="Q19" s="149"/>
      <c r="R19" s="149"/>
      <c r="S19" s="119"/>
    </row>
    <row r="20" spans="1:45" ht="16.5" thickBot="1">
      <c r="A20" s="630" t="s">
        <v>2095</v>
      </c>
      <c r="B20" s="284" t="e">
        <f ca="1">IF(D20="——",S22,S22-F20)</f>
        <v>#REF!</v>
      </c>
      <c r="C20" s="149"/>
      <c r="D20" s="1985"/>
      <c r="E20" s="1250"/>
      <c r="F20" s="925" t="e">
        <f ca="1">SUMIF(INDIRECT("'"&amp;H20&amp;"'"&amp;"!A:A"),"承租人权益价值",INDIRECT("'"&amp;H20&amp;"'"&amp;"!c:c"))</f>
        <v>#REF!</v>
      </c>
      <c r="G20" s="925" t="s">
        <v>2096</v>
      </c>
      <c r="H20" s="1986"/>
      <c r="I20" s="149"/>
      <c r="J20" s="149"/>
      <c r="K20" s="149"/>
      <c r="L20" s="149"/>
      <c r="M20" s="149"/>
      <c r="N20" s="149"/>
      <c r="O20" s="149"/>
      <c r="P20" s="149"/>
      <c r="Q20" s="149"/>
      <c r="R20" s="149"/>
      <c r="S20" s="119"/>
    </row>
    <row r="21" spans="1:45" ht="15.75">
      <c r="A21" s="630" t="s">
        <v>2097</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2098</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7">
        <v>1</v>
      </c>
      <c r="D24" s="2568"/>
      <c r="E24" s="2567">
        <v>1</v>
      </c>
      <c r="F24" s="2568"/>
      <c r="G24" s="2567">
        <v>1</v>
      </c>
      <c r="H24" s="2568"/>
      <c r="I24" s="2567">
        <v>1</v>
      </c>
      <c r="J24" s="2568"/>
      <c r="K24" s="2567">
        <v>1</v>
      </c>
      <c r="L24" s="2568"/>
      <c r="M24" s="2567">
        <v>1</v>
      </c>
      <c r="N24" s="2568"/>
      <c r="O24" s="2567">
        <v>1</v>
      </c>
      <c r="P24" s="2568"/>
      <c r="Q24" s="2567">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1" t="s">
        <v>2080</v>
      </c>
      <c r="B1" s="4"/>
      <c r="C1" s="4"/>
      <c r="D1" s="4"/>
      <c r="E1" s="4"/>
      <c r="F1" s="2541"/>
      <c r="G1" s="2541"/>
      <c r="H1" s="2541"/>
      <c r="I1" s="2541"/>
      <c r="J1" s="2541"/>
      <c r="K1" s="2541"/>
      <c r="L1" s="2541"/>
      <c r="M1" s="2541"/>
      <c r="N1" s="2541"/>
      <c r="O1" s="2541"/>
      <c r="P1" s="2541"/>
    </row>
    <row r="2" spans="1:16" ht="15.75">
      <c r="A2" s="1980" t="s">
        <v>2072</v>
      </c>
      <c r="B2" s="2384" t="e">
        <f ca="1">SUMIF(B6:B13,"&lt;&gt;#ref!",B6:B13)</f>
        <v>#DIV/0!</v>
      </c>
      <c r="C2" s="1980" t="s">
        <v>2073</v>
      </c>
      <c r="D2" s="1980" t="s">
        <v>2074</v>
      </c>
      <c r="E2" s="2394">
        <f ca="1">SUMIF(E6:E13,"&lt;&gt;#ref!",E6:E13)</f>
        <v>0</v>
      </c>
      <c r="F2" s="2541"/>
      <c r="G2" s="2541"/>
      <c r="H2" s="2541"/>
      <c r="I2" s="2541"/>
      <c r="J2" s="2541"/>
      <c r="K2" s="2541"/>
      <c r="L2" s="2541"/>
      <c r="M2" s="2541"/>
      <c r="N2" s="2541"/>
      <c r="O2" s="2541"/>
      <c r="P2" s="2541"/>
    </row>
    <row r="3" spans="1:16" ht="15.75">
      <c r="A3" s="1980" t="s">
        <v>2075</v>
      </c>
      <c r="B3" s="2384" t="e">
        <f ca="1">ROUND(B2*10000/E2,0)</f>
        <v>#DIV/0!</v>
      </c>
      <c r="C3" s="1980" t="s">
        <v>2081</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2076</v>
      </c>
      <c r="B5" s="2392" t="s">
        <v>2077</v>
      </c>
      <c r="C5" s="1981"/>
      <c r="D5" s="2541"/>
      <c r="E5" s="2393" t="s">
        <v>2078</v>
      </c>
      <c r="F5" s="2541"/>
      <c r="G5" s="2541"/>
      <c r="H5" s="2541"/>
      <c r="I5" s="2541"/>
      <c r="J5" s="2541"/>
      <c r="K5" s="2541"/>
      <c r="L5" s="2541"/>
      <c r="M5" s="2541"/>
      <c r="N5" s="2541"/>
      <c r="O5" s="2541"/>
      <c r="P5" s="2541"/>
    </row>
    <row r="6" spans="1:16" ht="15.75">
      <c r="A6" s="2391" t="s">
        <v>2079</v>
      </c>
      <c r="B6" s="2384" t="e">
        <f ca="1">SUMIF(INDIRECT("'"&amp;A6&amp;"'"&amp;"!A:A"),"总价",INDIRECT("'"&amp;A6&amp;"'"&amp;"!B:B"))</f>
        <v>#DIV/0!</v>
      </c>
      <c r="C6" s="1980" t="s">
        <v>2073</v>
      </c>
      <c r="D6" s="2541"/>
      <c r="E6" s="2394">
        <f ca="1">SUMIF(INDIRECT("'"&amp;A6&amp;"'"&amp;"!C:C"),"建筑面积",INDIRECT("'"&amp;A6&amp;"'"&amp;"!D:D"))</f>
        <v>0</v>
      </c>
      <c r="F6" s="2541"/>
      <c r="G6" s="2541"/>
      <c r="H6" s="2541"/>
      <c r="I6" s="2541"/>
      <c r="J6" s="2541"/>
      <c r="K6" s="2541"/>
      <c r="L6" s="2541"/>
      <c r="M6" s="2541"/>
      <c r="N6" s="2541"/>
      <c r="O6" s="2541"/>
      <c r="P6" s="2541"/>
    </row>
    <row r="7" spans="1:16" ht="15.75">
      <c r="A7" s="2391"/>
      <c r="B7" s="2384" t="e">
        <f ca="1">SUMIF(INDIRECT("'"&amp;A7&amp;"'"&amp;"!A:A"),"总价",INDIRECT("'"&amp;A7&amp;"'"&amp;"!B:B"))</f>
        <v>#REF!</v>
      </c>
      <c r="C7" s="1980" t="s">
        <v>2073</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0" t="s">
        <v>2073</v>
      </c>
      <c r="D8" s="2541"/>
      <c r="E8" s="2394" t="e">
        <f t="shared" ca="1" si="0"/>
        <v>#REF!</v>
      </c>
      <c r="F8" s="2541"/>
      <c r="G8" s="2541"/>
      <c r="H8" s="2541"/>
      <c r="I8" s="2541"/>
      <c r="J8" s="2541"/>
      <c r="K8" s="2541"/>
      <c r="L8" s="2541"/>
      <c r="M8" s="2541"/>
      <c r="N8" s="2541"/>
      <c r="O8" s="2541"/>
      <c r="P8" s="2541"/>
    </row>
    <row r="9" spans="1:16" ht="15.75">
      <c r="A9" s="2391"/>
      <c r="B9" s="2384" t="e">
        <f t="shared" ca="1" si="1"/>
        <v>#REF!</v>
      </c>
      <c r="C9" s="1980" t="s">
        <v>2073</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0" t="s">
        <v>2073</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0" t="s">
        <v>2073</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0" t="s">
        <v>2073</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0" t="s">
        <v>2073</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4" customWidth="1"/>
    <col min="33" max="36" width="9.375" style="1891" customWidth="1"/>
    <col min="37" max="38" width="9.375" style="1841" customWidth="1"/>
    <col min="39" max="16384" width="12" style="1841"/>
  </cols>
  <sheetData>
    <row r="1" spans="1:36" ht="28.5">
      <c r="A1" s="186" t="s">
        <v>1925</v>
      </c>
      <c r="B1" s="187"/>
      <c r="C1" s="191" t="s">
        <v>1926</v>
      </c>
      <c r="D1" s="331">
        <f>SUM(D33:D34,D37:D42)</f>
        <v>0</v>
      </c>
      <c r="E1" s="1838"/>
      <c r="F1" s="1838"/>
      <c r="G1" s="1838"/>
      <c r="H1" s="1838"/>
      <c r="I1" s="1838"/>
      <c r="J1" s="1838"/>
      <c r="K1" s="1052"/>
      <c r="L1" s="1839" t="s">
        <v>1927</v>
      </c>
      <c r="M1" s="806">
        <f>SUMPRODUCT((区片价!B5:B9=I2)*(区片价!C3:G3=E2)*(区片价!C5:G9))</f>
        <v>0</v>
      </c>
      <c r="N1" s="809">
        <f>SUMPRODUCT((因素修正幅度!B5:B9=I2)*(因素修正幅度!C3:G3=E2)*(因素修正幅度!C5:G9))</f>
        <v>0</v>
      </c>
      <c r="O1" s="1840"/>
      <c r="P1" s="1840"/>
      <c r="Q1" s="1052"/>
      <c r="R1" s="1125" t="s">
        <v>1928</v>
      </c>
      <c r="S1" s="1125" t="s">
        <v>1929</v>
      </c>
      <c r="T1" s="1125" t="s">
        <v>1930</v>
      </c>
      <c r="U1" s="1125" t="s">
        <v>1931</v>
      </c>
      <c r="V1" s="1125" t="s">
        <v>1932</v>
      </c>
      <c r="W1" s="1129"/>
      <c r="X1" s="1129"/>
      <c r="Y1" s="1129"/>
      <c r="Z1" s="1129"/>
      <c r="AA1" s="1129"/>
      <c r="AB1" s="1129"/>
      <c r="AC1" s="1130"/>
      <c r="AD1" s="1131"/>
      <c r="AE1" s="1131"/>
      <c r="AF1" s="1131"/>
      <c r="AG1" s="1131"/>
      <c r="AH1" s="1131"/>
      <c r="AI1" s="1131"/>
      <c r="AJ1" s="1132"/>
    </row>
    <row r="2" spans="1:36" ht="15.75">
      <c r="A2" s="191" t="s">
        <v>1933</v>
      </c>
      <c r="B2" s="194" t="e">
        <f>C30</f>
        <v>#DIV/0!</v>
      </c>
      <c r="C2" s="1842" t="s">
        <v>1934</v>
      </c>
      <c r="D2" s="160" t="s">
        <v>1935</v>
      </c>
      <c r="E2" s="3117"/>
      <c r="F2" s="160" t="s">
        <v>1936</v>
      </c>
      <c r="G2" s="161">
        <f>IF(E2="商业",项目基本情况!B37,IF(E2="办公",项目基本情况!C37,IF(E2="住宅",项目基本情况!D37,IF(E2="工业",项目基本情况!E37,项目基本情况!F37))))</f>
        <v>0</v>
      </c>
      <c r="H2" s="160" t="s">
        <v>1937</v>
      </c>
      <c r="I2" s="161">
        <f>IF(E2="商业",项目基本情况!B38,IF(E2="办公",项目基本情况!C38,IF(E2="住宅",项目基本情况!D38,IF(E2="工业",项目基本情况!E38,项目基本情况!F38))))</f>
        <v>0</v>
      </c>
      <c r="J2" s="1838"/>
      <c r="K2" s="1052"/>
      <c r="L2" s="1843" t="s">
        <v>1938</v>
      </c>
      <c r="M2" s="807">
        <f>SUMPRODUCT((区片价!B10:B29=I2)*(区片价!C3:G3=E2)*(区片价!C10:G29))</f>
        <v>0</v>
      </c>
      <c r="N2" s="809">
        <f>SUMPRODUCT((因素修正幅度!B10:B29=I2)*(因素修正幅度!C3:G3=E2)*(因素修正幅度!C10:G29))</f>
        <v>0</v>
      </c>
      <c r="O2" s="1052"/>
      <c r="P2" s="1052"/>
      <c r="Q2" s="1052"/>
      <c r="R2" s="1125">
        <v>1</v>
      </c>
      <c r="S2" s="3060">
        <f>ROUND(SUMPRODUCT((B106:B110=R2)*(C105:N105=G2)*(C106:N110)),4)</f>
        <v>0</v>
      </c>
      <c r="T2" s="3060" t="e">
        <f t="shared" ref="T2:T16" si="0">ROUND($C$5*$C$22*$C$23*$C$24*S2*$C$28,0)</f>
        <v>#DIV/0!</v>
      </c>
      <c r="U2" s="1126"/>
      <c r="V2" s="3060" t="e">
        <f>ROUND(T2*U2/10000,0)</f>
        <v>#DIV/0!</v>
      </c>
      <c r="W2" s="1129"/>
      <c r="X2" s="1129"/>
      <c r="Y2" s="1129"/>
      <c r="Z2" s="1129"/>
      <c r="AA2" s="1129"/>
      <c r="AB2" s="1129"/>
      <c r="AC2" s="1130"/>
      <c r="AD2" s="1131"/>
      <c r="AE2" s="1131"/>
      <c r="AF2" s="1131"/>
      <c r="AG2" s="1131"/>
      <c r="AH2" s="1131"/>
      <c r="AI2" s="1131"/>
      <c r="AJ2" s="1132"/>
    </row>
    <row r="3" spans="1:36" ht="15.75">
      <c r="A3" s="193" t="s">
        <v>1939</v>
      </c>
      <c r="B3" s="194" t="e">
        <f>ROUND(B2*10000/D1,0)</f>
        <v>#DIV/0!</v>
      </c>
      <c r="C3" s="1842" t="s">
        <v>1940</v>
      </c>
      <c r="D3" s="160" t="s">
        <v>1941</v>
      </c>
      <c r="E3" s="3115"/>
      <c r="F3" s="1844"/>
      <c r="G3" s="704">
        <f>IF(F3="宗地容积率",'数据-汇总表'!I4,IF(F3="估价对象容积率",'数据-汇总表'!I6,'数据-汇总表'!I7))</f>
        <v>2</v>
      </c>
      <c r="H3" s="160" t="s">
        <v>1942</v>
      </c>
      <c r="I3" s="725"/>
      <c r="J3" s="1838" t="s">
        <v>1943</v>
      </c>
      <c r="K3" s="1052"/>
      <c r="L3" s="1843" t="s">
        <v>1944</v>
      </c>
      <c r="M3" s="807">
        <f>SUMPRODUCT((区片价!B30:B54=I2)*(区片价!C3:G3=E2)*(区片价!C30:G54))</f>
        <v>0</v>
      </c>
      <c r="N3" s="809">
        <f>SUMPRODUCT((因素修正幅度!B30:B54=I2)*(因素修正幅度!C3:G3=E2)*(因素修正幅度!C30:G54))</f>
        <v>0</v>
      </c>
      <c r="O3" s="1052"/>
      <c r="P3" s="1052"/>
      <c r="Q3" s="1052"/>
      <c r="R3" s="1125">
        <v>2</v>
      </c>
      <c r="S3" s="3060">
        <f>ROUND(SUMPRODUCT((B106:B110=R3)*(C105:N105=G2)*(C106:N110)),4)</f>
        <v>0</v>
      </c>
      <c r="T3" s="3060" t="e">
        <f t="shared" si="0"/>
        <v>#DIV/0!</v>
      </c>
      <c r="U3" s="1126"/>
      <c r="V3" s="3060" t="e">
        <f t="shared" ref="V3:V16" si="1">ROUND(T3*U3/10000,0)</f>
        <v>#DIV/0!</v>
      </c>
      <c r="W3" s="1129"/>
      <c r="X3" s="1129"/>
      <c r="Y3" s="1129"/>
      <c r="Z3" s="1129"/>
      <c r="AA3" s="1129"/>
      <c r="AB3" s="1129"/>
      <c r="AC3" s="1130"/>
      <c r="AD3" s="1131"/>
      <c r="AE3" s="1131"/>
      <c r="AF3" s="1131"/>
      <c r="AG3" s="1131"/>
      <c r="AH3" s="1131"/>
      <c r="AI3" s="1131"/>
      <c r="AJ3" s="1132"/>
    </row>
    <row r="4" spans="1:36" ht="15.75">
      <c r="A4" s="3486"/>
      <c r="B4" s="3487"/>
      <c r="C4" s="3487"/>
      <c r="D4" s="3488"/>
      <c r="E4" s="3488"/>
      <c r="F4" s="3488"/>
      <c r="G4" s="3488"/>
      <c r="H4" s="3488"/>
      <c r="I4" s="3488"/>
      <c r="J4" s="3489"/>
      <c r="K4" s="1052"/>
      <c r="L4" s="1843" t="s">
        <v>1945</v>
      </c>
      <c r="M4" s="807">
        <f>SUMPRODUCT((区片价!B55:B86=I2)*(区片价!C3:G3=E2)*(区片价!C55:G86))</f>
        <v>0</v>
      </c>
      <c r="N4" s="809">
        <f>SUMPRODUCT((因素修正幅度!B55:B86=I2)*(因素修正幅度!C3:G3=E2)*(因素修正幅度!C55:G86))</f>
        <v>0</v>
      </c>
      <c r="O4" s="1052"/>
      <c r="P4" s="1052"/>
      <c r="Q4" s="1052"/>
      <c r="R4" s="1125">
        <v>3</v>
      </c>
      <c r="S4" s="3060">
        <f>ROUND(SUMPRODUCT((B106:B110=R4)*(C105:N105=G2)*(C106:N110)),4)</f>
        <v>0</v>
      </c>
      <c r="T4" s="3060" t="e">
        <f t="shared" si="0"/>
        <v>#DIV/0!</v>
      </c>
      <c r="U4" s="1126"/>
      <c r="V4" s="3060" t="e">
        <f t="shared" si="1"/>
        <v>#DIV/0!</v>
      </c>
      <c r="W4" s="1129"/>
      <c r="X4" s="1129"/>
      <c r="Y4" s="1129"/>
      <c r="Z4" s="1129"/>
      <c r="AA4" s="1129"/>
      <c r="AB4" s="1129"/>
      <c r="AC4" s="1130"/>
      <c r="AD4" s="1131"/>
      <c r="AE4" s="1131"/>
      <c r="AF4" s="1131"/>
      <c r="AG4" s="1131"/>
      <c r="AH4" s="1131"/>
      <c r="AI4" s="1131"/>
      <c r="AJ4" s="1132"/>
    </row>
    <row r="5" spans="1:36" s="1854" customFormat="1" ht="15.75" thickBot="1">
      <c r="A5" s="1845" t="s">
        <v>362</v>
      </c>
      <c r="B5" s="1846" t="s">
        <v>1946</v>
      </c>
      <c r="C5" s="705" t="e">
        <f>ROUND(IF(E2="商业",C6*C7*C17+C20,(IF(E2="住宅",C6*C13*C17+C20,IF(E2="办公",C6*C12*C17+C20,C6+C20)))),0)</f>
        <v>#DIV/0!</v>
      </c>
      <c r="D5" s="1248" t="e">
        <f>ROUND(C6*C17+C20,0)</f>
        <v>#DIV/0!</v>
      </c>
      <c r="E5" s="1248"/>
      <c r="F5" s="1847"/>
      <c r="G5" s="1848"/>
      <c r="H5" s="1848"/>
      <c r="I5" s="1848"/>
      <c r="J5" s="1849"/>
      <c r="K5" s="1850"/>
      <c r="L5" s="1843" t="s">
        <v>1947</v>
      </c>
      <c r="M5" s="807">
        <f>SUMPRODUCT((区片价!B87:B126=I2)*(区片价!C3:G3=E2)*(区片价!C87:G126))</f>
        <v>0</v>
      </c>
      <c r="N5" s="809">
        <f>SUMPRODUCT((因素修正幅度!B87:B126=I2)*(因素修正幅度!C3:G3=E2)*(因素修正幅度!C87:G126))</f>
        <v>0</v>
      </c>
      <c r="O5" s="1052"/>
      <c r="P5" s="1052"/>
      <c r="Q5" s="1052"/>
      <c r="R5" s="1125">
        <v>4</v>
      </c>
      <c r="S5" s="3060">
        <f>ROUND(SUMPRODUCT((B106:B110=R5)*(C105:N105=G2)*(C106:N110)),4)</f>
        <v>0</v>
      </c>
      <c r="T5" s="3060" t="e">
        <f t="shared" si="0"/>
        <v>#DIV/0!</v>
      </c>
      <c r="U5" s="1126"/>
      <c r="V5" s="3060" t="e">
        <f t="shared" si="1"/>
        <v>#DIV/0!</v>
      </c>
      <c r="W5" s="1129"/>
      <c r="X5" s="1129"/>
      <c r="Y5" s="1129"/>
      <c r="Z5" s="1129"/>
      <c r="AA5" s="1129"/>
      <c r="AB5" s="1129"/>
      <c r="AC5" s="1851"/>
      <c r="AD5" s="1852"/>
      <c r="AE5" s="1852"/>
      <c r="AF5" s="1852"/>
      <c r="AG5" s="1852"/>
      <c r="AH5" s="1852"/>
      <c r="AI5" s="1852"/>
      <c r="AJ5" s="1853"/>
    </row>
    <row r="6" spans="1:36" ht="15.75" thickBot="1">
      <c r="A6" s="1855" t="s">
        <v>1948</v>
      </c>
      <c r="B6" s="1856" t="s">
        <v>1949</v>
      </c>
      <c r="C6" s="706">
        <f>SUMIF(L1:L12,G2,M1:M12)</f>
        <v>0</v>
      </c>
      <c r="D6" s="1857"/>
      <c r="E6" s="1858"/>
      <c r="F6" s="1858"/>
      <c r="G6" s="1859"/>
      <c r="H6" s="1859"/>
      <c r="I6" s="1859"/>
      <c r="J6" s="1860"/>
      <c r="K6" s="1288"/>
      <c r="L6" s="1843" t="s">
        <v>1950</v>
      </c>
      <c r="M6" s="807">
        <f>SUMPRODUCT((区片价!B127:B189=I2)*(区片价!C3:G3=E2)*(区片价!C127:G189))</f>
        <v>0</v>
      </c>
      <c r="N6" s="809">
        <f>SUMPRODUCT((因素修正幅度!B127:B189=I2)*(因素修正幅度!C3:G3=E2)*(因素修正幅度!C127:G189))</f>
        <v>0</v>
      </c>
      <c r="O6" s="1052"/>
      <c r="P6" s="1052"/>
      <c r="Q6" s="1052"/>
      <c r="R6" s="1125">
        <v>5</v>
      </c>
      <c r="S6" s="3060">
        <f>ROUND(SUMPRODUCT((B106:B110=R6)*(C105:N105=G2)*(C106:N110)),4)</f>
        <v>0</v>
      </c>
      <c r="T6" s="3060" t="e">
        <f t="shared" si="0"/>
        <v>#DIV/0!</v>
      </c>
      <c r="U6" s="1126"/>
      <c r="V6" s="3060" t="e">
        <f t="shared" si="1"/>
        <v>#DIV/0!</v>
      </c>
      <c r="W6" s="1129"/>
      <c r="X6" s="1129"/>
      <c r="Y6" s="1129"/>
      <c r="Z6" s="1129"/>
      <c r="AA6" s="1129"/>
      <c r="AB6" s="1129"/>
      <c r="AC6" s="1851"/>
      <c r="AD6" s="1852"/>
      <c r="AE6" s="1852"/>
      <c r="AF6" s="1852"/>
      <c r="AG6" s="1852"/>
      <c r="AH6" s="1852"/>
      <c r="AI6" s="1852"/>
      <c r="AJ6" s="1853"/>
    </row>
    <row r="7" spans="1:36" ht="24.75" thickBot="1">
      <c r="A7" s="3009" t="s">
        <v>3227</v>
      </c>
      <c r="B7" s="1861" t="s">
        <v>1951</v>
      </c>
      <c r="C7" s="707" t="e">
        <f>IF(C8="不临65条商业街",1,ROUND(1+(1.6*E8+1.2*E9+0.8*E10+0.4*E11)*C9,4))</f>
        <v>#DIV/0!</v>
      </c>
      <c r="D7" s="1862" t="s">
        <v>1952</v>
      </c>
      <c r="E7" s="726"/>
      <c r="F7" s="1863"/>
      <c r="G7" s="1864"/>
      <c r="H7" s="1864"/>
      <c r="I7" s="1864"/>
      <c r="J7" s="1865"/>
      <c r="K7" s="1288"/>
      <c r="L7" s="1843" t="s">
        <v>1953</v>
      </c>
      <c r="M7" s="807">
        <f>SUMPRODUCT((区片价!B190:B233=I2)*(区片价!C3:G3=E2)*(区片价!C190:G233))</f>
        <v>0</v>
      </c>
      <c r="N7" s="809">
        <f>SUMPRODUCT((因素修正幅度!B190:B233=I2)*(因素修正幅度!C3:G3=E2)*(因素修正幅度!C190:G233))</f>
        <v>0</v>
      </c>
      <c r="O7" s="1052"/>
      <c r="P7" s="1052"/>
      <c r="Q7" s="1052"/>
      <c r="R7" s="1125">
        <v>6</v>
      </c>
      <c r="S7" s="3114"/>
      <c r="T7" s="3060" t="e">
        <f t="shared" si="0"/>
        <v>#DIV/0!</v>
      </c>
      <c r="U7" s="1126"/>
      <c r="V7" s="3060" t="e">
        <f t="shared" si="1"/>
        <v>#DIV/0!</v>
      </c>
      <c r="W7" s="1263" t="s">
        <v>1954</v>
      </c>
      <c r="X7" s="1127">
        <f>G2</f>
        <v>0</v>
      </c>
      <c r="Y7" s="1127" t="s">
        <v>1955</v>
      </c>
      <c r="Z7" s="1128">
        <f>G3</f>
        <v>2</v>
      </c>
      <c r="AA7" s="1129"/>
      <c r="AB7" s="1129"/>
      <c r="AC7" s="1130"/>
      <c r="AD7" s="1131"/>
      <c r="AE7" s="1131"/>
      <c r="AF7" s="1131"/>
      <c r="AG7" s="1131"/>
      <c r="AH7" s="1131"/>
      <c r="AI7" s="1131"/>
      <c r="AJ7" s="1132"/>
    </row>
    <row r="8" spans="1:36" ht="15">
      <c r="A8" s="3006"/>
      <c r="B8" s="160" t="s">
        <v>1956</v>
      </c>
      <c r="C8" s="1866"/>
      <c r="D8" s="708" t="s">
        <v>112</v>
      </c>
      <c r="E8" s="709" t="e">
        <f>ROUND(C11/E7,4)</f>
        <v>#DIV/0!</v>
      </c>
      <c r="F8" s="1867" t="s">
        <v>1957</v>
      </c>
      <c r="G8" s="1868"/>
      <c r="H8" s="1868"/>
      <c r="I8" s="1868"/>
      <c r="J8" s="1869"/>
      <c r="K8" s="1052"/>
      <c r="L8" s="1843" t="s">
        <v>1958</v>
      </c>
      <c r="M8" s="807">
        <f>SUMPRODUCT((区片价!B234:B276=I2)*(区片价!C3:G3=E2)*(区片价!C234:G276))</f>
        <v>0</v>
      </c>
      <c r="N8" s="809">
        <f>SUMPRODUCT((因素修正幅度!B234:B276=I2)*(因素修正幅度!C3:G3=E2)*(因素修正幅度!C234:G276))</f>
        <v>0</v>
      </c>
      <c r="O8" s="1052"/>
      <c r="P8" s="1052"/>
      <c r="Q8" s="1052"/>
      <c r="R8" s="1125">
        <v>7</v>
      </c>
      <c r="S8" s="1126"/>
      <c r="T8" s="3060" t="e">
        <f t="shared" si="0"/>
        <v>#DIV/0!</v>
      </c>
      <c r="U8" s="1126"/>
      <c r="V8" s="3060" t="e">
        <f t="shared" si="1"/>
        <v>#DIV/0!</v>
      </c>
      <c r="W8" s="3483" t="s">
        <v>1959</v>
      </c>
      <c r="X8" s="3484"/>
      <c r="Y8" s="1133" t="s">
        <v>1960</v>
      </c>
      <c r="Z8" s="1133" t="s">
        <v>1961</v>
      </c>
      <c r="AA8" s="1133" t="s">
        <v>1962</v>
      </c>
      <c r="AB8" s="1133" t="s">
        <v>1963</v>
      </c>
      <c r="AC8" s="1133" t="s">
        <v>1964</v>
      </c>
      <c r="AD8" s="1133" t="s">
        <v>1965</v>
      </c>
      <c r="AE8" s="1133" t="s">
        <v>1966</v>
      </c>
      <c r="AF8" s="1133" t="s">
        <v>1967</v>
      </c>
      <c r="AG8" s="1133" t="s">
        <v>1968</v>
      </c>
      <c r="AH8" s="1133" t="s">
        <v>1969</v>
      </c>
      <c r="AI8" s="1133" t="s">
        <v>1970</v>
      </c>
      <c r="AJ8" s="1133" t="s">
        <v>1971</v>
      </c>
    </row>
    <row r="9" spans="1:36" ht="15">
      <c r="A9" s="3006"/>
      <c r="B9" s="160" t="s">
        <v>1972</v>
      </c>
      <c r="C9" s="710">
        <f>SUMIF(修正!C73:C140,C8,修正!E73:E140)</f>
        <v>0</v>
      </c>
      <c r="D9" s="161" t="s">
        <v>113</v>
      </c>
      <c r="E9" s="161" t="e">
        <f>ROUND(C11/E7,4)</f>
        <v>#DIV/0!</v>
      </c>
      <c r="F9" s="1867" t="s">
        <v>1973</v>
      </c>
      <c r="G9" s="1868"/>
      <c r="H9" s="1868"/>
      <c r="I9" s="1868"/>
      <c r="J9" s="1869"/>
      <c r="K9" s="1052"/>
      <c r="L9" s="1843" t="s">
        <v>1974</v>
      </c>
      <c r="M9" s="807">
        <f>SUMPRODUCT((区片价!B277:B326=I2)*(区片价!C3:G3=E2)*(区片价!C277:G326))</f>
        <v>0</v>
      </c>
      <c r="N9" s="809">
        <f>SUMPRODUCT((因素修正幅度!B277:B326=I2)*(因素修正幅度!C3:G3=E2)*(因素修正幅度!C277:G326))</f>
        <v>0</v>
      </c>
      <c r="O9" s="1052"/>
      <c r="P9" s="1052"/>
      <c r="Q9" s="1052"/>
      <c r="R9" s="1125">
        <v>8</v>
      </c>
      <c r="S9" s="1126"/>
      <c r="T9" s="3060" t="e">
        <f t="shared" si="0"/>
        <v>#DIV/0!</v>
      </c>
      <c r="U9" s="1126"/>
      <c r="V9" s="3060" t="e">
        <f t="shared" si="1"/>
        <v>#DIV/0!</v>
      </c>
      <c r="W9" s="3485"/>
      <c r="X9" s="3061" t="s">
        <v>3256</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0" t="s">
        <v>1975</v>
      </c>
      <c r="C10" s="161">
        <f>SUMIF(修正!C73:C140,C8,修正!F73:F140)</f>
        <v>0</v>
      </c>
      <c r="D10" s="161" t="s">
        <v>114</v>
      </c>
      <c r="E10" s="161" t="e">
        <f>ROUND(C11/E7,4)</f>
        <v>#DIV/0!</v>
      </c>
      <c r="F10" s="1867" t="s">
        <v>1976</v>
      </c>
      <c r="G10" s="1868"/>
      <c r="H10" s="1868"/>
      <c r="I10" s="1868"/>
      <c r="J10" s="1869"/>
      <c r="K10" s="1052"/>
      <c r="L10" s="1843" t="s">
        <v>1977</v>
      </c>
      <c r="M10" s="807">
        <f>SUMPRODUCT((区片价!B327:B357=I2)*(区片价!C3:G3=E2)*(区片价!C327:G357))</f>
        <v>0</v>
      </c>
      <c r="N10" s="809">
        <f>SUMPRODUCT((因素修正幅度!B327:B357=I2)*(因素修正幅度!C3:G3=E2)*(因素修正幅度!C327:G357))</f>
        <v>0</v>
      </c>
      <c r="O10" s="1052"/>
      <c r="P10" s="1052"/>
      <c r="Q10" s="1052"/>
      <c r="R10" s="1125">
        <v>9</v>
      </c>
      <c r="S10" s="1126"/>
      <c r="T10" s="3060" t="e">
        <f t="shared" si="0"/>
        <v>#DIV/0!</v>
      </c>
      <c r="U10" s="1126"/>
      <c r="V10" s="3060" t="e">
        <f t="shared" si="1"/>
        <v>#DIV/0!</v>
      </c>
      <c r="W10" s="3485"/>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0" t="s">
        <v>1978</v>
      </c>
      <c r="C11" s="711">
        <f>C10/4</f>
        <v>0</v>
      </c>
      <c r="D11" s="711" t="s">
        <v>115</v>
      </c>
      <c r="E11" s="711" t="e">
        <f>ROUND(C11/E7,4)</f>
        <v>#DIV/0!</v>
      </c>
      <c r="F11" s="1871" t="s">
        <v>1979</v>
      </c>
      <c r="G11" s="1872"/>
      <c r="H11" s="1872"/>
      <c r="I11" s="1872"/>
      <c r="J11" s="1873"/>
      <c r="K11" s="1052"/>
      <c r="L11" s="1843" t="s">
        <v>1980</v>
      </c>
      <c r="M11" s="807">
        <f>SUMPRODUCT((区片价!B358:B377=I2)*(区片价!C3:G3=E2)*(区片价!C358:G377))</f>
        <v>0</v>
      </c>
      <c r="N11" s="809">
        <f>SUMPRODUCT((因素修正幅度!B358:B377=I2)*(因素修正幅度!C3:G3=E2)*(因素修正幅度!C358:G377))</f>
        <v>0</v>
      </c>
      <c r="O11" s="1052"/>
      <c r="P11" s="1052"/>
      <c r="Q11" s="1052"/>
      <c r="R11" s="1125">
        <v>10</v>
      </c>
      <c r="S11" s="1126"/>
      <c r="T11" s="3060" t="e">
        <f t="shared" si="0"/>
        <v>#DIV/0!</v>
      </c>
      <c r="U11" s="1126"/>
      <c r="V11" s="3060" t="e">
        <f t="shared" si="1"/>
        <v>#DIV/0!</v>
      </c>
      <c r="W11" s="1129"/>
      <c r="X11" s="1129"/>
      <c r="Y11" s="1129"/>
      <c r="Z11" s="1129"/>
      <c r="AA11" s="1129"/>
      <c r="AB11" s="1129"/>
      <c r="AC11" s="1130"/>
      <c r="AD11" s="2550"/>
      <c r="AE11" s="2550"/>
      <c r="AF11" s="2550"/>
      <c r="AG11" s="2550"/>
      <c r="AH11" s="2550"/>
      <c r="AI11" s="2550"/>
      <c r="AJ11" s="2551"/>
    </row>
    <row r="12" spans="1:36" ht="25.5" thickBot="1">
      <c r="A12" s="3009" t="s">
        <v>3228</v>
      </c>
      <c r="B12" s="3010" t="s">
        <v>3229</v>
      </c>
      <c r="C12" s="3011"/>
      <c r="D12" s="3012" t="s">
        <v>3230</v>
      </c>
      <c r="E12" s="3013" t="s">
        <v>3231</v>
      </c>
      <c r="F12" s="3014"/>
      <c r="G12" s="3015"/>
      <c r="H12" s="3015"/>
      <c r="I12" s="3015"/>
      <c r="J12" s="3016"/>
      <c r="K12" s="1052"/>
      <c r="L12" s="1792" t="s">
        <v>1983</v>
      </c>
      <c r="M12" s="808">
        <f>SUMPRODUCT((区片价!B378:B384=I2)*(区片价!C3:G3=E2)*(区片价!C378:G384))</f>
        <v>0</v>
      </c>
      <c r="N12" s="809">
        <f>SUMPRODUCT((因素修正幅度!B378:B384=I2)*(因素修正幅度!C3:G3=E2)*(因素修正幅度!C378:G384))</f>
        <v>0</v>
      </c>
      <c r="O12" s="1052"/>
      <c r="P12" s="1052"/>
      <c r="Q12" s="1052"/>
      <c r="R12" s="1125">
        <v>11</v>
      </c>
      <c r="S12" s="1126"/>
      <c r="T12" s="3060" t="e">
        <f t="shared" si="0"/>
        <v>#DIV/0!</v>
      </c>
      <c r="U12" s="1126"/>
      <c r="V12" s="3060" t="e">
        <f t="shared" si="1"/>
        <v>#DIV/0!</v>
      </c>
      <c r="W12" s="1129"/>
      <c r="X12" s="1129"/>
      <c r="Y12" s="1129"/>
      <c r="Z12" s="1129"/>
      <c r="AA12" s="1129"/>
      <c r="AB12" s="1129"/>
      <c r="AC12" s="1130"/>
      <c r="AD12" s="2550"/>
      <c r="AE12" s="2550"/>
      <c r="AF12" s="2550"/>
      <c r="AG12" s="2550"/>
      <c r="AH12" s="2550"/>
      <c r="AI12" s="2550"/>
      <c r="AJ12" s="2551"/>
    </row>
    <row r="13" spans="1:36" ht="15.75" thickBot="1">
      <c r="A13" s="3009" t="s">
        <v>3232</v>
      </c>
      <c r="B13" s="1874" t="s">
        <v>1981</v>
      </c>
      <c r="C13" s="707">
        <f>ROUND(C16*D16*E16*F16*G16*H16*I16*J16,4)</f>
        <v>0</v>
      </c>
      <c r="D13" s="1875" t="s">
        <v>1982</v>
      </c>
      <c r="E13" s="1876"/>
      <c r="F13" s="1876"/>
      <c r="G13" s="1877"/>
      <c r="H13" s="1877"/>
      <c r="I13" s="1877"/>
      <c r="J13" s="1878"/>
      <c r="K13" s="1052"/>
      <c r="L13" s="3"/>
      <c r="M13" s="4"/>
      <c r="N13" s="3007"/>
      <c r="O13" s="1052"/>
      <c r="P13" s="1052"/>
      <c r="Q13" s="1052"/>
      <c r="R13" s="1125">
        <v>12</v>
      </c>
      <c r="S13" s="1126"/>
      <c r="T13" s="3060" t="e">
        <f t="shared" si="0"/>
        <v>#DIV/0!</v>
      </c>
      <c r="U13" s="1126"/>
      <c r="V13" s="3060" t="e">
        <f t="shared" si="1"/>
        <v>#DIV/0!</v>
      </c>
      <c r="W13" s="1129"/>
      <c r="X13" s="1129"/>
      <c r="Y13" s="1129"/>
      <c r="Z13" s="1129"/>
      <c r="AA13" s="1129"/>
      <c r="AB13" s="1129"/>
      <c r="AC13" s="1130"/>
      <c r="AD13" s="2550"/>
      <c r="AE13" s="2550"/>
      <c r="AF13" s="2550"/>
      <c r="AG13" s="2550"/>
      <c r="AH13" s="2550"/>
      <c r="AI13" s="2550"/>
      <c r="AJ13" s="2551"/>
    </row>
    <row r="14" spans="1:36" ht="15">
      <c r="A14" s="3005"/>
      <c r="B14" s="1879" t="s">
        <v>1984</v>
      </c>
      <c r="C14" s="1880" t="s">
        <v>1985</v>
      </c>
      <c r="D14" s="1257" t="s">
        <v>1986</v>
      </c>
      <c r="E14" s="27" t="s">
        <v>1987</v>
      </c>
      <c r="F14" s="3017" t="s">
        <v>3233</v>
      </c>
      <c r="G14" s="3017" t="s">
        <v>3233</v>
      </c>
      <c r="H14" s="3017" t="s">
        <v>3233</v>
      </c>
      <c r="I14" s="3017" t="s">
        <v>3233</v>
      </c>
      <c r="J14" s="3017" t="s">
        <v>3233</v>
      </c>
      <c r="K14" s="1052"/>
      <c r="L14" s="1052"/>
      <c r="M14" s="1052"/>
      <c r="N14" s="1052"/>
      <c r="O14" s="1052"/>
      <c r="P14" s="1052"/>
      <c r="Q14" s="1052"/>
      <c r="R14" s="1125">
        <v>13</v>
      </c>
      <c r="S14" s="1126"/>
      <c r="T14" s="3060" t="e">
        <f t="shared" si="0"/>
        <v>#DIV/0!</v>
      </c>
      <c r="U14" s="1126"/>
      <c r="V14" s="3060" t="e">
        <f t="shared" si="1"/>
        <v>#DIV/0!</v>
      </c>
      <c r="W14" s="1129"/>
      <c r="X14" s="1129"/>
      <c r="Y14" s="1129"/>
      <c r="Z14" s="1129"/>
      <c r="AA14" s="1129"/>
      <c r="AB14" s="1129"/>
      <c r="AC14" s="1130"/>
      <c r="AD14" s="2550"/>
      <c r="AE14" s="2550"/>
      <c r="AF14" s="2550"/>
      <c r="AG14" s="2550"/>
      <c r="AH14" s="2550"/>
      <c r="AI14" s="2550"/>
      <c r="AJ14" s="2551"/>
    </row>
    <row r="15" spans="1:36" ht="15">
      <c r="A15" s="3005"/>
      <c r="B15" s="1881"/>
      <c r="C15" s="1882"/>
      <c r="D15" s="1883"/>
      <c r="E15" s="1884"/>
      <c r="F15" s="1466" t="s">
        <v>3234</v>
      </c>
      <c r="G15" s="1924"/>
      <c r="H15" s="3018"/>
      <c r="I15" s="3019"/>
      <c r="J15" s="3020"/>
      <c r="K15" s="1052"/>
      <c r="L15" s="1052"/>
      <c r="M15" s="1052"/>
      <c r="N15" s="1052"/>
      <c r="O15" s="1052"/>
      <c r="P15" s="1052"/>
      <c r="Q15" s="1052"/>
      <c r="R15" s="1125">
        <v>14</v>
      </c>
      <c r="S15" s="1126"/>
      <c r="T15" s="3060" t="e">
        <f t="shared" si="0"/>
        <v>#DIV/0!</v>
      </c>
      <c r="U15" s="1126"/>
      <c r="V15" s="3060" t="e">
        <f t="shared" si="1"/>
        <v>#DIV/0!</v>
      </c>
      <c r="W15" s="1129"/>
      <c r="X15" s="1129"/>
      <c r="Y15" s="1129"/>
      <c r="Z15" s="1129"/>
      <c r="AA15" s="1129"/>
      <c r="AB15" s="1129"/>
      <c r="AC15" s="1130"/>
      <c r="AD15" s="2550"/>
      <c r="AE15" s="2550"/>
      <c r="AF15" s="2550"/>
      <c r="AG15" s="2550"/>
      <c r="AH15" s="2550"/>
      <c r="AI15" s="2550"/>
      <c r="AJ15" s="2551"/>
    </row>
    <row r="16" spans="1:36" ht="15.75" thickBot="1">
      <c r="A16" s="3005"/>
      <c r="B16" s="3023" t="s">
        <v>1988</v>
      </c>
      <c r="C16" s="3021"/>
      <c r="D16" s="3021"/>
      <c r="E16" s="3021"/>
      <c r="F16" s="3021">
        <v>1</v>
      </c>
      <c r="G16" s="3021">
        <v>1</v>
      </c>
      <c r="H16" s="3021">
        <v>1</v>
      </c>
      <c r="I16" s="3021">
        <v>1</v>
      </c>
      <c r="J16" s="3022">
        <v>1</v>
      </c>
      <c r="K16" s="1052"/>
      <c r="L16" s="1840"/>
      <c r="M16" s="1840"/>
      <c r="N16" s="1840"/>
      <c r="O16" s="1840"/>
      <c r="P16" s="1840"/>
      <c r="Q16" s="1052"/>
      <c r="R16" s="1125">
        <v>15</v>
      </c>
      <c r="S16" s="1126"/>
      <c r="T16" s="3060" t="e">
        <f t="shared" si="0"/>
        <v>#DIV/0!</v>
      </c>
      <c r="U16" s="1126"/>
      <c r="V16" s="3060" t="e">
        <f t="shared" si="1"/>
        <v>#DIV/0!</v>
      </c>
      <c r="W16" s="1129"/>
      <c r="X16" s="1129"/>
      <c r="Y16" s="1129"/>
      <c r="Z16" s="1129"/>
      <c r="AA16" s="1129"/>
      <c r="AB16" s="1129"/>
      <c r="AC16" s="1130"/>
      <c r="AD16" s="2550"/>
      <c r="AE16" s="2550"/>
      <c r="AF16" s="2550"/>
      <c r="AG16" s="2550"/>
      <c r="AH16" s="2550"/>
      <c r="AI16" s="2550"/>
      <c r="AJ16" s="2551"/>
    </row>
    <row r="17" spans="1:37">
      <c r="A17" s="3032" t="s">
        <v>3235</v>
      </c>
      <c r="B17" s="3024" t="s">
        <v>3236</v>
      </c>
      <c r="C17" s="3033">
        <f>ROUND(IF(OR(E2="工业",E2="公共服务"),1,IF(AND(E18=0,E19=0),1,IF(AND(E18=J24,E19=G19),0.8,IF(E19=0,1+E17*(-0.2),1+E17*G17*(-0.2))))),4)</f>
        <v>1</v>
      </c>
      <c r="D17" s="3025" t="s">
        <v>3237</v>
      </c>
      <c r="E17" s="3033" t="e">
        <f>ROUND(G18/I18,2)</f>
        <v>#DIV/0!</v>
      </c>
      <c r="F17" s="3025" t="s">
        <v>3240</v>
      </c>
      <c r="G17" s="3033" t="e">
        <f>ROUND(E19/G19,2)</f>
        <v>#DIV/0!</v>
      </c>
      <c r="H17" s="3033"/>
      <c r="I17" s="3033"/>
      <c r="J17" s="3034"/>
      <c r="K17" s="1052"/>
      <c r="L17" s="1840"/>
      <c r="M17" s="1840"/>
      <c r="N17" s="1840"/>
      <c r="O17" s="1840"/>
      <c r="P17" s="1840"/>
      <c r="Q17" s="1052"/>
      <c r="R17" s="1052"/>
      <c r="S17" s="1052"/>
      <c r="T17" s="1052"/>
      <c r="U17" s="1052"/>
      <c r="V17" s="1052"/>
      <c r="W17" s="1052"/>
      <c r="X17" s="1052"/>
      <c r="Y17" s="1052"/>
      <c r="Z17" s="1053"/>
      <c r="AA17" s="1053"/>
      <c r="AB17" s="1053"/>
      <c r="AC17" s="1053"/>
      <c r="AD17" s="1053"/>
      <c r="AE17" s="1052"/>
      <c r="AF17" s="1052"/>
      <c r="AG17" s="1840"/>
      <c r="AH17" s="1840"/>
      <c r="AI17" s="1840"/>
      <c r="AJ17" s="1840"/>
    </row>
    <row r="18" spans="1:37" s="1854" customFormat="1" ht="14.25">
      <c r="A18" s="3035"/>
      <c r="B18" s="2306"/>
      <c r="C18" s="3031"/>
      <c r="D18" s="3026" t="s">
        <v>3238</v>
      </c>
      <c r="E18" s="2353"/>
      <c r="F18" s="3027" t="s">
        <v>3241</v>
      </c>
      <c r="G18" s="3031">
        <f>ROUND(1-(1/(POWER(1+G24,E18))),4)</f>
        <v>0</v>
      </c>
      <c r="H18" s="3027" t="s">
        <v>3243</v>
      </c>
      <c r="I18" s="3031">
        <f>ROUND(1-(1/(POWER(1+G24,J24))),4)</f>
        <v>0</v>
      </c>
      <c r="J18" s="3036"/>
      <c r="K18" s="1052"/>
      <c r="L18" s="1840"/>
      <c r="M18" s="1840"/>
      <c r="N18" s="1840"/>
      <c r="O18" s="1840"/>
      <c r="P18" s="1840"/>
      <c r="Q18" s="1052"/>
      <c r="R18" s="1056"/>
      <c r="S18" s="1056"/>
      <c r="T18" s="1053"/>
      <c r="U18" s="1053"/>
      <c r="V18" s="1053"/>
      <c r="W18" s="1052"/>
      <c r="X18" s="1052"/>
      <c r="Y18" s="1052"/>
      <c r="Z18" s="1057"/>
      <c r="AA18" s="1057"/>
      <c r="AB18" s="1057"/>
      <c r="AC18" s="1057"/>
      <c r="AD18" s="1057"/>
      <c r="AE18" s="1053"/>
      <c r="AF18" s="1053"/>
      <c r="AG18" s="1976"/>
      <c r="AH18" s="1976"/>
      <c r="AI18" s="1976"/>
      <c r="AJ18" s="2549"/>
    </row>
    <row r="19" spans="1:37" s="1854" customFormat="1" ht="15" thickBot="1">
      <c r="A19" s="3037"/>
      <c r="B19" s="3038"/>
      <c r="C19" s="3039"/>
      <c r="D19" s="3039" t="s">
        <v>3239</v>
      </c>
      <c r="E19" s="3040"/>
      <c r="F19" s="3041" t="s">
        <v>3242</v>
      </c>
      <c r="G19" s="3040"/>
      <c r="H19" s="3039"/>
      <c r="I19" s="3039"/>
      <c r="J19" s="3042"/>
      <c r="K19" s="1052"/>
      <c r="L19" s="1840"/>
      <c r="M19" s="1840"/>
      <c r="N19" s="1840"/>
      <c r="O19" s="1840"/>
      <c r="P19" s="1840"/>
      <c r="Q19" s="1056"/>
      <c r="R19" s="1056"/>
      <c r="S19" s="1056"/>
      <c r="T19" s="1053"/>
      <c r="U19" s="1053"/>
      <c r="V19" s="1053"/>
      <c r="W19" s="1052"/>
      <c r="X19" s="1052"/>
      <c r="Y19" s="1052"/>
      <c r="Z19" s="1057"/>
      <c r="AA19" s="1057"/>
      <c r="AB19" s="1057"/>
      <c r="AC19" s="1057"/>
      <c r="AD19" s="1057"/>
      <c r="AE19" s="1057"/>
      <c r="AF19" s="1056"/>
      <c r="AG19" s="2552"/>
      <c r="AH19" s="1976"/>
      <c r="AI19" s="559"/>
      <c r="AJ19" s="559"/>
      <c r="AK19" s="1895"/>
    </row>
    <row r="20" spans="1:37" s="1854" customFormat="1" ht="14.25">
      <c r="A20" s="3490" t="s">
        <v>3244</v>
      </c>
      <c r="B20" s="157" t="s">
        <v>1993</v>
      </c>
      <c r="C20" s="3028" t="e">
        <f>ROUND(IF(F21="与级别开发程度一致",0,(G21-E21)/C21),0)</f>
        <v>#DIV/0!</v>
      </c>
      <c r="D20" s="3043" t="s">
        <v>1997</v>
      </c>
      <c r="E20" s="3044"/>
      <c r="F20" s="3496" t="s">
        <v>1994</v>
      </c>
      <c r="G20" s="3497"/>
      <c r="H20" s="3029"/>
      <c r="I20" s="3029"/>
      <c r="J20" s="3030"/>
      <c r="K20" s="1885"/>
      <c r="L20" s="1885"/>
      <c r="M20" s="1885"/>
      <c r="N20" s="1885"/>
      <c r="O20" s="1886"/>
      <c r="P20" s="1840"/>
      <c r="Q20" s="1056"/>
      <c r="R20" s="1056"/>
      <c r="S20" s="1056"/>
      <c r="T20" s="1053"/>
      <c r="U20" s="1053"/>
      <c r="V20" s="1053"/>
      <c r="W20" s="1052"/>
      <c r="X20" s="1052"/>
      <c r="Y20" s="1052"/>
      <c r="Z20" s="1057"/>
      <c r="AA20" s="1057"/>
      <c r="AB20" s="1057"/>
      <c r="AC20" s="1057"/>
      <c r="AD20" s="1057"/>
      <c r="AE20" s="1057"/>
      <c r="AF20" s="1057"/>
      <c r="AG20" s="2549"/>
      <c r="AH20" s="2549"/>
      <c r="AI20" s="2549"/>
      <c r="AJ20" s="2549"/>
    </row>
    <row r="21" spans="1:37" s="1854" customFormat="1" ht="15" thickBot="1">
      <c r="A21" s="3491"/>
      <c r="B21" s="1998" t="s">
        <v>1996</v>
      </c>
      <c r="C21" s="1999">
        <f>IF(E3="M4科研用地",SUMPRODUCT((修正!A2:A7=E3)*(修正!B1:M1=G2)*(修正!B2:M7)),SUMPRODUCT((修正!A2:A7=E2)*(修正!B1:M1=G2)*(修正!B2:M7)))</f>
        <v>0</v>
      </c>
      <c r="D21" s="177" t="str">
        <f>IF(OR(G2="八级",G2="九级",G2="十级",G2="十一级",G2="十二级"),"五通一平","七通一平")</f>
        <v>七通一平</v>
      </c>
      <c r="E21" s="1989">
        <f>SUMPRODUCT((修正!B1:M1=G2)*(修正!B17:M17))</f>
        <v>0</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9"/>
      <c r="R21" s="1056"/>
      <c r="S21" s="1056"/>
      <c r="T21" s="1053"/>
      <c r="U21" s="1053"/>
      <c r="V21" s="1053"/>
      <c r="W21" s="1052"/>
      <c r="X21" s="1052"/>
      <c r="Y21" s="1052"/>
      <c r="Z21" s="1057"/>
      <c r="AA21" s="1057"/>
      <c r="AB21" s="1057"/>
      <c r="AC21" s="1057"/>
      <c r="AD21" s="1057"/>
      <c r="AE21" s="1057"/>
      <c r="AF21" s="1057"/>
      <c r="AG21" s="2549"/>
      <c r="AH21" s="2549"/>
      <c r="AI21" s="2549"/>
      <c r="AJ21" s="2549"/>
    </row>
    <row r="22" spans="1:37" s="1854" customFormat="1" ht="15.75" thickBot="1">
      <c r="A22" s="1992" t="s">
        <v>363</v>
      </c>
      <c r="B22" s="1993" t="s">
        <v>1999</v>
      </c>
      <c r="C22" s="1994">
        <f>SUMIF(修正!C20:C53,E3,修正!E20:E53)</f>
        <v>0</v>
      </c>
      <c r="D22" s="1995"/>
      <c r="E22" s="1996"/>
      <c r="F22" s="1996"/>
      <c r="G22" s="1996"/>
      <c r="H22" s="1996"/>
      <c r="I22" s="1996"/>
      <c r="J22" s="1997"/>
      <c r="K22" s="1057"/>
      <c r="L22" s="2549"/>
      <c r="M22" s="2549"/>
      <c r="N22" s="2549"/>
      <c r="O22" s="1055"/>
      <c r="P22" s="1055"/>
      <c r="Q22" s="2549"/>
      <c r="R22" s="1056"/>
      <c r="S22" s="1056"/>
      <c r="T22" s="1053"/>
      <c r="U22" s="1053"/>
      <c r="V22" s="1053"/>
      <c r="W22" s="1052"/>
      <c r="X22" s="1052"/>
      <c r="Y22" s="1052"/>
      <c r="Z22" s="1057"/>
      <c r="AA22" s="1057"/>
      <c r="AB22" s="1057"/>
      <c r="AC22" s="1057"/>
      <c r="AD22" s="1057"/>
      <c r="AE22" s="1057"/>
      <c r="AF22" s="1057"/>
      <c r="AG22" s="2549"/>
      <c r="AH22" s="2549"/>
      <c r="AI22" s="2549"/>
      <c r="AJ22" s="2549"/>
    </row>
    <row r="23" spans="1:37" ht="15.75" thickBot="1">
      <c r="A23" s="1888" t="s">
        <v>364</v>
      </c>
      <c r="B23" s="1889" t="s">
        <v>2000</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2" t="s">
        <v>2001</v>
      </c>
      <c r="E23" s="713">
        <v>44197</v>
      </c>
      <c r="F23" s="1892" t="s">
        <v>2002</v>
      </c>
      <c r="G23" s="714">
        <f>'数据-取费表'!B2</f>
        <v>45924</v>
      </c>
      <c r="H23" s="3045"/>
      <c r="I23" s="3046" t="str">
        <f>IF(H23="季度增幅（自定义）",SUMIF(N25:N28,E2,O25:O28),"")</f>
        <v/>
      </c>
      <c r="J23" s="3138"/>
      <c r="K23" s="1057"/>
      <c r="L23" s="1893" t="s">
        <v>2003</v>
      </c>
      <c r="M23" s="1237">
        <f>ROUND(SUMIF(地价!B2:G2,E2,地价!B16:G16),0)</f>
        <v>0</v>
      </c>
      <c r="N23" s="1894" t="s">
        <v>2004</v>
      </c>
      <c r="O23" s="715">
        <f>ROUNDDOWN(DATEDIF(E23,G23,"M")/3,0)</f>
        <v>18</v>
      </c>
      <c r="P23" s="1053"/>
      <c r="Q23" s="2549"/>
      <c r="R23" s="1056"/>
      <c r="S23" s="1056"/>
      <c r="T23" s="1053"/>
      <c r="U23" s="1053"/>
      <c r="V23" s="1053"/>
      <c r="W23" s="1052"/>
      <c r="X23" s="1052"/>
      <c r="Y23" s="1052"/>
      <c r="Z23" s="1057"/>
      <c r="AA23" s="1057"/>
      <c r="AB23" s="1057"/>
      <c r="AC23" s="1057"/>
      <c r="AD23" s="1057"/>
      <c r="AE23" s="1053"/>
      <c r="AF23" s="1053"/>
      <c r="AG23" s="1976"/>
      <c r="AH23" s="1976"/>
      <c r="AI23" s="1976"/>
      <c r="AJ23" s="1976"/>
      <c r="AK23" s="1891"/>
    </row>
    <row r="24" spans="1:37" s="1854" customFormat="1" ht="24.75" thickBot="1">
      <c r="A24" s="1896" t="s">
        <v>365</v>
      </c>
      <c r="B24" s="1897" t="s">
        <v>2005</v>
      </c>
      <c r="C24" s="716" t="e">
        <f>ROUND(POWER(1+G24,J24-I24)*(POWER(1+G24,I24)-1)/(POWER(1+G24,J24)-1),4)</f>
        <v>#DIV/0!</v>
      </c>
      <c r="D24" s="1898" t="s">
        <v>2006</v>
      </c>
      <c r="E24" s="1244">
        <f>存贷款利率!E28/100</f>
        <v>4.3499999999999997E-2</v>
      </c>
      <c r="F24" s="1898" t="s">
        <v>1998</v>
      </c>
      <c r="G24" s="720">
        <f>SUMIF(M30:Q30,E2,M33:Q33)</f>
        <v>0</v>
      </c>
      <c r="H24" s="1898" t="s">
        <v>2007</v>
      </c>
      <c r="I24" s="721" t="e">
        <f>SUMIF('数据-取费表'!C6:C15,E2,'数据-取费表'!F6:F15)/COUNTIF('数据-取费表'!C6:C15,E2)</f>
        <v>#DIV/0!</v>
      </c>
      <c r="J24" s="722">
        <f>IF(E2="住宅",70,IF(E2="商业",40,50))</f>
        <v>50</v>
      </c>
      <c r="K24" s="1057"/>
      <c r="L24" s="1899" t="s">
        <v>2008</v>
      </c>
      <c r="M24" s="1238">
        <f>ROUND(SUMPRODUCT((地价!A4:A16=YEAR(G23)&amp;"-"&amp;ROUNDUP(MONTH(G23)/3,0))*(地价!B2:G2=E2)*(地价!B4:G16)),0)</f>
        <v>0</v>
      </c>
      <c r="N24" s="1900" t="s">
        <v>2009</v>
      </c>
      <c r="O24" s="1901" t="s">
        <v>2010</v>
      </c>
      <c r="P24" s="1902" t="s">
        <v>2011</v>
      </c>
      <c r="Q24" s="1840"/>
      <c r="R24" s="1056"/>
      <c r="S24" s="1056"/>
      <c r="T24" s="1053"/>
      <c r="U24" s="1053"/>
      <c r="V24" s="1053"/>
      <c r="W24" s="1052"/>
      <c r="X24" s="1052"/>
      <c r="Y24" s="1052"/>
      <c r="Z24" s="1057"/>
      <c r="AA24" s="1057"/>
      <c r="AB24" s="1057"/>
      <c r="AC24" s="1057"/>
      <c r="AD24" s="1057"/>
      <c r="AE24" s="1057"/>
      <c r="AF24" s="1057"/>
      <c r="AG24" s="2549"/>
      <c r="AH24" s="2549"/>
      <c r="AI24" s="2549"/>
      <c r="AJ24" s="2549"/>
    </row>
    <row r="25" spans="1:37" ht="15">
      <c r="A25" s="1903" t="s">
        <v>366</v>
      </c>
      <c r="B25" s="1904" t="s">
        <v>3323</v>
      </c>
      <c r="C25" s="459">
        <f>IF(B25="容积率修正",IF(G3&lt;10,D26,J26),C27)</f>
        <v>0</v>
      </c>
      <c r="D25" s="1905"/>
      <c r="E25" s="1905"/>
      <c r="F25" s="1905"/>
      <c r="G25" s="1905"/>
      <c r="H25" s="1905"/>
      <c r="I25" s="1905"/>
      <c r="J25" s="1906"/>
      <c r="K25" s="1057"/>
      <c r="L25" s="2549"/>
      <c r="M25" s="2549"/>
      <c r="N25" s="1907" t="s">
        <v>2012</v>
      </c>
      <c r="O25" s="1089"/>
      <c r="P25" s="1090">
        <f>SUMPRODUCT((地价!A3:A40=YEAR(G23)&amp;"-"&amp;ROUNDUP(MONTH(G23)/3,0))*(地价!AD2:AH2=N25)*(地价!AD3:AH40))</f>
        <v>0</v>
      </c>
      <c r="Q25" s="2549"/>
      <c r="R25" s="1056"/>
      <c r="S25" s="1056"/>
      <c r="T25" s="1053"/>
      <c r="U25" s="1053"/>
      <c r="V25" s="1053"/>
      <c r="W25" s="1052"/>
      <c r="X25" s="1052"/>
      <c r="Y25" s="1052"/>
      <c r="Z25" s="1057"/>
      <c r="AA25" s="1057"/>
      <c r="AB25" s="1057"/>
      <c r="AC25" s="1057"/>
      <c r="AD25" s="1057"/>
      <c r="AE25" s="1053"/>
      <c r="AF25" s="1053"/>
      <c r="AG25" s="1976"/>
      <c r="AH25" s="1976"/>
      <c r="AI25" s="1976"/>
      <c r="AJ25" s="1976"/>
    </row>
    <row r="26" spans="1:37" ht="14.25">
      <c r="A26" s="1802" t="s">
        <v>2013</v>
      </c>
      <c r="B26" s="1908" t="s">
        <v>2014</v>
      </c>
      <c r="C26" s="1908" t="s">
        <v>3245</v>
      </c>
      <c r="D26" s="1259">
        <f>IF(E26=G26,F26,IF(G3&lt;10,ROUND(F26+(H26-F26)*(G3-E26)/(G26-E26),4),"——"))</f>
        <v>0</v>
      </c>
      <c r="E26" s="704">
        <f>ROUNDDOWN(G3,1)</f>
        <v>2</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2</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3246</v>
      </c>
      <c r="J26" s="372" t="str">
        <f>IF(G3&gt;=10,D115,"——")</f>
        <v>——</v>
      </c>
      <c r="K26" s="1057"/>
      <c r="L26" s="2549"/>
      <c r="M26" s="2549"/>
      <c r="N26" s="1907" t="s">
        <v>2015</v>
      </c>
      <c r="O26" s="1089"/>
      <c r="P26" s="1090">
        <f>SUMPRODUCT((地价!A3:A40=YEAR(G23)&amp;"-"&amp;ROUNDUP(MONTH(G23)/3,0))*(地价!AD2:AH2=N26)*(地价!AD3:AH40))</f>
        <v>0</v>
      </c>
      <c r="Q26" s="1840"/>
      <c r="R26" s="1056"/>
      <c r="S26" s="1056"/>
      <c r="T26" s="1053"/>
      <c r="U26" s="1053"/>
      <c r="V26" s="1053"/>
      <c r="W26" s="1052"/>
      <c r="X26" s="1052"/>
      <c r="Y26" s="1052"/>
      <c r="Z26" s="1057"/>
      <c r="AA26" s="1057"/>
      <c r="AB26" s="1057"/>
      <c r="AC26" s="1057"/>
      <c r="AD26" s="1057"/>
      <c r="AE26" s="1053"/>
      <c r="AF26" s="1053"/>
      <c r="AG26" s="1976"/>
      <c r="AH26" s="1976"/>
      <c r="AI26" s="1976"/>
      <c r="AJ26" s="1976"/>
    </row>
    <row r="27" spans="1:37" ht="15.75" thickBot="1">
      <c r="A27" s="1802" t="s">
        <v>2016</v>
      </c>
      <c r="B27" s="1909" t="s">
        <v>2017</v>
      </c>
      <c r="C27" s="787">
        <f>ROUND(IF(I3&lt;6,SUMPRODUCT((B106:B110=I3)*(C105:N105=G2)*(C106:N110)),SUMIF(C105:N105,G2,C112:N112)),4)</f>
        <v>0</v>
      </c>
      <c r="D27" s="1838"/>
      <c r="E27" s="1838"/>
      <c r="F27" s="1910"/>
      <c r="G27" s="1911"/>
      <c r="H27" s="1912"/>
      <c r="I27" s="1913"/>
      <c r="J27" s="1914"/>
      <c r="K27" s="1052"/>
      <c r="L27" s="1840"/>
      <c r="M27" s="1840"/>
      <c r="N27" s="1907" t="s">
        <v>2018</v>
      </c>
      <c r="O27" s="1089"/>
      <c r="P27" s="1090">
        <f>SUMPRODUCT((地价!A3:A40=YEAR(G23)&amp;"-"&amp;ROUNDUP(MONTH(G23)/3,0))*(地价!AD2:AH2=N27)*(地价!AD3:AH40))</f>
        <v>0</v>
      </c>
      <c r="Q27" s="1840"/>
      <c r="R27" s="1056"/>
      <c r="S27" s="1056"/>
      <c r="T27" s="1053"/>
      <c r="U27" s="1053"/>
      <c r="V27" s="1053"/>
      <c r="W27" s="1052"/>
      <c r="X27" s="1052"/>
      <c r="Y27" s="1052"/>
      <c r="Z27" s="1057"/>
      <c r="AA27" s="1057"/>
      <c r="AB27" s="1057"/>
      <c r="AC27" s="1057"/>
      <c r="AD27" s="1057"/>
      <c r="AE27" s="1053"/>
      <c r="AF27" s="1053"/>
      <c r="AG27" s="1976"/>
      <c r="AH27" s="1976"/>
      <c r="AI27" s="1976"/>
      <c r="AJ27" s="1976"/>
    </row>
    <row r="28" spans="1:37" ht="15.75" thickBot="1">
      <c r="A28" s="1896" t="s">
        <v>367</v>
      </c>
      <c r="B28" s="1889" t="s">
        <v>2019</v>
      </c>
      <c r="C28" s="712">
        <f>SUMIF(A47:A101,E2,B47:B101)</f>
        <v>0</v>
      </c>
      <c r="D28" s="1890"/>
      <c r="E28" s="1915"/>
      <c r="F28" s="1915"/>
      <c r="G28" s="1915"/>
      <c r="H28" s="1915"/>
      <c r="I28" s="1915"/>
      <c r="J28" s="1916"/>
      <c r="K28" s="1057"/>
      <c r="L28" s="2549"/>
      <c r="M28" s="2549"/>
      <c r="N28" s="1917" t="s">
        <v>2020</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6"/>
      <c r="AH28" s="1976"/>
      <c r="AI28" s="1976"/>
      <c r="AJ28" s="1976"/>
    </row>
    <row r="29" spans="1:37" ht="15.75" thickBot="1">
      <c r="A29" s="1896" t="s">
        <v>368</v>
      </c>
      <c r="B29" s="1918" t="s">
        <v>2021</v>
      </c>
      <c r="C29" s="717"/>
      <c r="D29" s="1864"/>
      <c r="E29" s="1864"/>
      <c r="F29" s="1919"/>
      <c r="G29" s="1864"/>
      <c r="H29" s="1864"/>
      <c r="I29" s="1864"/>
      <c r="J29" s="1865"/>
      <c r="K29" s="1052"/>
      <c r="L29" s="1840"/>
      <c r="M29" s="1840"/>
      <c r="N29" s="2546" t="s">
        <v>2022</v>
      </c>
      <c r="O29" s="2547"/>
      <c r="P29" s="2548">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40"/>
      <c r="AH29" s="1840"/>
      <c r="AI29" s="1840"/>
      <c r="AJ29" s="1840"/>
    </row>
    <row r="30" spans="1:37" ht="15">
      <c r="A30" s="1920"/>
      <c r="B30" s="1908" t="s">
        <v>2023</v>
      </c>
      <c r="C30" s="2141" t="e">
        <f>IF(B25="容积率修正",E33+SUM(E37:E42),SUM(V2:V16)+SUM(E37:E42))</f>
        <v>#DIV/0!</v>
      </c>
      <c r="D30" s="1921"/>
      <c r="E30" s="1838"/>
      <c r="F30" s="1922"/>
      <c r="G30" s="1838"/>
      <c r="H30" s="1838"/>
      <c r="I30" s="1838"/>
      <c r="J30" s="1923"/>
      <c r="K30" s="1052"/>
      <c r="L30" s="3052" t="s">
        <v>1935</v>
      </c>
      <c r="M30" s="3053" t="s">
        <v>1989</v>
      </c>
      <c r="N30" s="3053" t="s">
        <v>1990</v>
      </c>
      <c r="O30" s="3053" t="s">
        <v>1991</v>
      </c>
      <c r="P30" s="3053" t="s">
        <v>1992</v>
      </c>
      <c r="Q30" s="3056" t="s">
        <v>3250</v>
      </c>
      <c r="R30" s="1056"/>
      <c r="S30" s="1056"/>
      <c r="T30" s="1053"/>
      <c r="U30" s="1053"/>
      <c r="V30" s="1053"/>
      <c r="W30" s="1052"/>
      <c r="X30" s="1052"/>
      <c r="Y30" s="1052"/>
      <c r="Z30" s="1057"/>
      <c r="AA30" s="1057"/>
      <c r="AB30" s="1057"/>
      <c r="AC30" s="1057"/>
      <c r="AD30" s="1057"/>
      <c r="AE30" s="1052"/>
      <c r="AF30" s="1052"/>
      <c r="AG30" s="1840"/>
      <c r="AH30" s="1840"/>
      <c r="AI30" s="1840"/>
      <c r="AJ30" s="1840"/>
    </row>
    <row r="31" spans="1:37" ht="15.75" thickBot="1">
      <c r="A31" s="1920"/>
      <c r="B31" s="1924" t="s">
        <v>2024</v>
      </c>
      <c r="C31" s="718" t="e">
        <f>E34+SUM(I37:I42)</f>
        <v>#DIV/0!</v>
      </c>
      <c r="D31" s="1925"/>
      <c r="E31" s="1926"/>
      <c r="F31" s="1927"/>
      <c r="G31" s="1926"/>
      <c r="H31" s="1926"/>
      <c r="I31" s="1926"/>
      <c r="J31" s="1928"/>
      <c r="K31" s="1052"/>
      <c r="L31" s="3054" t="s">
        <v>1995</v>
      </c>
      <c r="M31" s="160">
        <v>0.25</v>
      </c>
      <c r="N31" s="160">
        <v>0.2</v>
      </c>
      <c r="O31" s="160">
        <v>0.15</v>
      </c>
      <c r="P31" s="160">
        <v>0.1</v>
      </c>
      <c r="Q31" s="3049">
        <v>0.15</v>
      </c>
      <c r="R31" s="1056"/>
      <c r="S31" s="1056"/>
      <c r="T31" s="1053"/>
      <c r="U31" s="1053"/>
      <c r="V31" s="1053"/>
      <c r="W31" s="1052"/>
      <c r="X31" s="1052"/>
      <c r="Y31" s="1052"/>
      <c r="Z31" s="1057"/>
      <c r="AA31" s="1057"/>
      <c r="AB31" s="1057"/>
      <c r="AC31" s="1057"/>
      <c r="AD31" s="1057"/>
      <c r="AE31" s="1052"/>
      <c r="AF31" s="1052"/>
      <c r="AG31" s="1840"/>
      <c r="AH31" s="1840"/>
      <c r="AI31" s="1840"/>
      <c r="AJ31" s="1840"/>
    </row>
    <row r="32" spans="1:37" ht="15.75" thickBot="1">
      <c r="A32" s="1929"/>
      <c r="B32" s="1930" t="s">
        <v>2025</v>
      </c>
      <c r="C32" s="1931" t="s">
        <v>2026</v>
      </c>
      <c r="D32" s="1931" t="s">
        <v>2027</v>
      </c>
      <c r="E32" s="1932" t="s">
        <v>2028</v>
      </c>
      <c r="F32" s="1933"/>
      <c r="G32" s="1877"/>
      <c r="H32" s="1877"/>
      <c r="I32" s="1877"/>
      <c r="J32" s="1878"/>
      <c r="K32" s="1052"/>
      <c r="L32" s="3055" t="s">
        <v>1998</v>
      </c>
      <c r="M32" s="2352">
        <f>ROUND($E$24*(1+M31),3)</f>
        <v>5.3999999999999999E-2</v>
      </c>
      <c r="N32" s="2352">
        <f>ROUND($E$24*(1+N31),3)</f>
        <v>5.1999999999999998E-2</v>
      </c>
      <c r="O32" s="2352">
        <f>ROUND($E$24*(1+O31),3)</f>
        <v>0.05</v>
      </c>
      <c r="P32" s="2352">
        <f>ROUND($E$24*(1+P31),3)</f>
        <v>4.8000000000000001E-2</v>
      </c>
      <c r="Q32" s="3057">
        <f>ROUND($E$24*(1+Q31),3)</f>
        <v>0.05</v>
      </c>
      <c r="R32" s="1056"/>
      <c r="S32" s="1056"/>
      <c r="T32" s="1053"/>
      <c r="U32" s="1053"/>
      <c r="V32" s="1053"/>
      <c r="W32" s="1052"/>
      <c r="X32" s="1052"/>
      <c r="Y32" s="1052"/>
      <c r="Z32" s="1057"/>
      <c r="AA32" s="1057"/>
      <c r="AB32" s="1057"/>
      <c r="AC32" s="1057"/>
      <c r="AD32" s="1057"/>
      <c r="AE32" s="1052"/>
      <c r="AF32" s="1052"/>
      <c r="AG32" s="1840"/>
      <c r="AH32" s="1840"/>
      <c r="AI32" s="1840"/>
      <c r="AJ32" s="1840"/>
    </row>
    <row r="33" spans="1:37" ht="14.25">
      <c r="A33" s="1934"/>
      <c r="B33" s="1935" t="s">
        <v>2029</v>
      </c>
      <c r="C33" s="165" t="e">
        <f>ROUND(C5*C22*C23*C24*C25*C28,0)</f>
        <v>#DIV/0!</v>
      </c>
      <c r="D33" s="1936"/>
      <c r="E33" s="723" t="e">
        <f>ROUND(C33*D33/10000,0)</f>
        <v>#DIV/0!</v>
      </c>
      <c r="F33" s="3047" t="s">
        <v>3248</v>
      </c>
      <c r="G33" s="1937"/>
      <c r="H33" s="1937"/>
      <c r="I33" s="1937"/>
      <c r="J33" s="1938"/>
      <c r="K33" s="1052"/>
      <c r="L33" s="3050" t="s">
        <v>3251</v>
      </c>
      <c r="M33" s="3051">
        <v>5.5E-2</v>
      </c>
      <c r="N33" s="3051">
        <v>5.5E-2</v>
      </c>
      <c r="O33" s="3051">
        <v>0.05</v>
      </c>
      <c r="P33" s="3051">
        <v>0.05</v>
      </c>
      <c r="Q33" s="3051">
        <v>0.05</v>
      </c>
      <c r="R33" s="1056"/>
      <c r="S33" s="1056"/>
      <c r="T33" s="1053"/>
      <c r="U33" s="1053"/>
      <c r="V33" s="1053"/>
      <c r="W33" s="1052"/>
      <c r="X33" s="1052"/>
      <c r="Y33" s="1052"/>
      <c r="Z33" s="1057"/>
      <c r="AA33" s="1057"/>
      <c r="AB33" s="1057"/>
      <c r="AC33" s="1057"/>
      <c r="AD33" s="1057"/>
      <c r="AE33" s="1053"/>
      <c r="AF33" s="1053"/>
      <c r="AG33" s="1976"/>
      <c r="AH33" s="1976"/>
      <c r="AI33" s="1976"/>
      <c r="AJ33" s="1976"/>
    </row>
    <row r="34" spans="1:37" ht="25.5" thickBot="1">
      <c r="A34" s="1939"/>
      <c r="B34" s="1940" t="s">
        <v>2030</v>
      </c>
      <c r="C34" s="177" t="e">
        <f>ROUND(IF(E2="工业",C33*M42,IF(B25="楼层修正",SUM(V2:V16)*M41*10000/D34,C33*M41)),0)</f>
        <v>#DIV/0!</v>
      </c>
      <c r="D34" s="1941"/>
      <c r="E34" s="723" t="e">
        <f>ROUND(IF(B25="楼层修正",SUM(V2:V16)*M40,C34*D34/10000),0)</f>
        <v>#DIV/0!</v>
      </c>
      <c r="F34" s="1942" t="s">
        <v>2031</v>
      </c>
      <c r="G34" s="1943"/>
      <c r="H34" s="1943"/>
      <c r="I34" s="1943"/>
      <c r="J34" s="1944"/>
      <c r="K34" s="1052"/>
      <c r="L34" s="3050" t="s">
        <v>3252</v>
      </c>
      <c r="M34" s="3051">
        <v>6.5000000000000002E-2</v>
      </c>
      <c r="N34" s="3051">
        <v>6.5000000000000002E-2</v>
      </c>
      <c r="O34" s="3051">
        <v>0.06</v>
      </c>
      <c r="P34" s="3051">
        <v>0.06</v>
      </c>
      <c r="Q34" s="3051">
        <v>0.06</v>
      </c>
      <c r="R34" s="1056"/>
      <c r="S34" s="1056"/>
      <c r="T34" s="1053"/>
      <c r="U34" s="1053"/>
      <c r="V34" s="1053"/>
      <c r="W34" s="1052"/>
      <c r="X34" s="1052"/>
      <c r="Y34" s="1052"/>
      <c r="Z34" s="1057"/>
      <c r="AA34" s="1057"/>
      <c r="AB34" s="1057"/>
      <c r="AC34" s="1057"/>
      <c r="AD34" s="1057"/>
      <c r="AE34" s="1053"/>
      <c r="AF34" s="1053"/>
      <c r="AG34" s="1976"/>
      <c r="AH34" s="1976"/>
      <c r="AI34" s="1976"/>
      <c r="AJ34" s="1976"/>
    </row>
    <row r="35" spans="1:37">
      <c r="A35" s="1945"/>
      <c r="B35" s="1946" t="s">
        <v>2032</v>
      </c>
      <c r="C35" s="3048" t="s">
        <v>3249</v>
      </c>
      <c r="D35" s="1877"/>
      <c r="E35" s="1947"/>
      <c r="F35" s="1947"/>
      <c r="G35" s="1875" t="s">
        <v>2033</v>
      </c>
      <c r="H35" s="1877"/>
      <c r="I35" s="1948"/>
      <c r="J35" s="1878"/>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6"/>
      <c r="AH35" s="1976"/>
      <c r="AI35" s="1976"/>
      <c r="AJ35" s="1976"/>
    </row>
    <row r="36" spans="1:37" ht="24.75" thickBot="1">
      <c r="A36" s="1934"/>
      <c r="B36" s="1949"/>
      <c r="C36" s="434" t="s">
        <v>2026</v>
      </c>
      <c r="D36" s="431" t="s">
        <v>2027</v>
      </c>
      <c r="E36" s="431" t="s">
        <v>2028</v>
      </c>
      <c r="F36" s="331" t="s">
        <v>2034</v>
      </c>
      <c r="G36" s="1950" t="s">
        <v>2026</v>
      </c>
      <c r="H36" s="1950" t="s">
        <v>2027</v>
      </c>
      <c r="I36" s="1950" t="s">
        <v>2028</v>
      </c>
      <c r="J36" s="233"/>
      <c r="K36" s="1960" t="s">
        <v>3253</v>
      </c>
      <c r="L36" s="3139">
        <f ca="1">'数据-取费表'!B40</f>
        <v>3.2500000000000001E-2</v>
      </c>
      <c r="M36" s="2362">
        <f ca="1">ROUND($L$36*(1+M31),3)</f>
        <v>4.1000000000000002E-2</v>
      </c>
      <c r="N36" s="2362">
        <f ca="1">ROUND($L$36*(1+N31),3)</f>
        <v>3.9E-2</v>
      </c>
      <c r="O36" s="2362">
        <f ca="1">ROUND($L$36*(1+O31),3)</f>
        <v>3.6999999999999998E-2</v>
      </c>
      <c r="P36" s="2362">
        <f ca="1">ROUND($L$36*(1+P31),3)</f>
        <v>3.5999999999999997E-2</v>
      </c>
      <c r="Q36" s="2362">
        <f ca="1">ROUND($L$36*(1+Q31),3)</f>
        <v>3.6999999999999998E-2</v>
      </c>
      <c r="R36" s="1052"/>
      <c r="S36" s="1052"/>
      <c r="T36" s="1052"/>
      <c r="U36" s="1052"/>
      <c r="V36" s="1052"/>
      <c r="W36" s="1052"/>
      <c r="X36" s="1052"/>
      <c r="Y36" s="1052"/>
      <c r="Z36" s="1053"/>
      <c r="AA36" s="1053"/>
      <c r="AB36" s="1053"/>
      <c r="AC36" s="1053"/>
      <c r="AD36" s="1053"/>
      <c r="AE36" s="1053"/>
      <c r="AF36" s="1053"/>
      <c r="AG36" s="1976"/>
      <c r="AH36" s="1976"/>
      <c r="AI36" s="1976"/>
      <c r="AJ36" s="1976"/>
    </row>
    <row r="37" spans="1:37" ht="24.75" thickBot="1">
      <c r="A37" s="3494"/>
      <c r="B37" s="1951" t="s">
        <v>2035</v>
      </c>
      <c r="C37" s="165" t="e">
        <f>ROUND(D5*C22*C23*C24*C28*F37,0)</f>
        <v>#DIV/0!</v>
      </c>
      <c r="D37" s="1936"/>
      <c r="E37" s="161" t="e">
        <f>ROUND(C37*D37/10000,0)</f>
        <v>#DIV/0!</v>
      </c>
      <c r="F37" s="161">
        <f>SUMIF(修正!A59:A70,G2,修正!B59:B70)</f>
        <v>0</v>
      </c>
      <c r="G37" s="161" t="e">
        <f>ROUND(IF(E2="工业",C37*$M$42,C37*$M$41),0)</f>
        <v>#DIV/0!</v>
      </c>
      <c r="H37" s="161">
        <f>D37</f>
        <v>0</v>
      </c>
      <c r="I37" s="161" t="e">
        <f>ROUND(G37*H37/10000,0)</f>
        <v>#DIV/0!</v>
      </c>
      <c r="J37" s="2751"/>
      <c r="K37" s="3058" t="s">
        <v>3254</v>
      </c>
      <c r="L37" s="1960">
        <f ca="1">L36+K38</f>
        <v>3.7499999999999999E-2</v>
      </c>
      <c r="M37" s="2362">
        <f ca="1">ROUND($L$37*(1+M31),3)</f>
        <v>4.7E-2</v>
      </c>
      <c r="N37" s="2362">
        <f t="shared" ref="N37:Q37" ca="1" si="3">ROUND($L$37*(1+N31),3)</f>
        <v>4.4999999999999998E-2</v>
      </c>
      <c r="O37" s="2362">
        <f t="shared" ca="1" si="3"/>
        <v>4.2999999999999997E-2</v>
      </c>
      <c r="P37" s="2362">
        <f t="shared" ca="1" si="3"/>
        <v>4.1000000000000002E-2</v>
      </c>
      <c r="Q37" s="2362">
        <f t="shared" ca="1" si="3"/>
        <v>4.2999999999999997E-2</v>
      </c>
      <c r="R37" s="1052"/>
      <c r="S37" s="1052"/>
      <c r="T37" s="1052"/>
      <c r="U37" s="1052"/>
      <c r="V37" s="1052"/>
      <c r="W37" s="1052"/>
      <c r="X37" s="1052"/>
      <c r="Y37" s="1052"/>
      <c r="Z37" s="1053"/>
      <c r="AA37" s="1053"/>
      <c r="AB37" s="1053"/>
      <c r="AC37" s="1053"/>
      <c r="AD37" s="1053"/>
      <c r="AE37" s="1053"/>
      <c r="AF37" s="1053"/>
      <c r="AG37" s="1976"/>
      <c r="AH37" s="1976"/>
      <c r="AI37" s="1976"/>
      <c r="AJ37" s="1976"/>
    </row>
    <row r="38" spans="1:37">
      <c r="A38" s="3495"/>
      <c r="B38" s="1880" t="s">
        <v>2036</v>
      </c>
      <c r="C38" s="165" t="e">
        <f>ROUND(D5*C22*C23*C24*C28*F38,0)</f>
        <v>#DIV/0!</v>
      </c>
      <c r="D38" s="1936"/>
      <c r="E38" s="161" t="e">
        <f t="shared" ref="E38:E42" si="4">ROUND(C38*D38/10000,0)</f>
        <v>#DIV/0!</v>
      </c>
      <c r="F38" s="161">
        <f>SUMIF(修正!A59:A70,G2,修正!C59:C70)</f>
        <v>0</v>
      </c>
      <c r="G38" s="161" t="e">
        <f>ROUND(IF(E2="工业",C38*$M$42,C38*$M$41),0)</f>
        <v>#DIV/0!</v>
      </c>
      <c r="H38" s="161">
        <f t="shared" ref="H38:H42" si="5">D38</f>
        <v>0</v>
      </c>
      <c r="I38" s="161" t="e">
        <f t="shared" ref="I38:I42" si="6">ROUND(G38*H38/10000,0)</f>
        <v>#DIV/0!</v>
      </c>
      <c r="J38" s="2750"/>
      <c r="K38" s="1960">
        <v>5.0000000000000001E-3</v>
      </c>
      <c r="L38" s="1960"/>
      <c r="M38" s="1960"/>
      <c r="N38" s="1960"/>
      <c r="O38" s="1960"/>
      <c r="P38" s="1960"/>
      <c r="Q38" s="1960"/>
      <c r="R38" s="1052"/>
      <c r="S38" s="1052"/>
      <c r="T38" s="1052"/>
      <c r="U38" s="1052"/>
      <c r="V38" s="1052"/>
      <c r="W38" s="1052"/>
      <c r="X38" s="1052"/>
      <c r="Y38" s="1052"/>
      <c r="Z38" s="1053"/>
      <c r="AA38" s="1053"/>
      <c r="AB38" s="1053"/>
      <c r="AC38" s="1053"/>
      <c r="AD38" s="1053"/>
    </row>
    <row r="39" spans="1:37" ht="13.5" thickBot="1">
      <c r="A39" s="3495"/>
      <c r="B39" s="1880" t="s">
        <v>3247</v>
      </c>
      <c r="C39" s="165" t="e">
        <f>ROUND(D5*C22*C23*C24*C28*F39,0)</f>
        <v>#DIV/0!</v>
      </c>
      <c r="D39" s="1936"/>
      <c r="E39" s="161" t="e">
        <f t="shared" si="4"/>
        <v>#DIV/0!</v>
      </c>
      <c r="F39" s="161">
        <f>SUMIF(修正!A59:A70,G2,修正!D59:D70)</f>
        <v>0</v>
      </c>
      <c r="G39" s="161" t="e">
        <f>ROUND(IF(E2="工业",C39*$M$42,C39*$M$41),0)</f>
        <v>#DIV/0!</v>
      </c>
      <c r="H39" s="161">
        <f t="shared" si="5"/>
        <v>0</v>
      </c>
      <c r="I39" s="161" t="e">
        <f t="shared" si="6"/>
        <v>#DIV/0!</v>
      </c>
      <c r="J39" s="2750"/>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2"/>
      <c r="B40" s="1880" t="s">
        <v>2037</v>
      </c>
      <c r="C40" s="161" t="e">
        <f>ROUND(D5*C22*C23*C24*C28*F40,0)</f>
        <v>#DIV/0!</v>
      </c>
      <c r="D40" s="1936"/>
      <c r="E40" s="161" t="e">
        <f t="shared" si="4"/>
        <v>#DIV/0!</v>
      </c>
      <c r="F40" s="165">
        <f>SUMIF(修正!A59:A70,G2,修正!E59:E70)</f>
        <v>0</v>
      </c>
      <c r="G40" s="161" t="e">
        <f>ROUND(IF(E2="工业",C40*$M$42,C40*$M$41),0)</f>
        <v>#DIV/0!</v>
      </c>
      <c r="H40" s="161">
        <f t="shared" si="5"/>
        <v>0</v>
      </c>
      <c r="I40" s="161" t="e">
        <f t="shared" si="6"/>
        <v>#DIV/0!</v>
      </c>
      <c r="J40" s="935"/>
      <c r="L40" s="1953" t="s">
        <v>2038</v>
      </c>
      <c r="M40" s="1954"/>
      <c r="Z40" s="1053"/>
      <c r="AA40" s="1053"/>
      <c r="AB40" s="1053"/>
      <c r="AC40" s="1053"/>
      <c r="AD40" s="1053"/>
      <c r="AE40" s="1053"/>
      <c r="AF40" s="1053"/>
      <c r="AG40" s="1053"/>
      <c r="AH40" s="1053"/>
      <c r="AI40" s="1053"/>
      <c r="AJ40" s="1053"/>
    </row>
    <row r="41" spans="1:37" s="1052" customFormat="1">
      <c r="A41" s="1952"/>
      <c r="B41" s="1880" t="s">
        <v>2039</v>
      </c>
      <c r="C41" s="161" t="e">
        <f>ROUND(D5*C22*C23*C44*C28*F41,0)</f>
        <v>#DIV/0!</v>
      </c>
      <c r="D41" s="1936"/>
      <c r="E41" s="161" t="e">
        <f t="shared" si="4"/>
        <v>#DIV/0!</v>
      </c>
      <c r="F41" s="165">
        <f>SUMIF(修正!A59:A70,G2,修正!F59:F70)</f>
        <v>0</v>
      </c>
      <c r="G41" s="161" t="e">
        <f>ROUND(IF(E2="工业",C41*$M$42,C41*$M$41),0)</f>
        <v>#DIV/0!</v>
      </c>
      <c r="H41" s="161">
        <f t="shared" si="5"/>
        <v>0</v>
      </c>
      <c r="I41" s="161" t="e">
        <f t="shared" si="6"/>
        <v>#DIV/0!</v>
      </c>
      <c r="J41" s="935"/>
      <c r="L41" s="3059" t="s">
        <v>3255</v>
      </c>
      <c r="M41" s="1955">
        <v>0.25</v>
      </c>
      <c r="Z41" s="1053"/>
      <c r="AA41" s="1053"/>
      <c r="AB41" s="1053"/>
      <c r="AC41" s="1053"/>
      <c r="AD41" s="1053"/>
      <c r="AE41" s="1053"/>
      <c r="AF41" s="1053"/>
      <c r="AG41" s="1053"/>
      <c r="AH41" s="1053"/>
      <c r="AI41" s="1053"/>
      <c r="AJ41" s="1053"/>
    </row>
    <row r="42" spans="1:37" s="1052" customFormat="1" ht="13.5" thickBot="1">
      <c r="A42" s="1939"/>
      <c r="B42" s="1956" t="s">
        <v>2040</v>
      </c>
      <c r="C42" s="177" t="e">
        <f>ROUND(D5*C22*C23*C44*C28*F42,0)</f>
        <v>#DIV/0!</v>
      </c>
      <c r="D42" s="1941"/>
      <c r="E42" s="177" t="e">
        <f t="shared" si="4"/>
        <v>#DIV/0!</v>
      </c>
      <c r="F42" s="719">
        <f>SUMIF(修正!A59:A70,G2,修正!G59:G70)</f>
        <v>0</v>
      </c>
      <c r="G42" s="177" t="e">
        <f>ROUND(IF(E2="工业",C42*$M$42,C42*$M$41),0)</f>
        <v>#DIV/0!</v>
      </c>
      <c r="H42" s="177">
        <f t="shared" si="5"/>
        <v>0</v>
      </c>
      <c r="I42" s="177" t="e">
        <f t="shared" si="6"/>
        <v>#DIV/0!</v>
      </c>
      <c r="J42" s="1957"/>
      <c r="L42" s="1958" t="s">
        <v>1992</v>
      </c>
      <c r="M42" s="1959">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8" t="s">
        <v>2121</v>
      </c>
      <c r="C44" s="331" t="e">
        <f>ROUND(POWER(1+E44,H44-G44)*(POWER(1+E44,G44)-1)/(POWER(1+E44,H44)-1),4)</f>
        <v>#DIV/0!</v>
      </c>
      <c r="D44" s="161" t="s">
        <v>1998</v>
      </c>
      <c r="E44" s="1987">
        <f>G24</f>
        <v>0</v>
      </c>
      <c r="F44" s="161" t="s">
        <v>2007</v>
      </c>
      <c r="G44" s="173"/>
      <c r="H44" s="161">
        <v>50</v>
      </c>
      <c r="Z44" s="1053"/>
      <c r="AA44" s="1053"/>
      <c r="AB44" s="1053"/>
      <c r="AC44" s="1053"/>
      <c r="AD44" s="1053"/>
      <c r="AE44" s="1053"/>
      <c r="AF44" s="1053"/>
      <c r="AG44" s="1053"/>
      <c r="AH44" s="1053"/>
      <c r="AI44" s="1053"/>
      <c r="AJ44" s="1053"/>
    </row>
    <row r="45" spans="1:37" s="1052" customFormat="1">
      <c r="A45" s="1053"/>
      <c r="B45" s="1960"/>
      <c r="Z45" s="1053"/>
      <c r="AA45" s="1053"/>
      <c r="AB45" s="1053"/>
      <c r="AC45" s="1053"/>
      <c r="AD45" s="1053"/>
      <c r="AE45" s="1053"/>
      <c r="AF45" s="1053"/>
      <c r="AG45" s="1053"/>
      <c r="AH45" s="1053"/>
      <c r="AI45" s="1053"/>
      <c r="AJ45" s="1053"/>
    </row>
    <row r="46" spans="1:37" s="1052" customFormat="1">
      <c r="A46" s="1053"/>
      <c r="B46" s="1960"/>
      <c r="AA46" s="1053"/>
      <c r="AB46" s="1053"/>
      <c r="AC46" s="1053"/>
      <c r="AD46" s="1053"/>
      <c r="AE46" s="1053"/>
      <c r="AF46" s="1053"/>
      <c r="AG46" s="1053"/>
      <c r="AH46" s="1053"/>
      <c r="AI46" s="1053"/>
      <c r="AJ46" s="1053"/>
      <c r="AK46" s="1053"/>
    </row>
    <row r="47" spans="1:37" s="1052" customFormat="1" ht="15.75" thickBot="1">
      <c r="A47" s="1961" t="s">
        <v>2041</v>
      </c>
      <c r="B47" s="1962"/>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5">
      <c r="A48" s="1963" t="s">
        <v>2042</v>
      </c>
      <c r="B48" s="1964">
        <f>1+E50</f>
        <v>1</v>
      </c>
      <c r="C48" s="1722"/>
      <c r="D48" s="695"/>
      <c r="E48" s="696"/>
      <c r="F48" s="1965"/>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4.75">
      <c r="A49" s="1966" t="s">
        <v>2043</v>
      </c>
      <c r="B49" s="1258" t="s">
        <v>2044</v>
      </c>
      <c r="C49" s="1258" t="s">
        <v>2045</v>
      </c>
      <c r="D49" s="1258" t="s">
        <v>2046</v>
      </c>
      <c r="E49" s="697" t="s">
        <v>2047</v>
      </c>
      <c r="F49" s="1967" t="s">
        <v>2048</v>
      </c>
      <c r="G49" s="1258" t="s">
        <v>310</v>
      </c>
      <c r="H49" s="1968" t="s">
        <v>2049</v>
      </c>
      <c r="I49" s="1258" t="s">
        <v>2050</v>
      </c>
      <c r="J49" s="528" t="s">
        <v>1721</v>
      </c>
      <c r="K49" s="528" t="s">
        <v>1722</v>
      </c>
      <c r="L49" s="528" t="s">
        <v>1723</v>
      </c>
      <c r="M49" s="528" t="s">
        <v>1724</v>
      </c>
      <c r="N49" s="528" t="s">
        <v>1725</v>
      </c>
      <c r="AA49" s="1053"/>
      <c r="AB49" s="1053"/>
      <c r="AC49" s="1053"/>
      <c r="AD49" s="1053"/>
      <c r="AE49" s="1053"/>
      <c r="AF49" s="1053"/>
      <c r="AG49" s="1053"/>
      <c r="AH49" s="1053"/>
      <c r="AI49" s="1053"/>
      <c r="AJ49" s="1053"/>
      <c r="AK49" s="1053"/>
    </row>
    <row r="50" spans="1:37" s="1052" customFormat="1" ht="24.75">
      <c r="A50" s="1966" t="s">
        <v>2051</v>
      </c>
      <c r="B50" s="1969">
        <f>估价对象房地状况!C4</f>
        <v>0</v>
      </c>
      <c r="C50" s="1883"/>
      <c r="D50" s="998">
        <f t="shared" ref="D50:D58" si="7">SUMIF($J$49:$N$49,C50,J50:N50)</f>
        <v>0</v>
      </c>
      <c r="E50" s="698">
        <f>ROUND(SUM(D50:D58),4)</f>
        <v>0</v>
      </c>
      <c r="F50" s="1671" t="str">
        <f>IF(E2="商业",SUMIF(L1:L12,G2,N1:N12),"——")</f>
        <v>——</v>
      </c>
      <c r="G50" s="996"/>
      <c r="H50" s="999" t="str">
        <f t="shared" ref="H50:H58" si="8">IFERROR(ROUNDDOWN($F$50*I50/2,4),"——")</f>
        <v>——</v>
      </c>
      <c r="I50" s="3065">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14.25">
      <c r="A51" s="1966" t="s">
        <v>2052</v>
      </c>
      <c r="B51" s="1258">
        <f>估价对象房地状况!C18</f>
        <v>0</v>
      </c>
      <c r="C51" s="1883"/>
      <c r="D51" s="998">
        <f t="shared" si="7"/>
        <v>0</v>
      </c>
      <c r="E51" s="699"/>
      <c r="F51" s="1671"/>
      <c r="G51" s="996"/>
      <c r="H51" s="999" t="str">
        <f t="shared" si="8"/>
        <v>——</v>
      </c>
      <c r="I51" s="3065">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36">
      <c r="A52" s="3067" t="s">
        <v>3257</v>
      </c>
      <c r="B52" s="1258">
        <f>估价对象房地状况!C19</f>
        <v>0</v>
      </c>
      <c r="C52" s="1883"/>
      <c r="D52" s="998">
        <f t="shared" si="7"/>
        <v>0</v>
      </c>
      <c r="E52" s="699"/>
      <c r="F52" s="1671"/>
      <c r="G52" s="996"/>
      <c r="H52" s="999" t="str">
        <f t="shared" si="8"/>
        <v>——</v>
      </c>
      <c r="I52" s="3065">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6.75">
      <c r="A53" s="1966" t="s">
        <v>2053</v>
      </c>
      <c r="B53" s="1970" t="s">
        <v>2054</v>
      </c>
      <c r="C53" s="1883"/>
      <c r="D53" s="998">
        <f t="shared" si="7"/>
        <v>0</v>
      </c>
      <c r="E53" s="699"/>
      <c r="F53" s="1671"/>
      <c r="G53" s="996"/>
      <c r="H53" s="999" t="str">
        <f t="shared" si="8"/>
        <v>——</v>
      </c>
      <c r="I53" s="3065">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c r="A54" s="1966" t="s">
        <v>2055</v>
      </c>
      <c r="B54" s="1258">
        <f>估价对象房地状况!C24</f>
        <v>0</v>
      </c>
      <c r="C54" s="1883"/>
      <c r="D54" s="998">
        <f t="shared" si="7"/>
        <v>0</v>
      </c>
      <c r="E54" s="699"/>
      <c r="F54" s="1671"/>
      <c r="G54" s="996"/>
      <c r="H54" s="999" t="str">
        <f t="shared" si="8"/>
        <v>——</v>
      </c>
      <c r="I54" s="3065">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24">
      <c r="A55" s="1966" t="s">
        <v>2056</v>
      </c>
      <c r="B55" s="1971" t="s">
        <v>2057</v>
      </c>
      <c r="C55" s="1883"/>
      <c r="D55" s="998">
        <f t="shared" si="7"/>
        <v>0</v>
      </c>
      <c r="E55" s="699"/>
      <c r="F55" s="1671"/>
      <c r="G55" s="996"/>
      <c r="H55" s="999" t="str">
        <f t="shared" si="8"/>
        <v>——</v>
      </c>
      <c r="I55" s="3065">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4">
      <c r="A56" s="1972" t="s">
        <v>2058</v>
      </c>
      <c r="B56" s="1236">
        <f>估价对象房地状况!C21</f>
        <v>0</v>
      </c>
      <c r="C56" s="1883"/>
      <c r="D56" s="998">
        <f t="shared" si="7"/>
        <v>0</v>
      </c>
      <c r="E56" s="699"/>
      <c r="F56" s="1671"/>
      <c r="G56" s="996"/>
      <c r="H56" s="999" t="str">
        <f t="shared" si="8"/>
        <v>——</v>
      </c>
      <c r="I56" s="3065">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4">
      <c r="A57" s="1972" t="s">
        <v>2059</v>
      </c>
      <c r="B57" s="1258">
        <f>估价对象房地状况!C22</f>
        <v>0</v>
      </c>
      <c r="C57" s="1883"/>
      <c r="D57" s="998">
        <f t="shared" si="7"/>
        <v>0</v>
      </c>
      <c r="E57" s="699"/>
      <c r="F57" s="1671"/>
      <c r="G57" s="996"/>
      <c r="H57" s="999" t="str">
        <f t="shared" si="8"/>
        <v>——</v>
      </c>
      <c r="I57" s="3065">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24.75" thickBot="1">
      <c r="A58" s="1973" t="s">
        <v>2060</v>
      </c>
      <c r="B58" s="1974">
        <f>估价对象房地状况!C20</f>
        <v>0</v>
      </c>
      <c r="C58" s="1883"/>
      <c r="D58" s="998">
        <f t="shared" si="7"/>
        <v>0</v>
      </c>
      <c r="E58" s="700"/>
      <c r="F58" s="1671"/>
      <c r="G58" s="996"/>
      <c r="H58" s="999" t="str">
        <f t="shared" si="8"/>
        <v>——</v>
      </c>
      <c r="I58" s="3066">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5">
      <c r="A59" s="1963" t="s">
        <v>2061</v>
      </c>
      <c r="B59" s="1964">
        <f>1+E61</f>
        <v>1</v>
      </c>
      <c r="C59" s="695"/>
      <c r="D59" s="695"/>
      <c r="E59" s="696"/>
      <c r="F59" s="1965"/>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6" t="s">
        <v>2043</v>
      </c>
      <c r="B60" s="1258"/>
      <c r="C60" s="1258" t="s">
        <v>2045</v>
      </c>
      <c r="D60" s="1258" t="s">
        <v>2046</v>
      </c>
      <c r="E60" s="697" t="s">
        <v>2047</v>
      </c>
      <c r="F60" s="1967" t="s">
        <v>2062</v>
      </c>
      <c r="G60" s="1258" t="s">
        <v>310</v>
      </c>
      <c r="H60" s="1968" t="s">
        <v>2049</v>
      </c>
      <c r="I60" s="1258" t="s">
        <v>2050</v>
      </c>
      <c r="J60" s="528" t="s">
        <v>1721</v>
      </c>
      <c r="K60" s="528" t="s">
        <v>1722</v>
      </c>
      <c r="L60" s="528" t="s">
        <v>1723</v>
      </c>
      <c r="M60" s="528" t="s">
        <v>1724</v>
      </c>
      <c r="N60" s="528" t="s">
        <v>1725</v>
      </c>
      <c r="AA60" s="1053"/>
      <c r="AB60" s="1053"/>
      <c r="AC60" s="1053"/>
      <c r="AD60" s="1053"/>
      <c r="AE60" s="1053"/>
      <c r="AF60" s="1053"/>
      <c r="AG60" s="1053"/>
      <c r="AH60" s="1053"/>
      <c r="AI60" s="1053"/>
      <c r="AJ60" s="1053"/>
      <c r="AK60" s="1053"/>
    </row>
    <row r="61" spans="1:37" s="1052" customFormat="1" ht="24">
      <c r="A61" s="1966" t="s">
        <v>2063</v>
      </c>
      <c r="B61" s="1969">
        <f>估价对象房地状况!C17</f>
        <v>0</v>
      </c>
      <c r="C61" s="1883"/>
      <c r="D61" s="998">
        <f t="shared" ref="D61:D69" si="12">SUMIF($J$60:$N$60,C61,J61:N61)</f>
        <v>0</v>
      </c>
      <c r="E61" s="698">
        <f>ROUND(SUM(D61:D69),4)</f>
        <v>0</v>
      </c>
      <c r="F61" s="1671" t="str">
        <f>IF(E2="办公",SUMIF(L1:L12,G2,N1:N12),"——")</f>
        <v>——</v>
      </c>
      <c r="G61" s="996"/>
      <c r="H61" s="999" t="str">
        <f t="shared" ref="H61:H69" si="13">IFERROR(ROUNDDOWN($F$61*I61/2,4),"——")</f>
        <v>——</v>
      </c>
      <c r="I61" s="3065">
        <v>0.25</v>
      </c>
      <c r="J61" s="997">
        <f t="shared" ref="J61:J69" si="14">K61+$G61</f>
        <v>0</v>
      </c>
      <c r="K61" s="997">
        <f t="shared" ref="K61:K69" si="15">$L61+$G61</f>
        <v>0</v>
      </c>
      <c r="L61" s="997">
        <v>0</v>
      </c>
      <c r="M61" s="997">
        <f t="shared" ref="M61:N69" si="16">L61-$G61</f>
        <v>0</v>
      </c>
      <c r="N61" s="997">
        <f t="shared" si="16"/>
        <v>0</v>
      </c>
      <c r="AA61" s="1053"/>
      <c r="AB61" s="1053"/>
      <c r="AC61" s="1053"/>
      <c r="AD61" s="1053"/>
      <c r="AE61" s="1053"/>
      <c r="AF61" s="1053"/>
      <c r="AG61" s="1053"/>
      <c r="AH61" s="1053"/>
      <c r="AI61" s="1053"/>
      <c r="AJ61" s="1053"/>
      <c r="AK61" s="1053"/>
    </row>
    <row r="62" spans="1:37" s="1052" customFormat="1" ht="14.25">
      <c r="A62" s="1966" t="s">
        <v>2052</v>
      </c>
      <c r="B62" s="1258">
        <f>估价对象房地状况!C18</f>
        <v>0</v>
      </c>
      <c r="C62" s="1883"/>
      <c r="D62" s="998">
        <f t="shared" si="12"/>
        <v>0</v>
      </c>
      <c r="E62" s="699"/>
      <c r="F62" s="1671"/>
      <c r="G62" s="996"/>
      <c r="H62" s="999" t="str">
        <f t="shared" si="13"/>
        <v>——</v>
      </c>
      <c r="I62" s="3065">
        <v>0.26</v>
      </c>
      <c r="J62" s="997">
        <f t="shared" si="14"/>
        <v>0</v>
      </c>
      <c r="K62" s="997">
        <f t="shared" si="15"/>
        <v>0</v>
      </c>
      <c r="L62" s="997">
        <v>0</v>
      </c>
      <c r="M62" s="997">
        <f t="shared" si="16"/>
        <v>0</v>
      </c>
      <c r="N62" s="997">
        <f t="shared" si="16"/>
        <v>0</v>
      </c>
      <c r="AA62" s="1053"/>
      <c r="AB62" s="1053"/>
      <c r="AC62" s="1053"/>
      <c r="AD62" s="1053"/>
      <c r="AE62" s="1053"/>
      <c r="AF62" s="1053"/>
      <c r="AG62" s="1053"/>
      <c r="AH62" s="1053"/>
      <c r="AI62" s="1053"/>
      <c r="AJ62" s="1053"/>
      <c r="AK62" s="1053"/>
    </row>
    <row r="63" spans="1:37" s="1052" customFormat="1" ht="36">
      <c r="A63" s="3067" t="s">
        <v>3257</v>
      </c>
      <c r="B63" s="1258">
        <f>估价对象房地状况!C19</f>
        <v>0</v>
      </c>
      <c r="C63" s="1883"/>
      <c r="D63" s="998">
        <f t="shared" si="12"/>
        <v>0</v>
      </c>
      <c r="E63" s="699"/>
      <c r="F63" s="1671"/>
      <c r="G63" s="996"/>
      <c r="H63" s="999" t="str">
        <f t="shared" si="13"/>
        <v>——</v>
      </c>
      <c r="I63" s="3065">
        <v>0.11</v>
      </c>
      <c r="J63" s="997">
        <f t="shared" si="14"/>
        <v>0</v>
      </c>
      <c r="K63" s="997">
        <f t="shared" si="15"/>
        <v>0</v>
      </c>
      <c r="L63" s="997">
        <v>0</v>
      </c>
      <c r="M63" s="997">
        <f t="shared" si="16"/>
        <v>0</v>
      </c>
      <c r="N63" s="997">
        <f t="shared" si="16"/>
        <v>0</v>
      </c>
      <c r="AA63" s="1053"/>
      <c r="AB63" s="1053"/>
      <c r="AC63" s="1053"/>
      <c r="AD63" s="1053"/>
      <c r="AE63" s="1053"/>
      <c r="AF63" s="1053"/>
      <c r="AG63" s="1053"/>
      <c r="AH63" s="1053"/>
      <c r="AI63" s="1053"/>
      <c r="AJ63" s="1053"/>
      <c r="AK63" s="1053"/>
    </row>
    <row r="64" spans="1:37" s="1052" customFormat="1" ht="36.75">
      <c r="A64" s="1966" t="s">
        <v>2053</v>
      </c>
      <c r="B64" s="1970" t="s">
        <v>2054</v>
      </c>
      <c r="C64" s="1883"/>
      <c r="D64" s="998">
        <f t="shared" si="12"/>
        <v>0</v>
      </c>
      <c r="E64" s="699"/>
      <c r="F64" s="1671"/>
      <c r="G64" s="996"/>
      <c r="H64" s="999" t="str">
        <f t="shared" si="13"/>
        <v>——</v>
      </c>
      <c r="I64" s="3065">
        <v>0.05</v>
      </c>
      <c r="J64" s="997">
        <f t="shared" si="14"/>
        <v>0</v>
      </c>
      <c r="K64" s="997">
        <f t="shared" si="15"/>
        <v>0</v>
      </c>
      <c r="L64" s="997">
        <v>0</v>
      </c>
      <c r="M64" s="997">
        <f t="shared" si="16"/>
        <v>0</v>
      </c>
      <c r="N64" s="997">
        <f t="shared" si="16"/>
        <v>0</v>
      </c>
      <c r="AA64" s="1053"/>
      <c r="AB64" s="1053"/>
      <c r="AC64" s="1053"/>
      <c r="AD64" s="1053"/>
      <c r="AE64" s="1053"/>
      <c r="AF64" s="1053"/>
      <c r="AG64" s="1053"/>
      <c r="AH64" s="1053"/>
      <c r="AI64" s="1053"/>
      <c r="AJ64" s="1053"/>
      <c r="AK64" s="1053"/>
    </row>
    <row r="65" spans="1:37" s="1052" customFormat="1" ht="24">
      <c r="A65" s="1966" t="s">
        <v>2055</v>
      </c>
      <c r="B65" s="1258">
        <f>估价对象房地状况!C24</f>
        <v>0</v>
      </c>
      <c r="C65" s="1883"/>
      <c r="D65" s="998">
        <f t="shared" si="12"/>
        <v>0</v>
      </c>
      <c r="E65" s="699"/>
      <c r="F65" s="1671"/>
      <c r="G65" s="996"/>
      <c r="H65" s="999" t="str">
        <f t="shared" si="13"/>
        <v>——</v>
      </c>
      <c r="I65" s="3065">
        <v>0.05</v>
      </c>
      <c r="J65" s="997">
        <f t="shared" si="14"/>
        <v>0</v>
      </c>
      <c r="K65" s="997">
        <f t="shared" si="15"/>
        <v>0</v>
      </c>
      <c r="L65" s="997">
        <v>0</v>
      </c>
      <c r="M65" s="997">
        <f t="shared" si="16"/>
        <v>0</v>
      </c>
      <c r="N65" s="997">
        <f t="shared" si="16"/>
        <v>0</v>
      </c>
      <c r="AA65" s="1053"/>
      <c r="AB65" s="1053"/>
      <c r="AC65" s="1053"/>
      <c r="AD65" s="1053"/>
      <c r="AE65" s="1053"/>
      <c r="AF65" s="1053"/>
      <c r="AG65" s="1053"/>
      <c r="AH65" s="1053"/>
      <c r="AI65" s="1053"/>
      <c r="AJ65" s="1053"/>
      <c r="AK65" s="1053"/>
    </row>
    <row r="66" spans="1:37" s="1052" customFormat="1" ht="24">
      <c r="A66" s="1966" t="s">
        <v>2056</v>
      </c>
      <c r="B66" s="1971" t="s">
        <v>2057</v>
      </c>
      <c r="C66" s="1883"/>
      <c r="D66" s="998">
        <f t="shared" si="12"/>
        <v>0</v>
      </c>
      <c r="E66" s="699"/>
      <c r="F66" s="1671"/>
      <c r="G66" s="996"/>
      <c r="H66" s="999" t="str">
        <f t="shared" si="13"/>
        <v>——</v>
      </c>
      <c r="I66" s="3065">
        <v>0.06</v>
      </c>
      <c r="J66" s="997">
        <f t="shared" si="14"/>
        <v>0</v>
      </c>
      <c r="K66" s="997">
        <f t="shared" si="15"/>
        <v>0</v>
      </c>
      <c r="L66" s="997">
        <v>0</v>
      </c>
      <c r="M66" s="997">
        <f t="shared" si="16"/>
        <v>0</v>
      </c>
      <c r="N66" s="997">
        <f t="shared" si="16"/>
        <v>0</v>
      </c>
      <c r="AA66" s="1053"/>
      <c r="AB66" s="1053"/>
      <c r="AC66" s="1053"/>
      <c r="AD66" s="1053"/>
      <c r="AE66" s="1053"/>
      <c r="AF66" s="1053"/>
      <c r="AG66" s="1053"/>
      <c r="AH66" s="1053"/>
      <c r="AI66" s="1053"/>
      <c r="AJ66" s="1053"/>
      <c r="AK66" s="1053"/>
    </row>
    <row r="67" spans="1:37" s="1052" customFormat="1" ht="24">
      <c r="A67" s="1966" t="s">
        <v>2058</v>
      </c>
      <c r="B67" s="1236">
        <f>估价对象房地状况!C21</f>
        <v>0</v>
      </c>
      <c r="C67" s="1883"/>
      <c r="D67" s="998">
        <f t="shared" si="12"/>
        <v>0</v>
      </c>
      <c r="E67" s="699"/>
      <c r="F67" s="1671"/>
      <c r="G67" s="996"/>
      <c r="H67" s="999" t="str">
        <f t="shared" si="13"/>
        <v>——</v>
      </c>
      <c r="I67" s="3065">
        <v>0.06</v>
      </c>
      <c r="J67" s="997">
        <f t="shared" si="14"/>
        <v>0</v>
      </c>
      <c r="K67" s="997">
        <f t="shared" si="15"/>
        <v>0</v>
      </c>
      <c r="L67" s="997">
        <v>0</v>
      </c>
      <c r="M67" s="997">
        <f t="shared" si="16"/>
        <v>0</v>
      </c>
      <c r="N67" s="997">
        <f t="shared" si="16"/>
        <v>0</v>
      </c>
      <c r="AA67" s="1053"/>
      <c r="AB67" s="1053"/>
      <c r="AC67" s="1053"/>
      <c r="AD67" s="1053"/>
      <c r="AE67" s="1053"/>
      <c r="AF67" s="1053"/>
      <c r="AG67" s="1053"/>
      <c r="AH67" s="1053"/>
      <c r="AI67" s="1053"/>
      <c r="AJ67" s="1053"/>
      <c r="AK67" s="1053"/>
    </row>
    <row r="68" spans="1:37" s="1052" customFormat="1" ht="24">
      <c r="A68" s="1966" t="s">
        <v>2059</v>
      </c>
      <c r="B68" s="1236">
        <f>估价对象房地状况!C22</f>
        <v>0</v>
      </c>
      <c r="C68" s="1883"/>
      <c r="D68" s="998">
        <f t="shared" si="12"/>
        <v>0</v>
      </c>
      <c r="E68" s="699"/>
      <c r="F68" s="1671"/>
      <c r="G68" s="996"/>
      <c r="H68" s="999" t="str">
        <f t="shared" si="13"/>
        <v>——</v>
      </c>
      <c r="I68" s="3065">
        <v>0.09</v>
      </c>
      <c r="J68" s="997">
        <f t="shared" si="14"/>
        <v>0</v>
      </c>
      <c r="K68" s="997">
        <f t="shared" si="15"/>
        <v>0</v>
      </c>
      <c r="L68" s="997">
        <v>0</v>
      </c>
      <c r="M68" s="997">
        <f t="shared" si="16"/>
        <v>0</v>
      </c>
      <c r="N68" s="997">
        <f t="shared" si="16"/>
        <v>0</v>
      </c>
      <c r="AA68" s="1053"/>
      <c r="AB68" s="1053"/>
      <c r="AC68" s="1053"/>
      <c r="AD68" s="1053"/>
      <c r="AE68" s="1053"/>
      <c r="AF68" s="1053"/>
      <c r="AG68" s="1053"/>
      <c r="AH68" s="1053"/>
      <c r="AI68" s="1053"/>
      <c r="AJ68" s="1053"/>
      <c r="AK68" s="1053"/>
    </row>
    <row r="69" spans="1:37" s="1052" customFormat="1" ht="24.75" thickBot="1">
      <c r="A69" s="1973" t="s">
        <v>2060</v>
      </c>
      <c r="B69" s="1975">
        <f>估价对象房地状况!C20</f>
        <v>0</v>
      </c>
      <c r="C69" s="1883"/>
      <c r="D69" s="998">
        <f t="shared" si="12"/>
        <v>0</v>
      </c>
      <c r="E69" s="700"/>
      <c r="F69" s="1671"/>
      <c r="G69" s="996"/>
      <c r="H69" s="999" t="str">
        <f t="shared" si="13"/>
        <v>——</v>
      </c>
      <c r="I69" s="3066">
        <v>7.0000000000000007E-2</v>
      </c>
      <c r="J69" s="997">
        <f t="shared" si="14"/>
        <v>0</v>
      </c>
      <c r="K69" s="997">
        <f t="shared" si="15"/>
        <v>0</v>
      </c>
      <c r="L69" s="997">
        <v>0</v>
      </c>
      <c r="M69" s="997">
        <f t="shared" si="16"/>
        <v>0</v>
      </c>
      <c r="N69" s="997">
        <f t="shared" si="16"/>
        <v>0</v>
      </c>
      <c r="AA69" s="1053"/>
      <c r="AB69" s="1053"/>
      <c r="AC69" s="1053"/>
      <c r="AD69" s="1053"/>
      <c r="AE69" s="1053"/>
      <c r="AF69" s="1053"/>
      <c r="AG69" s="1053"/>
      <c r="AH69" s="1053"/>
      <c r="AI69" s="1053"/>
      <c r="AJ69" s="1053"/>
      <c r="AK69" s="1053"/>
    </row>
    <row r="70" spans="1:37" s="1052" customFormat="1" ht="15">
      <c r="A70" s="1963" t="s">
        <v>2064</v>
      </c>
      <c r="B70" s="1964">
        <f>1+E72</f>
        <v>1</v>
      </c>
      <c r="C70" s="695"/>
      <c r="D70" s="695"/>
      <c r="E70" s="696"/>
      <c r="F70" s="1965"/>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6" t="s">
        <v>2043</v>
      </c>
      <c r="B71" s="1258"/>
      <c r="C71" s="1258" t="s">
        <v>2045</v>
      </c>
      <c r="D71" s="1258" t="s">
        <v>2046</v>
      </c>
      <c r="E71" s="697" t="s">
        <v>2047</v>
      </c>
      <c r="F71" s="1967" t="s">
        <v>2062</v>
      </c>
      <c r="G71" s="1258" t="s">
        <v>310</v>
      </c>
      <c r="H71" s="1968" t="s">
        <v>2049</v>
      </c>
      <c r="I71" s="1258" t="s">
        <v>2050</v>
      </c>
      <c r="J71" s="528" t="s">
        <v>1721</v>
      </c>
      <c r="K71" s="528" t="s">
        <v>1722</v>
      </c>
      <c r="L71" s="528" t="s">
        <v>1723</v>
      </c>
      <c r="M71" s="528" t="s">
        <v>1724</v>
      </c>
      <c r="N71" s="528" t="s">
        <v>1725</v>
      </c>
      <c r="AA71" s="1053"/>
      <c r="AB71" s="1053"/>
      <c r="AC71" s="1053"/>
      <c r="AD71" s="1053"/>
      <c r="AE71" s="1053"/>
      <c r="AF71" s="1053"/>
      <c r="AG71" s="1053"/>
      <c r="AH71" s="1053"/>
      <c r="AI71" s="1053"/>
      <c r="AJ71" s="1053"/>
      <c r="AK71" s="1053"/>
    </row>
    <row r="72" spans="1:37" s="1052" customFormat="1" ht="24">
      <c r="A72" s="1966" t="s">
        <v>2065</v>
      </c>
      <c r="B72" s="1969">
        <f>估价对象房地状况!C15</f>
        <v>0</v>
      </c>
      <c r="C72" s="1883"/>
      <c r="D72" s="998">
        <f t="shared" ref="D72:D80" si="17">SUMIF($J$71:$N$71,C72,J72:N72)</f>
        <v>0</v>
      </c>
      <c r="E72" s="698">
        <f>ROUND(SUM(D72:D80),4)</f>
        <v>0</v>
      </c>
      <c r="F72" s="1671" t="str">
        <f>IF(E2="住宅",SUMIF(L1:L12,G2,N1:N12),"——")</f>
        <v>——</v>
      </c>
      <c r="G72" s="996"/>
      <c r="H72" s="999" t="str">
        <f t="shared" ref="H72:H80" si="18">IFERROR(ROUNDDOWN($F$72*I72/2,4),"——")</f>
        <v>——</v>
      </c>
      <c r="I72" s="3065">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14.25">
      <c r="A73" s="1966" t="s">
        <v>2052</v>
      </c>
      <c r="B73" s="1258">
        <f>估价对象房地状况!C18</f>
        <v>0</v>
      </c>
      <c r="C73" s="1883"/>
      <c r="D73" s="998">
        <f t="shared" si="17"/>
        <v>0</v>
      </c>
      <c r="E73" s="701"/>
      <c r="F73" s="1671"/>
      <c r="G73" s="996"/>
      <c r="H73" s="999" t="str">
        <f t="shared" si="18"/>
        <v>——</v>
      </c>
      <c r="I73" s="3065">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40" customFormat="1" ht="36">
      <c r="A74" s="3067" t="s">
        <v>3257</v>
      </c>
      <c r="B74" s="1258">
        <f>估价对象房地状况!C19</f>
        <v>0</v>
      </c>
      <c r="C74" s="1883"/>
      <c r="D74" s="998">
        <f t="shared" si="17"/>
        <v>0</v>
      </c>
      <c r="E74" s="701"/>
      <c r="F74" s="1671"/>
      <c r="G74" s="996"/>
      <c r="H74" s="999" t="str">
        <f t="shared" si="18"/>
        <v>——</v>
      </c>
      <c r="I74" s="3065">
        <v>0.1</v>
      </c>
      <c r="J74" s="997">
        <f t="shared" si="19"/>
        <v>0</v>
      </c>
      <c r="K74" s="997">
        <f t="shared" si="20"/>
        <v>0</v>
      </c>
      <c r="L74" s="997">
        <v>0</v>
      </c>
      <c r="M74" s="997">
        <f t="shared" si="21"/>
        <v>0</v>
      </c>
      <c r="N74" s="997">
        <f t="shared" si="21"/>
        <v>0</v>
      </c>
      <c r="O74" s="1052"/>
      <c r="P74" s="1052"/>
      <c r="Q74" s="1052"/>
      <c r="AA74" s="1976"/>
      <c r="AB74" s="1053"/>
      <c r="AC74" s="1053"/>
      <c r="AD74" s="1053"/>
      <c r="AE74" s="1053"/>
      <c r="AF74" s="1053"/>
      <c r="AG74" s="1053"/>
      <c r="AH74" s="1976"/>
      <c r="AI74" s="1976"/>
      <c r="AJ74" s="1976"/>
      <c r="AK74" s="1976"/>
    </row>
    <row r="75" spans="1:37" ht="14.25">
      <c r="A75" s="1966" t="s">
        <v>2066</v>
      </c>
      <c r="B75" s="1258">
        <f>估价对象房地状况!C24</f>
        <v>0</v>
      </c>
      <c r="C75" s="1883"/>
      <c r="D75" s="998">
        <f t="shared" si="17"/>
        <v>0</v>
      </c>
      <c r="E75" s="701"/>
      <c r="F75" s="1671"/>
      <c r="G75" s="996"/>
      <c r="H75" s="999" t="str">
        <f t="shared" si="18"/>
        <v>——</v>
      </c>
      <c r="I75" s="3065">
        <v>0.05</v>
      </c>
      <c r="J75" s="997">
        <f t="shared" si="19"/>
        <v>0</v>
      </c>
      <c r="K75" s="997">
        <f t="shared" si="20"/>
        <v>0</v>
      </c>
      <c r="L75" s="997">
        <v>0</v>
      </c>
      <c r="M75" s="997">
        <f t="shared" si="21"/>
        <v>0</v>
      </c>
      <c r="N75" s="997">
        <f t="shared" si="21"/>
        <v>0</v>
      </c>
      <c r="O75" s="1052"/>
      <c r="P75" s="1052"/>
      <c r="Q75" s="1840"/>
      <c r="Z75" s="1841"/>
      <c r="AA75" s="1891"/>
      <c r="AG75" s="1054"/>
      <c r="AK75" s="1891"/>
    </row>
    <row r="76" spans="1:37" ht="24">
      <c r="A76" s="1966" t="s">
        <v>2058</v>
      </c>
      <c r="B76" s="1236">
        <f>估价对象房地状况!C21</f>
        <v>0</v>
      </c>
      <c r="C76" s="1883"/>
      <c r="D76" s="998">
        <f t="shared" si="17"/>
        <v>0</v>
      </c>
      <c r="E76" s="701"/>
      <c r="F76" s="1671"/>
      <c r="G76" s="996"/>
      <c r="H76" s="999" t="str">
        <f t="shared" si="18"/>
        <v>——</v>
      </c>
      <c r="I76" s="3065">
        <v>0.08</v>
      </c>
      <c r="J76" s="997">
        <f t="shared" si="19"/>
        <v>0</v>
      </c>
      <c r="K76" s="997">
        <f t="shared" si="20"/>
        <v>0</v>
      </c>
      <c r="L76" s="997">
        <v>0</v>
      </c>
      <c r="M76" s="997">
        <f t="shared" si="21"/>
        <v>0</v>
      </c>
      <c r="N76" s="997">
        <f t="shared" si="21"/>
        <v>0</v>
      </c>
      <c r="O76" s="1052"/>
      <c r="P76" s="1052"/>
      <c r="Z76" s="1841"/>
      <c r="AA76" s="1891"/>
      <c r="AG76" s="1054"/>
      <c r="AK76" s="1891"/>
    </row>
    <row r="77" spans="1:37" ht="24">
      <c r="A77" s="1966" t="s">
        <v>2059</v>
      </c>
      <c r="B77" s="1236">
        <f>估价对象房地状况!C22</f>
        <v>0</v>
      </c>
      <c r="C77" s="1883"/>
      <c r="D77" s="998">
        <f t="shared" si="17"/>
        <v>0</v>
      </c>
      <c r="E77" s="701"/>
      <c r="F77" s="1671"/>
      <c r="G77" s="996"/>
      <c r="H77" s="999" t="str">
        <f t="shared" si="18"/>
        <v>——</v>
      </c>
      <c r="I77" s="3065">
        <v>0.09</v>
      </c>
      <c r="J77" s="997">
        <f t="shared" si="19"/>
        <v>0</v>
      </c>
      <c r="K77" s="997">
        <f t="shared" si="20"/>
        <v>0</v>
      </c>
      <c r="L77" s="997">
        <v>0</v>
      </c>
      <c r="M77" s="997">
        <f t="shared" si="21"/>
        <v>0</v>
      </c>
      <c r="N77" s="997">
        <f t="shared" si="21"/>
        <v>0</v>
      </c>
      <c r="O77" s="1052"/>
      <c r="P77" s="1052"/>
      <c r="Z77" s="1841"/>
      <c r="AA77" s="1891"/>
      <c r="AG77" s="1054"/>
      <c r="AK77" s="1891"/>
    </row>
    <row r="78" spans="1:37" ht="24">
      <c r="A78" s="1966" t="s">
        <v>2056</v>
      </c>
      <c r="B78" s="1971" t="s">
        <v>2057</v>
      </c>
      <c r="C78" s="1883"/>
      <c r="D78" s="998">
        <f t="shared" si="17"/>
        <v>0</v>
      </c>
      <c r="E78" s="701"/>
      <c r="F78" s="1671"/>
      <c r="G78" s="996"/>
      <c r="H78" s="999" t="str">
        <f t="shared" si="18"/>
        <v>——</v>
      </c>
      <c r="I78" s="3065">
        <v>0.05</v>
      </c>
      <c r="J78" s="997">
        <f t="shared" si="19"/>
        <v>0</v>
      </c>
      <c r="K78" s="997">
        <f t="shared" si="20"/>
        <v>0</v>
      </c>
      <c r="L78" s="997">
        <v>0</v>
      </c>
      <c r="M78" s="997">
        <f t="shared" si="21"/>
        <v>0</v>
      </c>
      <c r="N78" s="997">
        <f t="shared" si="21"/>
        <v>0</v>
      </c>
      <c r="O78" s="1840"/>
      <c r="P78" s="1840"/>
      <c r="Z78" s="1841"/>
      <c r="AA78" s="1891"/>
      <c r="AG78" s="1054"/>
      <c r="AK78" s="1891"/>
    </row>
    <row r="79" spans="1:37" ht="24">
      <c r="A79" s="1966" t="s">
        <v>2060</v>
      </c>
      <c r="B79" s="1969">
        <f>估价对象房地状况!C20</f>
        <v>0</v>
      </c>
      <c r="C79" s="1883"/>
      <c r="D79" s="998">
        <f t="shared" si="17"/>
        <v>0</v>
      </c>
      <c r="E79" s="701"/>
      <c r="F79" s="1671"/>
      <c r="G79" s="996"/>
      <c r="H79" s="999" t="str">
        <f t="shared" si="18"/>
        <v>——</v>
      </c>
      <c r="I79" s="3065">
        <v>0.12</v>
      </c>
      <c r="J79" s="997">
        <f t="shared" si="19"/>
        <v>0</v>
      </c>
      <c r="K79" s="997">
        <f t="shared" si="20"/>
        <v>0</v>
      </c>
      <c r="L79" s="997">
        <v>0</v>
      </c>
      <c r="M79" s="997">
        <f t="shared" si="21"/>
        <v>0</v>
      </c>
      <c r="N79" s="997">
        <f t="shared" si="21"/>
        <v>0</v>
      </c>
      <c r="Z79" s="1841"/>
      <c r="AA79" s="1891"/>
      <c r="AG79" s="1054"/>
      <c r="AK79" s="1891"/>
    </row>
    <row r="80" spans="1:37" ht="24.75" thickBot="1">
      <c r="A80" s="1973" t="s">
        <v>2067</v>
      </c>
      <c r="B80" s="1977"/>
      <c r="C80" s="1883"/>
      <c r="D80" s="998">
        <f t="shared" si="17"/>
        <v>0</v>
      </c>
      <c r="E80" s="702"/>
      <c r="F80" s="1671"/>
      <c r="G80" s="996"/>
      <c r="H80" s="999" t="str">
        <f t="shared" si="18"/>
        <v>——</v>
      </c>
      <c r="I80" s="3066">
        <v>0.05</v>
      </c>
      <c r="J80" s="997">
        <f t="shared" si="19"/>
        <v>0</v>
      </c>
      <c r="K80" s="997">
        <f t="shared" si="20"/>
        <v>0</v>
      </c>
      <c r="L80" s="997">
        <v>0</v>
      </c>
      <c r="M80" s="997">
        <f t="shared" si="21"/>
        <v>0</v>
      </c>
      <c r="N80" s="997">
        <f t="shared" si="21"/>
        <v>0</v>
      </c>
      <c r="Z80" s="1841"/>
      <c r="AA80" s="1891"/>
      <c r="AG80" s="1054"/>
      <c r="AK80" s="1891"/>
    </row>
    <row r="81" spans="1:37" ht="15">
      <c r="A81" s="1963" t="s">
        <v>2068</v>
      </c>
      <c r="B81" s="1964">
        <f>1+E83</f>
        <v>1</v>
      </c>
      <c r="C81" s="695"/>
      <c r="D81" s="695"/>
      <c r="E81" s="696"/>
      <c r="F81" s="1965"/>
      <c r="G81" s="3"/>
      <c r="H81" s="3"/>
      <c r="I81" s="3"/>
      <c r="J81" s="4"/>
      <c r="K81" s="4"/>
      <c r="L81" s="4"/>
      <c r="M81" s="4"/>
      <c r="N81" s="4"/>
      <c r="Z81" s="1841"/>
      <c r="AA81" s="1891"/>
      <c r="AG81" s="1054"/>
      <c r="AK81" s="1891"/>
    </row>
    <row r="82" spans="1:37" ht="24.75">
      <c r="A82" s="1966" t="s">
        <v>2043</v>
      </c>
      <c r="B82" s="1258"/>
      <c r="C82" s="1258" t="s">
        <v>2045</v>
      </c>
      <c r="D82" s="1258" t="s">
        <v>2046</v>
      </c>
      <c r="E82" s="697" t="s">
        <v>2047</v>
      </c>
      <c r="F82" s="1967" t="s">
        <v>2062</v>
      </c>
      <c r="G82" s="1258" t="s">
        <v>310</v>
      </c>
      <c r="H82" s="1968" t="s">
        <v>2049</v>
      </c>
      <c r="I82" s="1258" t="s">
        <v>2050</v>
      </c>
      <c r="J82" s="528" t="s">
        <v>1721</v>
      </c>
      <c r="K82" s="528" t="s">
        <v>1722</v>
      </c>
      <c r="L82" s="528" t="s">
        <v>1723</v>
      </c>
      <c r="M82" s="528" t="s">
        <v>1724</v>
      </c>
      <c r="N82" s="528" t="s">
        <v>1725</v>
      </c>
      <c r="Z82" s="1841"/>
      <c r="AA82" s="1891"/>
      <c r="AG82" s="1054"/>
      <c r="AK82" s="1891"/>
    </row>
    <row r="83" spans="1:37" ht="24">
      <c r="A83" s="1966" t="s">
        <v>2069</v>
      </c>
      <c r="B83" s="1258">
        <f>估价对象房地状况!G15</f>
        <v>0</v>
      </c>
      <c r="C83" s="1883"/>
      <c r="D83" s="998">
        <f t="shared" ref="D83:D90" si="22">SUMIF($J$82:$N$82,C83,J83:N83)</f>
        <v>0</v>
      </c>
      <c r="E83" s="698">
        <f>ROUND(SUM(D83:D90),4)</f>
        <v>0</v>
      </c>
      <c r="F83" s="1671" t="str">
        <f>IF(E2="工业",SUMIF(L1:L12,G2,N1:N12),"——")</f>
        <v>——</v>
      </c>
      <c r="G83" s="996"/>
      <c r="H83" s="999" t="str">
        <f t="shared" ref="H83:H90" si="23">IFERROR(ROUNDDOWN($F$83*I83/2,4),"——")</f>
        <v>——</v>
      </c>
      <c r="I83" s="3065">
        <v>0.26</v>
      </c>
      <c r="J83" s="997">
        <f t="shared" ref="J83:J90" si="24">K83+$G83</f>
        <v>0</v>
      </c>
      <c r="K83" s="997">
        <f t="shared" ref="K83:K90" si="25">$L83+$G83</f>
        <v>0</v>
      </c>
      <c r="L83" s="997">
        <v>0</v>
      </c>
      <c r="M83" s="997">
        <f t="shared" ref="M83:N90" si="26">L83-$G83</f>
        <v>0</v>
      </c>
      <c r="N83" s="997">
        <f t="shared" si="26"/>
        <v>0</v>
      </c>
      <c r="Z83" s="1841"/>
      <c r="AA83" s="1891"/>
      <c r="AG83" s="1054"/>
      <c r="AK83" s="1891"/>
    </row>
    <row r="84" spans="1:37" ht="14.25">
      <c r="A84" s="1966" t="s">
        <v>2052</v>
      </c>
      <c r="B84" s="1258">
        <f>估价对象房地状况!G16</f>
        <v>0</v>
      </c>
      <c r="C84" s="1883"/>
      <c r="D84" s="998">
        <f t="shared" si="22"/>
        <v>0</v>
      </c>
      <c r="E84" s="701"/>
      <c r="F84" s="1671"/>
      <c r="G84" s="996"/>
      <c r="H84" s="999" t="str">
        <f t="shared" si="23"/>
        <v>——</v>
      </c>
      <c r="I84" s="3065">
        <v>0.3</v>
      </c>
      <c r="J84" s="997">
        <f t="shared" si="24"/>
        <v>0</v>
      </c>
      <c r="K84" s="997">
        <f t="shared" si="25"/>
        <v>0</v>
      </c>
      <c r="L84" s="997">
        <v>0</v>
      </c>
      <c r="M84" s="997">
        <f t="shared" si="26"/>
        <v>0</v>
      </c>
      <c r="N84" s="997">
        <f t="shared" si="26"/>
        <v>0</v>
      </c>
      <c r="Z84" s="1841"/>
      <c r="AA84" s="1891"/>
      <c r="AG84" s="1054"/>
      <c r="AK84" s="1891"/>
    </row>
    <row r="85" spans="1:37" ht="36">
      <c r="A85" s="3067" t="s">
        <v>3258</v>
      </c>
      <c r="B85" s="1258">
        <f>估价对象房地状况!G17</f>
        <v>0</v>
      </c>
      <c r="C85" s="1883"/>
      <c r="D85" s="998">
        <f t="shared" si="22"/>
        <v>0</v>
      </c>
      <c r="E85" s="701"/>
      <c r="F85" s="1671"/>
      <c r="G85" s="996"/>
      <c r="H85" s="999" t="str">
        <f t="shared" si="23"/>
        <v>——</v>
      </c>
      <c r="I85" s="3065">
        <v>0.1</v>
      </c>
      <c r="J85" s="997">
        <f t="shared" si="24"/>
        <v>0</v>
      </c>
      <c r="K85" s="997">
        <f t="shared" si="25"/>
        <v>0</v>
      </c>
      <c r="L85" s="997">
        <v>0</v>
      </c>
      <c r="M85" s="997">
        <f t="shared" si="26"/>
        <v>0</v>
      </c>
      <c r="N85" s="997">
        <f t="shared" si="26"/>
        <v>0</v>
      </c>
      <c r="Z85" s="1841"/>
      <c r="AA85" s="1891"/>
      <c r="AG85" s="1054"/>
      <c r="AK85" s="1891"/>
    </row>
    <row r="86" spans="1:37" ht="14.25">
      <c r="A86" s="1966" t="s">
        <v>2066</v>
      </c>
      <c r="B86" s="1258">
        <f>估价对象房地状况!G22</f>
        <v>0</v>
      </c>
      <c r="C86" s="1883"/>
      <c r="D86" s="998">
        <f t="shared" si="22"/>
        <v>0</v>
      </c>
      <c r="E86" s="701"/>
      <c r="F86" s="1671"/>
      <c r="G86" s="996"/>
      <c r="H86" s="999" t="str">
        <f t="shared" si="23"/>
        <v>——</v>
      </c>
      <c r="I86" s="3065">
        <v>0.05</v>
      </c>
      <c r="J86" s="997">
        <f t="shared" si="24"/>
        <v>0</v>
      </c>
      <c r="K86" s="997">
        <f t="shared" si="25"/>
        <v>0</v>
      </c>
      <c r="L86" s="997">
        <v>0</v>
      </c>
      <c r="M86" s="997">
        <f t="shared" si="26"/>
        <v>0</v>
      </c>
      <c r="N86" s="997">
        <f t="shared" si="26"/>
        <v>0</v>
      </c>
      <c r="Z86" s="1841"/>
      <c r="AA86" s="1891"/>
      <c r="AG86" s="1054"/>
      <c r="AK86" s="1891"/>
    </row>
    <row r="87" spans="1:37" ht="24">
      <c r="A87" s="1966" t="s">
        <v>2058</v>
      </c>
      <c r="B87" s="1236">
        <f>估价对象房地状况!G19</f>
        <v>0</v>
      </c>
      <c r="C87" s="1883"/>
      <c r="D87" s="998">
        <f t="shared" si="22"/>
        <v>0</v>
      </c>
      <c r="E87" s="701"/>
      <c r="F87" s="1671"/>
      <c r="G87" s="996"/>
      <c r="H87" s="999" t="str">
        <f t="shared" si="23"/>
        <v>——</v>
      </c>
      <c r="I87" s="3065">
        <v>0.06</v>
      </c>
      <c r="J87" s="997">
        <f t="shared" si="24"/>
        <v>0</v>
      </c>
      <c r="K87" s="997">
        <f t="shared" si="25"/>
        <v>0</v>
      </c>
      <c r="L87" s="997">
        <v>0</v>
      </c>
      <c r="M87" s="997">
        <f t="shared" si="26"/>
        <v>0</v>
      </c>
      <c r="N87" s="997">
        <f t="shared" si="26"/>
        <v>0</v>
      </c>
    </row>
    <row r="88" spans="1:37" ht="24">
      <c r="A88" s="1966" t="s">
        <v>2059</v>
      </c>
      <c r="B88" s="1236">
        <f>估价对象房地状况!G20</f>
        <v>0</v>
      </c>
      <c r="C88" s="1883"/>
      <c r="D88" s="998">
        <f t="shared" si="22"/>
        <v>0</v>
      </c>
      <c r="E88" s="701"/>
      <c r="F88" s="1671"/>
      <c r="G88" s="996"/>
      <c r="H88" s="999" t="str">
        <f t="shared" si="23"/>
        <v>——</v>
      </c>
      <c r="I88" s="3065">
        <v>0.12</v>
      </c>
      <c r="J88" s="997">
        <f t="shared" si="24"/>
        <v>0</v>
      </c>
      <c r="K88" s="997">
        <f t="shared" si="25"/>
        <v>0</v>
      </c>
      <c r="L88" s="997">
        <v>0</v>
      </c>
      <c r="M88" s="997">
        <f t="shared" si="26"/>
        <v>0</v>
      </c>
      <c r="N88" s="997">
        <f t="shared" si="26"/>
        <v>0</v>
      </c>
    </row>
    <row r="89" spans="1:37" ht="24">
      <c r="A89" s="1966" t="s">
        <v>2056</v>
      </c>
      <c r="B89" s="1971" t="s">
        <v>2070</v>
      </c>
      <c r="C89" s="1883"/>
      <c r="D89" s="998">
        <f t="shared" si="22"/>
        <v>0</v>
      </c>
      <c r="E89" s="701"/>
      <c r="F89" s="1671"/>
      <c r="G89" s="996"/>
      <c r="H89" s="999" t="str">
        <f t="shared" si="23"/>
        <v>——</v>
      </c>
      <c r="I89" s="3065">
        <v>0.06</v>
      </c>
      <c r="J89" s="997">
        <f t="shared" si="24"/>
        <v>0</v>
      </c>
      <c r="K89" s="997">
        <f t="shared" si="25"/>
        <v>0</v>
      </c>
      <c r="L89" s="997">
        <v>0</v>
      </c>
      <c r="M89" s="997">
        <f t="shared" si="26"/>
        <v>0</v>
      </c>
      <c r="N89" s="997">
        <f t="shared" si="26"/>
        <v>0</v>
      </c>
    </row>
    <row r="90" spans="1:37" ht="15" thickBot="1">
      <c r="A90" s="1973" t="s">
        <v>2071</v>
      </c>
      <c r="B90" s="1978">
        <f>估价对象房地状况!G18</f>
        <v>0</v>
      </c>
      <c r="C90" s="1883"/>
      <c r="D90" s="998">
        <f t="shared" si="22"/>
        <v>0</v>
      </c>
      <c r="E90" s="702"/>
      <c r="F90" s="1671"/>
      <c r="G90" s="996"/>
      <c r="H90" s="999" t="str">
        <f t="shared" si="23"/>
        <v>——</v>
      </c>
      <c r="I90" s="3066">
        <v>0.05</v>
      </c>
      <c r="J90" s="997">
        <f t="shared" si="24"/>
        <v>0</v>
      </c>
      <c r="K90" s="997">
        <f t="shared" si="25"/>
        <v>0</v>
      </c>
      <c r="L90" s="997">
        <v>0</v>
      </c>
      <c r="M90" s="997">
        <f t="shared" si="26"/>
        <v>0</v>
      </c>
      <c r="N90" s="997">
        <f t="shared" si="26"/>
        <v>0</v>
      </c>
    </row>
    <row r="91" spans="1:37" ht="15">
      <c r="A91" s="3075" t="s">
        <v>2602</v>
      </c>
      <c r="B91" s="3076">
        <f>1+E93</f>
        <v>1</v>
      </c>
      <c r="C91" s="3069"/>
      <c r="D91" s="3070"/>
      <c r="E91" s="1671"/>
      <c r="F91" s="1671"/>
      <c r="G91" s="3071"/>
      <c r="H91" s="3072"/>
      <c r="I91" s="3073"/>
      <c r="J91" s="3074"/>
      <c r="K91" s="3074"/>
      <c r="L91" s="3074"/>
      <c r="M91" s="3074"/>
      <c r="N91" s="3074"/>
    </row>
    <row r="92" spans="1:37" ht="24.75">
      <c r="A92" s="3077" t="s">
        <v>3259</v>
      </c>
      <c r="B92" s="2306"/>
      <c r="C92" s="2306" t="s">
        <v>3268</v>
      </c>
      <c r="D92" s="2306" t="s">
        <v>3269</v>
      </c>
      <c r="E92" s="3049" t="s">
        <v>3270</v>
      </c>
      <c r="F92" s="3079" t="s">
        <v>3271</v>
      </c>
      <c r="G92" s="2306" t="s">
        <v>3272</v>
      </c>
      <c r="H92" s="3086" t="s">
        <v>3275</v>
      </c>
      <c r="I92" s="2306" t="s">
        <v>3276</v>
      </c>
      <c r="J92" s="2146" t="s">
        <v>3277</v>
      </c>
      <c r="K92" s="2146" t="s">
        <v>3278</v>
      </c>
      <c r="L92" s="2146" t="s">
        <v>3279</v>
      </c>
      <c r="M92" s="2146" t="s">
        <v>3280</v>
      </c>
      <c r="N92" s="2146" t="s">
        <v>3281</v>
      </c>
    </row>
    <row r="93" spans="1:37" ht="24">
      <c r="A93" s="3067" t="s">
        <v>3260</v>
      </c>
      <c r="B93" s="1217"/>
      <c r="C93" s="1883"/>
      <c r="D93" s="2306">
        <f>SUMIF($J$92:$N$92,C93,J93:N93)</f>
        <v>0</v>
      </c>
      <c r="E93" s="3080">
        <f>ROUND(SUM(D93:D101),4)</f>
        <v>0</v>
      </c>
      <c r="F93" s="1671" t="str">
        <f>IF(E2="公共服务",SUMIF(L1:L12,G2,N1:N12),"——")</f>
        <v>——</v>
      </c>
      <c r="G93" s="3071"/>
      <c r="H93" s="3116" t="str">
        <f>IFERROR(ROUNDDOWN($F$93*I93/2,4),"——")</f>
        <v>——</v>
      </c>
      <c r="I93" s="3065">
        <v>0.25</v>
      </c>
      <c r="J93" s="1908">
        <f t="shared" ref="J93:J101" si="27">K93+$G93</f>
        <v>0</v>
      </c>
      <c r="K93" s="1908">
        <f t="shared" ref="K93:K101" si="28">$L93+$G93</f>
        <v>0</v>
      </c>
      <c r="L93" s="1908">
        <v>0</v>
      </c>
      <c r="M93" s="1908">
        <f t="shared" ref="M93:N101" si="29">L93-$G93</f>
        <v>0</v>
      </c>
      <c r="N93" s="1908">
        <f t="shared" si="29"/>
        <v>0</v>
      </c>
    </row>
    <row r="94" spans="1:37" ht="14.25">
      <c r="A94" s="3077" t="s">
        <v>3261</v>
      </c>
      <c r="B94" s="3068">
        <f>估价对象房地状况!C18</f>
        <v>0</v>
      </c>
      <c r="C94" s="1883"/>
      <c r="D94" s="2306">
        <f t="shared" ref="D94:D101" si="30">SUMIF($J$60:$N$60,C94,J94:N94)</f>
        <v>0</v>
      </c>
      <c r="E94" s="3081"/>
      <c r="F94" s="1671"/>
      <c r="G94" s="3071"/>
      <c r="H94" s="3116" t="str">
        <f>IFERROR(ROUNDDOWN($F$93*I94/2,4),"——")</f>
        <v>——</v>
      </c>
      <c r="I94" s="3065">
        <v>0.26</v>
      </c>
      <c r="J94" s="1908">
        <f t="shared" si="27"/>
        <v>0</v>
      </c>
      <c r="K94" s="1908">
        <f t="shared" si="28"/>
        <v>0</v>
      </c>
      <c r="L94" s="1908">
        <v>0</v>
      </c>
      <c r="M94" s="1908">
        <f t="shared" si="29"/>
        <v>0</v>
      </c>
      <c r="N94" s="1908">
        <f t="shared" si="29"/>
        <v>0</v>
      </c>
    </row>
    <row r="95" spans="1:37" ht="36">
      <c r="A95" s="3067" t="s">
        <v>3257</v>
      </c>
      <c r="B95" s="3068">
        <f>估价对象房地状况!C19</f>
        <v>0</v>
      </c>
      <c r="C95" s="1883"/>
      <c r="D95" s="2306">
        <f t="shared" si="30"/>
        <v>0</v>
      </c>
      <c r="E95" s="3081"/>
      <c r="F95" s="1671"/>
      <c r="G95" s="3071"/>
      <c r="H95" s="3116" t="str">
        <f t="shared" ref="H95:H101" si="31">IFERROR(ROUNDDOWN($F$93*I95/2,4),"——")</f>
        <v>——</v>
      </c>
      <c r="I95" s="3065">
        <v>0.11</v>
      </c>
      <c r="J95" s="1908">
        <f t="shared" si="27"/>
        <v>0</v>
      </c>
      <c r="K95" s="1908">
        <f t="shared" si="28"/>
        <v>0</v>
      </c>
      <c r="L95" s="1908">
        <v>0</v>
      </c>
      <c r="M95" s="1908">
        <f t="shared" si="29"/>
        <v>0</v>
      </c>
      <c r="N95" s="1908">
        <f t="shared" si="29"/>
        <v>0</v>
      </c>
    </row>
    <row r="96" spans="1:37" ht="36.75">
      <c r="A96" s="3077" t="s">
        <v>3262</v>
      </c>
      <c r="B96" s="3083" t="s">
        <v>3273</v>
      </c>
      <c r="C96" s="1883"/>
      <c r="D96" s="2306">
        <f t="shared" si="30"/>
        <v>0</v>
      </c>
      <c r="E96" s="3081"/>
      <c r="F96" s="1671"/>
      <c r="G96" s="3071"/>
      <c r="H96" s="3116" t="str">
        <f t="shared" si="31"/>
        <v>——</v>
      </c>
      <c r="I96" s="3065">
        <v>0.05</v>
      </c>
      <c r="J96" s="1908">
        <f t="shared" si="27"/>
        <v>0</v>
      </c>
      <c r="K96" s="1908">
        <f t="shared" si="28"/>
        <v>0</v>
      </c>
      <c r="L96" s="1908">
        <v>0</v>
      </c>
      <c r="M96" s="1908">
        <f t="shared" si="29"/>
        <v>0</v>
      </c>
      <c r="N96" s="1908">
        <f t="shared" si="29"/>
        <v>0</v>
      </c>
    </row>
    <row r="97" spans="1:14" ht="24">
      <c r="A97" s="3077" t="s">
        <v>3263</v>
      </c>
      <c r="B97" s="3068">
        <f>估价对象房地状况!C24</f>
        <v>0</v>
      </c>
      <c r="C97" s="1883"/>
      <c r="D97" s="2306">
        <f t="shared" si="30"/>
        <v>0</v>
      </c>
      <c r="E97" s="3081"/>
      <c r="F97" s="1671"/>
      <c r="G97" s="3071"/>
      <c r="H97" s="3116" t="str">
        <f t="shared" si="31"/>
        <v>——</v>
      </c>
      <c r="I97" s="3065">
        <v>0.05</v>
      </c>
      <c r="J97" s="1908">
        <f t="shared" si="27"/>
        <v>0</v>
      </c>
      <c r="K97" s="1908">
        <f t="shared" si="28"/>
        <v>0</v>
      </c>
      <c r="L97" s="1908">
        <v>0</v>
      </c>
      <c r="M97" s="1908">
        <f t="shared" si="29"/>
        <v>0</v>
      </c>
      <c r="N97" s="1908">
        <f t="shared" si="29"/>
        <v>0</v>
      </c>
    </row>
    <row r="98" spans="1:14" ht="24">
      <c r="A98" s="3077" t="s">
        <v>3264</v>
      </c>
      <c r="B98" s="3084" t="s">
        <v>3274</v>
      </c>
      <c r="C98" s="1883"/>
      <c r="D98" s="2306">
        <f t="shared" si="30"/>
        <v>0</v>
      </c>
      <c r="E98" s="3081"/>
      <c r="F98" s="1671"/>
      <c r="G98" s="3071"/>
      <c r="H98" s="3116" t="str">
        <f t="shared" si="31"/>
        <v>——</v>
      </c>
      <c r="I98" s="3065">
        <v>0.06</v>
      </c>
      <c r="J98" s="1908">
        <f t="shared" si="27"/>
        <v>0</v>
      </c>
      <c r="K98" s="1908">
        <f t="shared" si="28"/>
        <v>0</v>
      </c>
      <c r="L98" s="1908">
        <v>0</v>
      </c>
      <c r="M98" s="1908">
        <f t="shared" si="29"/>
        <v>0</v>
      </c>
      <c r="N98" s="1908">
        <f t="shared" si="29"/>
        <v>0</v>
      </c>
    </row>
    <row r="99" spans="1:14" ht="24">
      <c r="A99" s="3077" t="s">
        <v>3265</v>
      </c>
      <c r="B99" s="3068">
        <f>估价对象房地状况!C21</f>
        <v>0</v>
      </c>
      <c r="C99" s="1883"/>
      <c r="D99" s="2306">
        <f t="shared" si="30"/>
        <v>0</v>
      </c>
      <c r="E99" s="3081"/>
      <c r="F99" s="1671"/>
      <c r="G99" s="3071"/>
      <c r="H99" s="3116" t="str">
        <f t="shared" si="31"/>
        <v>——</v>
      </c>
      <c r="I99" s="3065">
        <v>0.06</v>
      </c>
      <c r="J99" s="1908">
        <f t="shared" si="27"/>
        <v>0</v>
      </c>
      <c r="K99" s="1908">
        <f t="shared" si="28"/>
        <v>0</v>
      </c>
      <c r="L99" s="1908">
        <v>0</v>
      </c>
      <c r="M99" s="1908">
        <f t="shared" si="29"/>
        <v>0</v>
      </c>
      <c r="N99" s="1908">
        <f t="shared" si="29"/>
        <v>0</v>
      </c>
    </row>
    <row r="100" spans="1:14" ht="24">
      <c r="A100" s="3077" t="s">
        <v>3266</v>
      </c>
      <c r="B100" s="3068">
        <f>估价对象房地状况!C22</f>
        <v>0</v>
      </c>
      <c r="C100" s="1883"/>
      <c r="D100" s="2306">
        <f t="shared" si="30"/>
        <v>0</v>
      </c>
      <c r="E100" s="3081"/>
      <c r="F100" s="1671"/>
      <c r="G100" s="3071"/>
      <c r="H100" s="3116" t="str">
        <f t="shared" si="31"/>
        <v>——</v>
      </c>
      <c r="I100" s="3065">
        <v>0.09</v>
      </c>
      <c r="J100" s="1908">
        <f t="shared" si="27"/>
        <v>0</v>
      </c>
      <c r="K100" s="1908">
        <f t="shared" si="28"/>
        <v>0</v>
      </c>
      <c r="L100" s="1908">
        <v>0</v>
      </c>
      <c r="M100" s="1908">
        <f t="shared" si="29"/>
        <v>0</v>
      </c>
      <c r="N100" s="1908">
        <f t="shared" si="29"/>
        <v>0</v>
      </c>
    </row>
    <row r="101" spans="1:14" ht="24.75" thickBot="1">
      <c r="A101" s="3078" t="s">
        <v>3267</v>
      </c>
      <c r="B101" s="3085">
        <f>估价对象房地状况!C20</f>
        <v>0</v>
      </c>
      <c r="C101" s="1883"/>
      <c r="D101" s="2306">
        <f t="shared" si="30"/>
        <v>0</v>
      </c>
      <c r="E101" s="3082"/>
      <c r="F101" s="1671"/>
      <c r="G101" s="3071"/>
      <c r="H101" s="3116" t="str">
        <f t="shared" si="31"/>
        <v>——</v>
      </c>
      <c r="I101" s="3066">
        <v>7.0000000000000007E-2</v>
      </c>
      <c r="J101" s="1908">
        <f t="shared" si="27"/>
        <v>0</v>
      </c>
      <c r="K101" s="1908">
        <f t="shared" si="28"/>
        <v>0</v>
      </c>
      <c r="L101" s="1908">
        <v>0</v>
      </c>
      <c r="M101" s="1908">
        <f t="shared" si="29"/>
        <v>0</v>
      </c>
      <c r="N101" s="1908">
        <f t="shared" si="29"/>
        <v>0</v>
      </c>
    </row>
    <row r="103" spans="1:14">
      <c r="A103" s="3492" t="s">
        <v>3282</v>
      </c>
      <c r="B103" s="3492"/>
      <c r="C103" s="3492"/>
      <c r="D103" s="3492"/>
      <c r="E103" s="3492"/>
      <c r="F103" s="3492"/>
      <c r="G103" s="3492"/>
      <c r="H103" s="3492"/>
      <c r="I103" s="3492"/>
      <c r="J103" s="3492"/>
      <c r="K103" s="1663"/>
      <c r="L103" s="1663"/>
      <c r="M103" s="1663"/>
      <c r="N103" s="1663"/>
    </row>
    <row r="104" spans="1:14">
      <c r="A104" s="3493" t="s">
        <v>3283</v>
      </c>
      <c r="B104" s="3493" t="s">
        <v>3284</v>
      </c>
      <c r="C104" s="3087" t="s">
        <v>3285</v>
      </c>
      <c r="D104" s="3088"/>
      <c r="E104" s="3088"/>
      <c r="F104" s="3088"/>
      <c r="G104" s="3088"/>
      <c r="H104" s="3088"/>
      <c r="I104" s="3088"/>
      <c r="J104" s="3089"/>
      <c r="K104" s="3090"/>
      <c r="L104" s="3090"/>
      <c r="M104" s="3090"/>
      <c r="N104" s="3090"/>
    </row>
    <row r="105" spans="1:14">
      <c r="A105" s="3493"/>
      <c r="B105" s="3493"/>
      <c r="C105" s="3091" t="s">
        <v>3286</v>
      </c>
      <c r="D105" s="3091" t="s">
        <v>3287</v>
      </c>
      <c r="E105" s="3091" t="s">
        <v>3288</v>
      </c>
      <c r="F105" s="3091" t="s">
        <v>3289</v>
      </c>
      <c r="G105" s="3091" t="s">
        <v>3290</v>
      </c>
      <c r="H105" s="3091" t="s">
        <v>3291</v>
      </c>
      <c r="I105" s="3091" t="s">
        <v>3292</v>
      </c>
      <c r="J105" s="3091" t="s">
        <v>3293</v>
      </c>
      <c r="K105" s="3091" t="s">
        <v>3294</v>
      </c>
      <c r="L105" s="3091" t="s">
        <v>3295</v>
      </c>
      <c r="M105" s="3091" t="s">
        <v>3296</v>
      </c>
      <c r="N105" s="3091" t="s">
        <v>3297</v>
      </c>
    </row>
    <row r="106" spans="1:14">
      <c r="A106" s="3479" t="s">
        <v>3298</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80"/>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80"/>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80"/>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80"/>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80"/>
      <c r="B111" s="3091" t="s">
        <v>3256</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81"/>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82" t="s">
        <v>3299</v>
      </c>
      <c r="B113" s="3482"/>
      <c r="C113" s="3482"/>
      <c r="D113" s="3482"/>
      <c r="E113" s="3482"/>
      <c r="F113" s="3482"/>
      <c r="G113" s="3482"/>
      <c r="H113" s="3482"/>
      <c r="I113" s="3482"/>
      <c r="J113" s="3482"/>
      <c r="K113" s="3093"/>
      <c r="L113" s="3093"/>
      <c r="M113" s="3093"/>
      <c r="N113" s="3093"/>
    </row>
    <row r="114" spans="1:14">
      <c r="A114" s="3094"/>
      <c r="B114" s="3094"/>
      <c r="C114" s="3094"/>
      <c r="D114" s="3094"/>
      <c r="E114" s="3094"/>
      <c r="F114" s="3094"/>
      <c r="G114" s="3094"/>
      <c r="H114" s="3094"/>
      <c r="I114" s="3094"/>
      <c r="J114" s="3094"/>
      <c r="K114" s="1960"/>
      <c r="L114" s="3094"/>
      <c r="M114" s="3094"/>
      <c r="N114" s="3094"/>
    </row>
    <row r="115" spans="1:14" ht="13.5" thickBot="1">
      <c r="A115" s="3094"/>
      <c r="B115" s="3094"/>
      <c r="C115" s="3094"/>
      <c r="D115" s="3094"/>
      <c r="E115" s="3094"/>
      <c r="F115" s="3094"/>
      <c r="G115" s="3094"/>
      <c r="H115" s="3094"/>
      <c r="I115" s="3094"/>
      <c r="J115" s="3094"/>
      <c r="K115" s="1960"/>
      <c r="L115" s="3094"/>
      <c r="M115" s="3094"/>
      <c r="N115" s="3094"/>
    </row>
    <row r="116" spans="1:14" ht="25.5" thickBot="1">
      <c r="A116" s="3095" t="s">
        <v>3300</v>
      </c>
      <c r="B116" s="3111">
        <f>G3</f>
        <v>2</v>
      </c>
      <c r="C116" s="3096" t="s">
        <v>3301</v>
      </c>
      <c r="D116" s="3097">
        <f>SUMPRODUCT((A118:A122=F116)*(B117:M117=H116)*B118:M122)</f>
        <v>0</v>
      </c>
      <c r="E116" s="160" t="s">
        <v>3302</v>
      </c>
      <c r="F116" s="3098">
        <f>E2</f>
        <v>0</v>
      </c>
      <c r="G116" s="160" t="s">
        <v>3303</v>
      </c>
      <c r="H116" s="3098">
        <f>G2</f>
        <v>0</v>
      </c>
      <c r="I116" s="160"/>
      <c r="J116" s="3099"/>
      <c r="K116" s="3099"/>
      <c r="L116" s="3099"/>
      <c r="M116" s="3099"/>
      <c r="N116" s="3094"/>
    </row>
    <row r="117" spans="1:14">
      <c r="A117" s="3100"/>
      <c r="B117" s="3101" t="s">
        <v>3304</v>
      </c>
      <c r="C117" s="3101" t="s">
        <v>3305</v>
      </c>
      <c r="D117" s="3101" t="s">
        <v>3306</v>
      </c>
      <c r="E117" s="3102" t="s">
        <v>3307</v>
      </c>
      <c r="F117" s="3102" t="s">
        <v>3308</v>
      </c>
      <c r="G117" s="3102" t="s">
        <v>3309</v>
      </c>
      <c r="H117" s="3103" t="s">
        <v>3310</v>
      </c>
      <c r="I117" s="3103" t="s">
        <v>3311</v>
      </c>
      <c r="J117" s="3104" t="s">
        <v>3312</v>
      </c>
      <c r="K117" s="3104" t="s">
        <v>3313</v>
      </c>
      <c r="L117" s="3104" t="s">
        <v>3314</v>
      </c>
      <c r="M117" s="3105" t="s">
        <v>3315</v>
      </c>
      <c r="N117" s="3094"/>
    </row>
    <row r="118" spans="1:14">
      <c r="A118" s="3054" t="s">
        <v>3316</v>
      </c>
      <c r="B118" s="3086">
        <f>ROUND(0.9968-0.011*B116,4)</f>
        <v>0.9748</v>
      </c>
      <c r="C118" s="3086">
        <f>B118</f>
        <v>0.9748</v>
      </c>
      <c r="D118" s="3086">
        <f>ROUND(0.949-0.014*B116,4)</f>
        <v>0.92100000000000004</v>
      </c>
      <c r="E118" s="3086">
        <f>D118</f>
        <v>0.92100000000000004</v>
      </c>
      <c r="F118" s="3086">
        <f>E118</f>
        <v>0.92100000000000004</v>
      </c>
      <c r="G118" s="3086">
        <f>F118</f>
        <v>0.92100000000000004</v>
      </c>
      <c r="H118" s="3086">
        <f>G118</f>
        <v>0.92100000000000004</v>
      </c>
      <c r="I118" s="3086">
        <f>ROUND(0.8486-0.018*B116,4)</f>
        <v>0.81259999999999999</v>
      </c>
      <c r="J118" s="3086">
        <f t="shared" ref="J118:M122" si="35">I118</f>
        <v>0.81259999999999999</v>
      </c>
      <c r="K118" s="3086">
        <f t="shared" si="35"/>
        <v>0.81259999999999999</v>
      </c>
      <c r="L118" s="3086">
        <f t="shared" si="35"/>
        <v>0.81259999999999999</v>
      </c>
      <c r="M118" s="3106">
        <f t="shared" si="35"/>
        <v>0.81259999999999999</v>
      </c>
      <c r="N118" s="3094"/>
    </row>
    <row r="119" spans="1:14">
      <c r="A119" s="3054" t="s">
        <v>3317</v>
      </c>
      <c r="B119" s="3086">
        <f>ROUND(0.993-0.0112*B116,4)</f>
        <v>0.97060000000000002</v>
      </c>
      <c r="C119" s="3086">
        <f>B119</f>
        <v>0.97060000000000002</v>
      </c>
      <c r="D119" s="3086">
        <f>ROUND(0.9415-0.0142*B116,4)</f>
        <v>0.91310000000000002</v>
      </c>
      <c r="E119" s="3086">
        <f t="shared" ref="E119:H120" si="36">D119</f>
        <v>0.91310000000000002</v>
      </c>
      <c r="F119" s="3086">
        <f t="shared" si="36"/>
        <v>0.91310000000000002</v>
      </c>
      <c r="G119" s="3086">
        <f t="shared" si="36"/>
        <v>0.91310000000000002</v>
      </c>
      <c r="H119" s="3086">
        <f t="shared" si="36"/>
        <v>0.91310000000000002</v>
      </c>
      <c r="I119" s="3086">
        <f>ROUND(0.838-0.0182*B116,4)</f>
        <v>0.80159999999999998</v>
      </c>
      <c r="J119" s="3086">
        <f t="shared" si="35"/>
        <v>0.80159999999999998</v>
      </c>
      <c r="K119" s="3086">
        <f t="shared" si="35"/>
        <v>0.80159999999999998</v>
      </c>
      <c r="L119" s="3086">
        <f t="shared" si="35"/>
        <v>0.80159999999999998</v>
      </c>
      <c r="M119" s="3106">
        <f t="shared" si="35"/>
        <v>0.80159999999999998</v>
      </c>
      <c r="N119" s="3094"/>
    </row>
    <row r="120" spans="1:14">
      <c r="A120" s="3054" t="s">
        <v>3318</v>
      </c>
      <c r="B120" s="3086">
        <f>ROUND(0.9448-0.0115*B116,4)</f>
        <v>0.92179999999999995</v>
      </c>
      <c r="C120" s="3086">
        <f>B120</f>
        <v>0.92179999999999995</v>
      </c>
      <c r="D120" s="3086">
        <f>ROUND(0.937-0.0145*B116,4)</f>
        <v>0.90800000000000003</v>
      </c>
      <c r="E120" s="3086">
        <f t="shared" si="36"/>
        <v>0.90800000000000003</v>
      </c>
      <c r="F120" s="3086">
        <f t="shared" si="36"/>
        <v>0.90800000000000003</v>
      </c>
      <c r="G120" s="3086">
        <f t="shared" si="36"/>
        <v>0.90800000000000003</v>
      </c>
      <c r="H120" s="3086">
        <f t="shared" si="36"/>
        <v>0.90800000000000003</v>
      </c>
      <c r="I120" s="3086">
        <f>ROUND(0.7965-0.0185*B116,4)</f>
        <v>0.75949999999999995</v>
      </c>
      <c r="J120" s="3086">
        <f t="shared" si="35"/>
        <v>0.75949999999999995</v>
      </c>
      <c r="K120" s="3086">
        <f t="shared" si="35"/>
        <v>0.75949999999999995</v>
      </c>
      <c r="L120" s="3086">
        <f t="shared" si="35"/>
        <v>0.75949999999999995</v>
      </c>
      <c r="M120" s="3106">
        <f t="shared" si="35"/>
        <v>0.75949999999999995</v>
      </c>
      <c r="N120" s="3094"/>
    </row>
    <row r="121" spans="1:14" ht="13.5" thickBot="1">
      <c r="A121" s="3107" t="s">
        <v>3319</v>
      </c>
      <c r="B121" s="3108">
        <f>ROUND(0.7836-0.012*B116,4)</f>
        <v>0.75960000000000005</v>
      </c>
      <c r="C121" s="3108">
        <f>B121</f>
        <v>0.75960000000000005</v>
      </c>
      <c r="D121" s="3108">
        <f>ROUND(0.753-0.015*B116,4)</f>
        <v>0.72299999999999998</v>
      </c>
      <c r="E121" s="3108">
        <f>D121</f>
        <v>0.72299999999999998</v>
      </c>
      <c r="F121" s="3108">
        <f>E121</f>
        <v>0.72299999999999998</v>
      </c>
      <c r="G121" s="3108">
        <f>ROUND(0.6612-0.018*B116,4)</f>
        <v>0.62519999999999998</v>
      </c>
      <c r="H121" s="3108">
        <f>G121</f>
        <v>0.62519999999999998</v>
      </c>
      <c r="I121" s="3108">
        <f>ROUND(0.5905-0.019*B116,4)</f>
        <v>0.55249999999999999</v>
      </c>
      <c r="J121" s="3108">
        <f t="shared" si="35"/>
        <v>0.55249999999999999</v>
      </c>
      <c r="K121" s="3108">
        <f t="shared" si="35"/>
        <v>0.55249999999999999</v>
      </c>
      <c r="L121" s="3108">
        <f t="shared" si="35"/>
        <v>0.55249999999999999</v>
      </c>
      <c r="M121" s="3109">
        <f t="shared" si="35"/>
        <v>0.55249999999999999</v>
      </c>
      <c r="N121" s="3094"/>
    </row>
    <row r="122" spans="1:14">
      <c r="A122" s="3110" t="s">
        <v>2602</v>
      </c>
      <c r="B122" s="3086">
        <f>ROUND(0.9404-0.0106*B116,4)</f>
        <v>0.91920000000000002</v>
      </c>
      <c r="C122" s="3086">
        <f>B122</f>
        <v>0.91920000000000002</v>
      </c>
      <c r="D122" s="3086">
        <f>ROUND(0.8955-0.0135*B116,4)</f>
        <v>0.86850000000000005</v>
      </c>
      <c r="E122" s="3086">
        <f t="shared" ref="E122:H122" si="37">D122</f>
        <v>0.86850000000000005</v>
      </c>
      <c r="F122" s="3086">
        <f t="shared" si="37"/>
        <v>0.86850000000000005</v>
      </c>
      <c r="G122" s="3086">
        <f t="shared" si="37"/>
        <v>0.86850000000000005</v>
      </c>
      <c r="H122" s="3086">
        <f t="shared" si="37"/>
        <v>0.86850000000000005</v>
      </c>
      <c r="I122" s="3086">
        <f>ROUND(0.7632-0.0166*B116,4)</f>
        <v>0.73</v>
      </c>
      <c r="J122" s="3086">
        <f t="shared" si="35"/>
        <v>0.73</v>
      </c>
      <c r="K122" s="3086">
        <f t="shared" si="35"/>
        <v>0.73</v>
      </c>
      <c r="L122" s="3086">
        <f t="shared" si="35"/>
        <v>0.73</v>
      </c>
      <c r="M122" s="3106">
        <f t="shared" si="35"/>
        <v>0.73</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2584</v>
      </c>
      <c r="B1" s="2808" t="s">
        <v>2585</v>
      </c>
      <c r="C1" s="2808" t="s">
        <v>2586</v>
      </c>
      <c r="D1" s="2808" t="s">
        <v>2587</v>
      </c>
      <c r="E1" s="2808" t="s">
        <v>2588</v>
      </c>
      <c r="F1" s="2808" t="s">
        <v>2589</v>
      </c>
      <c r="G1" s="2808" t="s">
        <v>2590</v>
      </c>
      <c r="H1" s="2808" t="s">
        <v>2591</v>
      </c>
      <c r="I1" s="2808" t="s">
        <v>2592</v>
      </c>
      <c r="J1" s="2808" t="s">
        <v>2593</v>
      </c>
      <c r="K1" s="2808" t="s">
        <v>2594</v>
      </c>
      <c r="L1" s="2808" t="s">
        <v>2595</v>
      </c>
      <c r="M1" s="2809" t="s">
        <v>2596</v>
      </c>
    </row>
    <row r="2" spans="1:13" ht="19.5" customHeight="1">
      <c r="A2" s="2811" t="s">
        <v>2597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2613</v>
      </c>
      <c r="B18" s="2833"/>
      <c r="C18" s="2834"/>
      <c r="D18" s="2834"/>
      <c r="E18" s="2833"/>
      <c r="F18" s="2834"/>
      <c r="G18" s="2834"/>
    </row>
    <row r="19" spans="1:13" ht="19.5" customHeight="1" thickBot="1">
      <c r="A19" s="2831" t="s">
        <v>2614</v>
      </c>
      <c r="B19" s="2836" t="s">
        <v>2615</v>
      </c>
      <c r="C19" s="2836" t="s">
        <v>2616</v>
      </c>
      <c r="D19" s="2837"/>
      <c r="E19" s="2831" t="s">
        <v>2617</v>
      </c>
      <c r="F19" s="2838"/>
      <c r="G19" s="2838"/>
    </row>
    <row r="20" spans="1:13" ht="19.5" customHeight="1">
      <c r="A20" s="3509" t="s">
        <v>2597</v>
      </c>
      <c r="B20" s="3502" t="s">
        <v>2618</v>
      </c>
      <c r="C20" s="3165" t="s">
        <v>2429</v>
      </c>
      <c r="D20" s="3165"/>
      <c r="E20" s="2841">
        <v>1</v>
      </c>
      <c r="F20" s="2842" t="s">
        <v>2430</v>
      </c>
      <c r="G20" s="2842"/>
    </row>
    <row r="21" spans="1:13" ht="19.5" customHeight="1">
      <c r="A21" s="3510"/>
      <c r="B21" s="3498"/>
      <c r="C21" s="2854" t="s">
        <v>2431</v>
      </c>
      <c r="D21" s="2854"/>
      <c r="E21" s="2845">
        <v>1</v>
      </c>
      <c r="F21" s="2842" t="s">
        <v>2432</v>
      </c>
      <c r="G21" s="2842"/>
    </row>
    <row r="22" spans="1:13" ht="19.5" customHeight="1">
      <c r="A22" s="3510"/>
      <c r="B22" s="3498"/>
      <c r="C22" s="2854" t="s">
        <v>2433</v>
      </c>
      <c r="D22" s="2854"/>
      <c r="E22" s="2845">
        <v>0.9</v>
      </c>
      <c r="F22" s="2842" t="s">
        <v>2434</v>
      </c>
      <c r="G22" s="2842"/>
    </row>
    <row r="23" spans="1:13" ht="19.5" customHeight="1">
      <c r="A23" s="3510"/>
      <c r="B23" s="3498"/>
      <c r="C23" s="2854" t="s">
        <v>2435</v>
      </c>
      <c r="D23" s="2854"/>
      <c r="E23" s="2845">
        <v>0.9</v>
      </c>
      <c r="F23" s="2842" t="s">
        <v>2436</v>
      </c>
      <c r="G23" s="2842"/>
    </row>
    <row r="24" spans="1:13" ht="19.5" customHeight="1">
      <c r="A24" s="3510"/>
      <c r="B24" s="3498"/>
      <c r="C24" s="2854" t="s">
        <v>2437</v>
      </c>
      <c r="D24" s="2854"/>
      <c r="E24" s="2845">
        <v>0.8</v>
      </c>
      <c r="F24" s="2842" t="s">
        <v>2438</v>
      </c>
      <c r="G24" s="2842"/>
    </row>
    <row r="25" spans="1:13" ht="19.5" customHeight="1">
      <c r="A25" s="3510"/>
      <c r="B25" s="3498"/>
      <c r="C25" s="2854" t="s">
        <v>2439</v>
      </c>
      <c r="D25" s="2854"/>
      <c r="E25" s="2845">
        <v>0.8</v>
      </c>
      <c r="F25" s="2842"/>
      <c r="G25" s="2842"/>
    </row>
    <row r="26" spans="1:13" ht="19.5" customHeight="1">
      <c r="A26" s="3510"/>
      <c r="B26" s="3498"/>
      <c r="C26" s="2854" t="s">
        <v>3400</v>
      </c>
      <c r="D26" s="2854"/>
      <c r="E26" s="2845">
        <v>0.43</v>
      </c>
      <c r="F26" s="2842"/>
      <c r="G26" s="2842"/>
    </row>
    <row r="27" spans="1:13" ht="19.5" customHeight="1" thickBot="1">
      <c r="A27" s="3511"/>
      <c r="B27" s="3503"/>
      <c r="C27" s="3161" t="s">
        <v>3401</v>
      </c>
      <c r="D27" s="3161"/>
      <c r="E27" s="2848">
        <f>E26*0.9</f>
        <v>0.38700000000000001</v>
      </c>
      <c r="F27" s="2842" t="s">
        <v>2440</v>
      </c>
      <c r="G27" s="2842"/>
    </row>
    <row r="28" spans="1:13" ht="19.5" customHeight="1" thickBot="1">
      <c r="A28" s="3160" t="s">
        <v>2619</v>
      </c>
      <c r="B28" s="3159" t="s">
        <v>2618</v>
      </c>
      <c r="C28" s="3162" t="s">
        <v>2620</v>
      </c>
      <c r="D28" s="3163"/>
      <c r="E28" s="3164">
        <v>1</v>
      </c>
      <c r="F28" s="2842" t="s">
        <v>2441</v>
      </c>
      <c r="G28" s="2842"/>
    </row>
    <row r="29" spans="1:13" ht="19.5" customHeight="1">
      <c r="A29" s="3504" t="s">
        <v>2621</v>
      </c>
      <c r="B29" s="3507" t="s">
        <v>2602</v>
      </c>
      <c r="C29" s="2839" t="s">
        <v>2442</v>
      </c>
      <c r="D29" s="2840"/>
      <c r="E29" s="2841">
        <v>1</v>
      </c>
      <c r="F29" s="2842" t="s">
        <v>2443</v>
      </c>
      <c r="G29" s="2842"/>
    </row>
    <row r="30" spans="1:13" ht="19.5" customHeight="1">
      <c r="A30" s="3505"/>
      <c r="B30" s="3501"/>
      <c r="C30" s="2843" t="s">
        <v>2444</v>
      </c>
      <c r="D30" s="2844"/>
      <c r="E30" s="2845">
        <v>1</v>
      </c>
      <c r="F30" s="2842" t="s">
        <v>2445</v>
      </c>
      <c r="G30" s="2842"/>
    </row>
    <row r="31" spans="1:13" ht="19.5" customHeight="1">
      <c r="A31" s="3505"/>
      <c r="B31" s="3501"/>
      <c r="C31" s="2843" t="s">
        <v>2446</v>
      </c>
      <c r="D31" s="2844"/>
      <c r="E31" s="2845">
        <v>0.8</v>
      </c>
      <c r="F31" s="2842" t="s">
        <v>2447</v>
      </c>
      <c r="G31" s="2842"/>
    </row>
    <row r="32" spans="1:13" ht="19.5" customHeight="1">
      <c r="A32" s="3505"/>
      <c r="B32" s="3501"/>
      <c r="C32" s="2843" t="s">
        <v>2448</v>
      </c>
      <c r="D32" s="2844"/>
      <c r="E32" s="2845">
        <v>0.8</v>
      </c>
      <c r="F32" s="2842" t="s">
        <v>2449</v>
      </c>
      <c r="G32" s="2842"/>
    </row>
    <row r="33" spans="1:7" ht="19.5" customHeight="1">
      <c r="A33" s="3505"/>
      <c r="B33" s="3501"/>
      <c r="C33" s="2843" t="s">
        <v>2450</v>
      </c>
      <c r="D33" s="2844"/>
      <c r="E33" s="2845">
        <v>0.8</v>
      </c>
      <c r="F33" s="2842" t="s">
        <v>2451</v>
      </c>
      <c r="G33" s="2842"/>
    </row>
    <row r="34" spans="1:7" ht="19.5" customHeight="1">
      <c r="A34" s="3505"/>
      <c r="B34" s="3501"/>
      <c r="C34" s="2843" t="s">
        <v>2452</v>
      </c>
      <c r="D34" s="2844"/>
      <c r="E34" s="2845">
        <v>0.7</v>
      </c>
      <c r="F34" s="2842" t="s">
        <v>2453</v>
      </c>
      <c r="G34" s="2842"/>
    </row>
    <row r="35" spans="1:7" ht="19.5" customHeight="1">
      <c r="A35" s="3505"/>
      <c r="B35" s="3501"/>
      <c r="C35" s="2843" t="s">
        <v>2454</v>
      </c>
      <c r="D35" s="2844"/>
      <c r="E35" s="2845">
        <v>0.8</v>
      </c>
      <c r="F35" s="2842" t="s">
        <v>2455</v>
      </c>
      <c r="G35" s="2842"/>
    </row>
    <row r="36" spans="1:7" ht="19.5" customHeight="1">
      <c r="A36" s="3505"/>
      <c r="B36" s="3501"/>
      <c r="C36" s="2843" t="s">
        <v>2456</v>
      </c>
      <c r="D36" s="2844"/>
      <c r="E36" s="2845">
        <v>0.6</v>
      </c>
      <c r="F36" s="2842" t="s">
        <v>2457</v>
      </c>
      <c r="G36" s="2842"/>
    </row>
    <row r="37" spans="1:7" ht="19.5" customHeight="1">
      <c r="A37" s="3505"/>
      <c r="B37" s="3501"/>
      <c r="C37" s="2843" t="s">
        <v>2458</v>
      </c>
      <c r="D37" s="2844"/>
      <c r="E37" s="2845">
        <v>0.2</v>
      </c>
      <c r="F37" s="2842" t="s">
        <v>2459</v>
      </c>
      <c r="G37" s="2842"/>
    </row>
    <row r="38" spans="1:7" ht="19.5" customHeight="1">
      <c r="A38" s="3505"/>
      <c r="B38" s="3501"/>
      <c r="C38" s="2843" t="s">
        <v>2460</v>
      </c>
      <c r="D38" s="2844"/>
      <c r="E38" s="2845">
        <v>0.2</v>
      </c>
      <c r="F38" s="2842" t="s">
        <v>2461</v>
      </c>
      <c r="G38" s="2842"/>
    </row>
    <row r="39" spans="1:7" ht="19.5" customHeight="1">
      <c r="A39" s="3505"/>
      <c r="B39" s="3499" t="s">
        <v>2622</v>
      </c>
      <c r="C39" s="2843" t="s">
        <v>2462</v>
      </c>
      <c r="D39" s="2844"/>
      <c r="E39" s="2845">
        <v>0.6</v>
      </c>
      <c r="F39" s="2842" t="s">
        <v>2463</v>
      </c>
      <c r="G39" s="2842"/>
    </row>
    <row r="40" spans="1:7" ht="19.5" customHeight="1">
      <c r="A40" s="3505"/>
      <c r="B40" s="3501"/>
      <c r="C40" s="2843" t="s">
        <v>2464</v>
      </c>
      <c r="D40" s="2844"/>
      <c r="E40" s="2845">
        <v>0.6</v>
      </c>
      <c r="F40" s="2842" t="s">
        <v>2465</v>
      </c>
      <c r="G40" s="2842"/>
    </row>
    <row r="41" spans="1:7" ht="19.5" customHeight="1" thickBot="1">
      <c r="A41" s="3506"/>
      <c r="B41" s="3508"/>
      <c r="C41" s="2846" t="s">
        <v>2466</v>
      </c>
      <c r="D41" s="2847"/>
      <c r="E41" s="2848">
        <v>0.6</v>
      </c>
      <c r="F41" s="2842" t="s">
        <v>2467</v>
      </c>
      <c r="G41" s="2842"/>
    </row>
    <row r="42" spans="1:7" ht="19.5" customHeight="1" thickBot="1">
      <c r="A42" s="2849" t="s">
        <v>2599</v>
      </c>
      <c r="B42" s="2850" t="s">
        <v>2599</v>
      </c>
      <c r="C42" s="2851" t="s">
        <v>2623</v>
      </c>
      <c r="D42" s="2852"/>
      <c r="E42" s="2853">
        <v>1</v>
      </c>
      <c r="F42" s="2842" t="s">
        <v>2468</v>
      </c>
      <c r="G42" s="2842"/>
    </row>
    <row r="43" spans="1:7" ht="19.5" customHeight="1">
      <c r="A43" s="3509" t="s">
        <v>2600</v>
      </c>
      <c r="B43" s="3507" t="s">
        <v>2624</v>
      </c>
      <c r="C43" s="2839" t="s">
        <v>2469</v>
      </c>
      <c r="D43" s="2840"/>
      <c r="E43" s="2841">
        <v>1</v>
      </c>
      <c r="F43" s="2842" t="s">
        <v>2470</v>
      </c>
      <c r="G43" s="2842"/>
    </row>
    <row r="44" spans="1:7" ht="19.5" customHeight="1">
      <c r="A44" s="3510"/>
      <c r="B44" s="3501"/>
      <c r="C44" s="2843" t="s">
        <v>2471</v>
      </c>
      <c r="D44" s="2844"/>
      <c r="E44" s="2845">
        <v>1</v>
      </c>
      <c r="F44" s="2842" t="s">
        <v>2472</v>
      </c>
      <c r="G44" s="2842"/>
    </row>
    <row r="45" spans="1:7" ht="19.5" customHeight="1">
      <c r="A45" s="3510"/>
      <c r="B45" s="3500"/>
      <c r="C45" s="2843" t="s">
        <v>2473</v>
      </c>
      <c r="D45" s="2844"/>
      <c r="E45" s="2845">
        <v>1.5</v>
      </c>
      <c r="F45" s="2842" t="s">
        <v>2474</v>
      </c>
      <c r="G45" s="2842"/>
    </row>
    <row r="46" spans="1:7" ht="19.5" customHeight="1">
      <c r="A46" s="3510"/>
      <c r="B46" s="2854" t="s">
        <v>2625</v>
      </c>
      <c r="C46" s="2843" t="s">
        <v>2626</v>
      </c>
      <c r="D46" s="2844"/>
      <c r="E46" s="2845">
        <v>2</v>
      </c>
      <c r="F46" s="2842" t="s">
        <v>2475</v>
      </c>
      <c r="G46" s="2842"/>
    </row>
    <row r="47" spans="1:7" ht="19.5" customHeight="1">
      <c r="A47" s="3510"/>
      <c r="B47" s="3499" t="s">
        <v>2627</v>
      </c>
      <c r="C47" s="2843" t="s">
        <v>2476</v>
      </c>
      <c r="D47" s="2844"/>
      <c r="E47" s="2845">
        <v>1</v>
      </c>
      <c r="F47" s="2842" t="s">
        <v>2477</v>
      </c>
      <c r="G47" s="2842"/>
    </row>
    <row r="48" spans="1:7" ht="19.5" customHeight="1">
      <c r="A48" s="3510"/>
      <c r="B48" s="3501"/>
      <c r="C48" s="2843" t="s">
        <v>2478</v>
      </c>
      <c r="D48" s="2844"/>
      <c r="E48" s="2845">
        <v>1</v>
      </c>
      <c r="F48" s="2842" t="s">
        <v>2479</v>
      </c>
      <c r="G48" s="2842"/>
    </row>
    <row r="49" spans="1:7" ht="19.5" customHeight="1">
      <c r="A49" s="3510"/>
      <c r="B49" s="3501"/>
      <c r="C49" s="2843" t="s">
        <v>2480</v>
      </c>
      <c r="D49" s="2844"/>
      <c r="E49" s="2845">
        <v>1</v>
      </c>
      <c r="F49" s="2842" t="s">
        <v>2481</v>
      </c>
      <c r="G49" s="2842"/>
    </row>
    <row r="50" spans="1:7" ht="19.5" customHeight="1">
      <c r="A50" s="3510"/>
      <c r="B50" s="3501"/>
      <c r="C50" s="2843" t="s">
        <v>2482</v>
      </c>
      <c r="D50" s="2844"/>
      <c r="E50" s="2845">
        <v>1</v>
      </c>
      <c r="F50" s="2842" t="s">
        <v>2483</v>
      </c>
      <c r="G50" s="2842"/>
    </row>
    <row r="51" spans="1:7" ht="19.5" customHeight="1">
      <c r="A51" s="3510"/>
      <c r="B51" s="3501"/>
      <c r="C51" s="2843" t="s">
        <v>2484</v>
      </c>
      <c r="D51" s="2844"/>
      <c r="E51" s="2845">
        <v>1</v>
      </c>
      <c r="F51" s="2842" t="s">
        <v>2485</v>
      </c>
      <c r="G51" s="2842"/>
    </row>
    <row r="52" spans="1:7" ht="19.5" customHeight="1">
      <c r="A52" s="3510"/>
      <c r="B52" s="3501"/>
      <c r="C52" s="2843" t="s">
        <v>2486</v>
      </c>
      <c r="D52" s="2844"/>
      <c r="E52" s="2845">
        <v>1</v>
      </c>
      <c r="F52" s="2842" t="s">
        <v>2487</v>
      </c>
      <c r="G52" s="2842"/>
    </row>
    <row r="53" spans="1:7" ht="19.5" customHeight="1" thickBot="1">
      <c r="A53" s="3511"/>
      <c r="B53" s="3508"/>
      <c r="C53" s="2846" t="s">
        <v>2488</v>
      </c>
      <c r="D53" s="2847"/>
      <c r="E53" s="2848">
        <v>1</v>
      </c>
      <c r="F53" s="2842" t="s">
        <v>2489</v>
      </c>
      <c r="G53" s="2842"/>
    </row>
    <row r="54" spans="1:7" ht="19.5" customHeight="1">
      <c r="A54" s="2855"/>
      <c r="B54" s="2855"/>
      <c r="C54" s="2855"/>
      <c r="D54" s="2855"/>
      <c r="E54" s="2855"/>
      <c r="F54" s="2855"/>
      <c r="G54" s="2855"/>
    </row>
    <row r="56" spans="1:7" ht="19.5" customHeight="1">
      <c r="A56" s="2856"/>
      <c r="B56" s="2828" t="s">
        <v>2628</v>
      </c>
      <c r="C56" s="2828" t="s">
        <v>2628</v>
      </c>
      <c r="D56" s="2828" t="s">
        <v>2628</v>
      </c>
      <c r="E56" s="2831" t="s">
        <v>2628</v>
      </c>
      <c r="F56" s="2831" t="s">
        <v>2629</v>
      </c>
      <c r="G56" s="2831" t="s">
        <v>2630</v>
      </c>
    </row>
    <row r="57" spans="1:7" ht="19.5" customHeight="1">
      <c r="A57" s="2857"/>
      <c r="B57" s="2831" t="s">
        <v>2597</v>
      </c>
      <c r="C57" s="2831" t="s">
        <v>2597</v>
      </c>
      <c r="D57" s="2831" t="s">
        <v>2597</v>
      </c>
      <c r="E57" s="2828" t="s">
        <v>2598</v>
      </c>
      <c r="F57" s="2828" t="s">
        <v>2600</v>
      </c>
      <c r="G57" s="2828" t="s">
        <v>2631</v>
      </c>
    </row>
    <row r="58" spans="1:7" ht="19.5" customHeight="1">
      <c r="A58" s="2858"/>
      <c r="B58" s="2828">
        <v>1</v>
      </c>
      <c r="C58" s="2828">
        <v>2</v>
      </c>
      <c r="D58" s="2828">
        <v>3</v>
      </c>
      <c r="E58" s="2859" t="s">
        <v>2632</v>
      </c>
      <c r="F58" s="2859" t="s">
        <v>2632</v>
      </c>
      <c r="G58" s="2859" t="s">
        <v>2632</v>
      </c>
    </row>
    <row r="59" spans="1:7" ht="19.5" customHeight="1">
      <c r="A59" s="2860" t="s">
        <v>2585</v>
      </c>
      <c r="B59" s="2828">
        <v>0.7</v>
      </c>
      <c r="C59" s="2828">
        <v>0.4</v>
      </c>
      <c r="D59" s="2828">
        <v>0.3</v>
      </c>
      <c r="E59" s="2859">
        <v>0.3</v>
      </c>
      <c r="F59" s="2828">
        <v>0.3</v>
      </c>
      <c r="G59" s="2828">
        <v>0.2</v>
      </c>
    </row>
    <row r="60" spans="1:7" ht="19.5" customHeight="1">
      <c r="A60" s="2860" t="s">
        <v>2586</v>
      </c>
      <c r="B60" s="2828">
        <v>0.7</v>
      </c>
      <c r="C60" s="2828">
        <v>0.4</v>
      </c>
      <c r="D60" s="2828">
        <v>0.3</v>
      </c>
      <c r="E60" s="2828">
        <v>0.3</v>
      </c>
      <c r="F60" s="2828">
        <v>0.3</v>
      </c>
      <c r="G60" s="2828">
        <v>0.2</v>
      </c>
    </row>
    <row r="61" spans="1:7" ht="19.5" customHeight="1">
      <c r="A61" s="2860" t="s">
        <v>2587</v>
      </c>
      <c r="B61" s="2828">
        <v>0.6</v>
      </c>
      <c r="C61" s="2828">
        <v>0.3</v>
      </c>
      <c r="D61" s="2828">
        <v>0.25</v>
      </c>
      <c r="E61" s="2828">
        <v>0.25</v>
      </c>
      <c r="F61" s="2828">
        <v>0.25</v>
      </c>
      <c r="G61" s="2828">
        <v>0.15</v>
      </c>
    </row>
    <row r="62" spans="1:7" ht="19.5" customHeight="1">
      <c r="A62" s="2860" t="s">
        <v>2588</v>
      </c>
      <c r="B62" s="2828">
        <v>0.6</v>
      </c>
      <c r="C62" s="2828">
        <v>0.3</v>
      </c>
      <c r="D62" s="2828">
        <v>0.25</v>
      </c>
      <c r="E62" s="2828">
        <v>0.25</v>
      </c>
      <c r="F62" s="2828">
        <v>0.25</v>
      </c>
      <c r="G62" s="2828">
        <v>0.15</v>
      </c>
    </row>
    <row r="63" spans="1:7" ht="19.5" customHeight="1">
      <c r="A63" s="2860" t="s">
        <v>2589</v>
      </c>
      <c r="B63" s="2828">
        <v>0.6</v>
      </c>
      <c r="C63" s="2828">
        <v>0.3</v>
      </c>
      <c r="D63" s="2828">
        <v>0.25</v>
      </c>
      <c r="E63" s="2828">
        <v>0.25</v>
      </c>
      <c r="F63" s="2828">
        <v>0.25</v>
      </c>
      <c r="G63" s="2828">
        <v>0.15</v>
      </c>
    </row>
    <row r="64" spans="1:7" ht="19.5" customHeight="1">
      <c r="A64" s="2860" t="s">
        <v>2590</v>
      </c>
      <c r="B64" s="2828">
        <v>0.6</v>
      </c>
      <c r="C64" s="2828">
        <v>0.3</v>
      </c>
      <c r="D64" s="2828">
        <v>0.25</v>
      </c>
      <c r="E64" s="2828">
        <v>0.25</v>
      </c>
      <c r="F64" s="2828">
        <v>0.25</v>
      </c>
      <c r="G64" s="2828">
        <v>0.15</v>
      </c>
    </row>
    <row r="65" spans="1:7" ht="19.5" customHeight="1">
      <c r="A65" s="2860" t="s">
        <v>2591</v>
      </c>
      <c r="B65" s="2828">
        <v>0.6</v>
      </c>
      <c r="C65" s="2828">
        <v>0.3</v>
      </c>
      <c r="D65" s="2828">
        <v>0.25</v>
      </c>
      <c r="E65" s="2828">
        <v>0.25</v>
      </c>
      <c r="F65" s="2828">
        <v>0.25</v>
      </c>
      <c r="G65" s="2828">
        <v>0.15</v>
      </c>
    </row>
    <row r="66" spans="1:7" ht="19.5" customHeight="1">
      <c r="A66" s="2860" t="s">
        <v>2592</v>
      </c>
      <c r="B66" s="2828">
        <v>0.5</v>
      </c>
      <c r="C66" s="2828">
        <v>0.2</v>
      </c>
      <c r="D66" s="2828">
        <v>0.2</v>
      </c>
      <c r="E66" s="2828">
        <v>0.2</v>
      </c>
      <c r="F66" s="2828">
        <v>0.2</v>
      </c>
      <c r="G66" s="2828">
        <v>0.1</v>
      </c>
    </row>
    <row r="67" spans="1:7" ht="19.5" customHeight="1">
      <c r="A67" s="2860" t="s">
        <v>2593</v>
      </c>
      <c r="B67" s="2828">
        <v>0.5</v>
      </c>
      <c r="C67" s="2828">
        <v>0.2</v>
      </c>
      <c r="D67" s="2828">
        <v>0.2</v>
      </c>
      <c r="E67" s="2828">
        <v>0.2</v>
      </c>
      <c r="F67" s="2828">
        <v>0.2</v>
      </c>
      <c r="G67" s="2828">
        <v>0.1</v>
      </c>
    </row>
    <row r="68" spans="1:7" ht="19.5" customHeight="1">
      <c r="A68" s="2860" t="s">
        <v>2594</v>
      </c>
      <c r="B68" s="2828">
        <v>0.5</v>
      </c>
      <c r="C68" s="2828">
        <v>0.2</v>
      </c>
      <c r="D68" s="2828">
        <v>0.2</v>
      </c>
      <c r="E68" s="2828">
        <v>0.2</v>
      </c>
      <c r="F68" s="2828">
        <v>0.2</v>
      </c>
      <c r="G68" s="2828">
        <v>0.1</v>
      </c>
    </row>
    <row r="69" spans="1:7" ht="19.5" customHeight="1">
      <c r="A69" s="2860" t="s">
        <v>2595</v>
      </c>
      <c r="B69" s="2828">
        <v>0.5</v>
      </c>
      <c r="C69" s="2828">
        <v>0.2</v>
      </c>
      <c r="D69" s="2828">
        <v>0.2</v>
      </c>
      <c r="E69" s="2828">
        <v>0.2</v>
      </c>
      <c r="F69" s="2828">
        <v>0.2</v>
      </c>
      <c r="G69" s="2828">
        <v>0.1</v>
      </c>
    </row>
    <row r="70" spans="1:7" ht="19.5" customHeight="1">
      <c r="A70" s="2860" t="s">
        <v>2596</v>
      </c>
      <c r="B70" s="2828">
        <v>0.5</v>
      </c>
      <c r="C70" s="2828">
        <v>0.2</v>
      </c>
      <c r="D70" s="2828">
        <v>0.2</v>
      </c>
      <c r="E70" s="2828">
        <v>0.2</v>
      </c>
      <c r="F70" s="2828">
        <v>0.2</v>
      </c>
      <c r="G70" s="2828">
        <v>0.1</v>
      </c>
    </row>
    <row r="72" spans="1:7" ht="19.5" customHeight="1">
      <c r="A72" s="2842"/>
      <c r="B72" s="2861"/>
      <c r="C72" s="2861"/>
      <c r="D72" s="2861" t="s">
        <v>2633</v>
      </c>
      <c r="E72" s="2861"/>
      <c r="F72" s="2861"/>
    </row>
    <row r="73" spans="1:7" ht="19.5" customHeight="1">
      <c r="A73" s="2854" t="s">
        <v>2634</v>
      </c>
      <c r="B73" s="2854" t="s">
        <v>2635</v>
      </c>
      <c r="C73" s="2854" t="s">
        <v>2636</v>
      </c>
      <c r="D73" s="2854" t="s">
        <v>2637</v>
      </c>
      <c r="E73" s="2854" t="s">
        <v>2638</v>
      </c>
      <c r="F73" s="2854" t="s">
        <v>2639</v>
      </c>
    </row>
    <row r="74" spans="1:7" ht="13.5">
      <c r="A74" s="2854"/>
      <c r="B74" s="2854"/>
      <c r="C74" s="2854" t="s">
        <v>2640</v>
      </c>
      <c r="D74" s="2854"/>
      <c r="E74" s="2854" t="s">
        <v>2611</v>
      </c>
      <c r="F74" s="2854" t="s">
        <v>2611</v>
      </c>
    </row>
    <row r="75" spans="1:7" ht="13.5">
      <c r="A75" s="2854">
        <v>1</v>
      </c>
      <c r="B75" s="3499" t="s">
        <v>2641</v>
      </c>
      <c r="C75" s="2828" t="s">
        <v>2642</v>
      </c>
      <c r="D75" s="2828" t="s">
        <v>2643</v>
      </c>
      <c r="E75" s="2854">
        <v>0.2</v>
      </c>
      <c r="F75" s="2854">
        <v>25</v>
      </c>
    </row>
    <row r="76" spans="1:7" ht="24">
      <c r="A76" s="2854">
        <v>2</v>
      </c>
      <c r="B76" s="3501"/>
      <c r="C76" s="2828" t="s">
        <v>2644</v>
      </c>
      <c r="D76" s="2828" t="s">
        <v>2645</v>
      </c>
      <c r="E76" s="2854">
        <v>0.2</v>
      </c>
      <c r="F76" s="2854">
        <v>25</v>
      </c>
    </row>
    <row r="77" spans="1:7" ht="24">
      <c r="A77" s="2854">
        <v>3</v>
      </c>
      <c r="B77" s="3501"/>
      <c r="C77" s="2828" t="s">
        <v>2646</v>
      </c>
      <c r="D77" s="2828" t="s">
        <v>2647</v>
      </c>
      <c r="E77" s="2854">
        <v>0.2</v>
      </c>
      <c r="F77" s="2854">
        <v>25</v>
      </c>
    </row>
    <row r="78" spans="1:7" ht="13.5">
      <c r="A78" s="2854">
        <v>4</v>
      </c>
      <c r="B78" s="3501"/>
      <c r="C78" s="2828" t="s">
        <v>2648</v>
      </c>
      <c r="D78" s="2828" t="s">
        <v>2649</v>
      </c>
      <c r="E78" s="2854">
        <v>0.15</v>
      </c>
      <c r="F78" s="2854">
        <v>20</v>
      </c>
    </row>
    <row r="79" spans="1:7" ht="24">
      <c r="A79" s="2854">
        <v>5</v>
      </c>
      <c r="B79" s="3501"/>
      <c r="C79" s="2828" t="s">
        <v>2650</v>
      </c>
      <c r="D79" s="2828" t="s">
        <v>2651</v>
      </c>
      <c r="E79" s="2854">
        <v>0.15</v>
      </c>
      <c r="F79" s="2854">
        <v>20</v>
      </c>
    </row>
    <row r="80" spans="1:7" ht="24">
      <c r="A80" s="2854">
        <v>6</v>
      </c>
      <c r="B80" s="3501"/>
      <c r="C80" s="2828" t="s">
        <v>2652</v>
      </c>
      <c r="D80" s="2828" t="s">
        <v>2653</v>
      </c>
      <c r="E80" s="2854">
        <v>0.15</v>
      </c>
      <c r="F80" s="2854">
        <v>20</v>
      </c>
    </row>
    <row r="81" spans="1:6" ht="24">
      <c r="A81" s="2854">
        <v>7</v>
      </c>
      <c r="B81" s="3501"/>
      <c r="C81" s="2828" t="s">
        <v>2654</v>
      </c>
      <c r="D81" s="2828" t="s">
        <v>2655</v>
      </c>
      <c r="E81" s="2854">
        <v>0.15</v>
      </c>
      <c r="F81" s="2854">
        <v>20</v>
      </c>
    </row>
    <row r="82" spans="1:6" ht="24">
      <c r="A82" s="2854">
        <v>8</v>
      </c>
      <c r="B82" s="3501"/>
      <c r="C82" s="2828" t="s">
        <v>2656</v>
      </c>
      <c r="D82" s="2828" t="s">
        <v>2657</v>
      </c>
      <c r="E82" s="2854">
        <v>0.1</v>
      </c>
      <c r="F82" s="2854">
        <v>15</v>
      </c>
    </row>
    <row r="83" spans="1:6" ht="24">
      <c r="A83" s="2854">
        <v>9</v>
      </c>
      <c r="B83" s="3501"/>
      <c r="C83" s="2828" t="s">
        <v>2658</v>
      </c>
      <c r="D83" s="2828" t="s">
        <v>2659</v>
      </c>
      <c r="E83" s="2854">
        <v>0.1</v>
      </c>
      <c r="F83" s="2854">
        <v>15</v>
      </c>
    </row>
    <row r="84" spans="1:6" ht="24">
      <c r="A84" s="2854">
        <v>10</v>
      </c>
      <c r="B84" s="3501"/>
      <c r="C84" s="2828" t="s">
        <v>2660</v>
      </c>
      <c r="D84" s="2828" t="s">
        <v>2661</v>
      </c>
      <c r="E84" s="2854">
        <v>0.1</v>
      </c>
      <c r="F84" s="2854">
        <v>15</v>
      </c>
    </row>
    <row r="85" spans="1:6" ht="24">
      <c r="A85" s="2854">
        <v>11</v>
      </c>
      <c r="B85" s="3501"/>
      <c r="C85" s="2828" t="s">
        <v>2662</v>
      </c>
      <c r="D85" s="2828" t="s">
        <v>2663</v>
      </c>
      <c r="E85" s="2854">
        <v>0.1</v>
      </c>
      <c r="F85" s="2854">
        <v>15</v>
      </c>
    </row>
    <row r="86" spans="1:6" ht="24">
      <c r="A86" s="2854">
        <v>12</v>
      </c>
      <c r="B86" s="3501"/>
      <c r="C86" s="2828" t="s">
        <v>2664</v>
      </c>
      <c r="D86" s="2828" t="s">
        <v>2665</v>
      </c>
      <c r="E86" s="2854">
        <v>0.1</v>
      </c>
      <c r="F86" s="2854">
        <v>15</v>
      </c>
    </row>
    <row r="87" spans="1:6" ht="13.5">
      <c r="A87" s="2854">
        <v>13</v>
      </c>
      <c r="B87" s="3501"/>
      <c r="C87" s="2828" t="s">
        <v>2666</v>
      </c>
      <c r="D87" s="2828" t="s">
        <v>2667</v>
      </c>
      <c r="E87" s="2854">
        <v>0.1</v>
      </c>
      <c r="F87" s="2854">
        <v>15</v>
      </c>
    </row>
    <row r="88" spans="1:6" ht="13.5">
      <c r="A88" s="2854">
        <v>14</v>
      </c>
      <c r="B88" s="3501"/>
      <c r="C88" s="2828" t="s">
        <v>2668</v>
      </c>
      <c r="D88" s="2828" t="s">
        <v>2669</v>
      </c>
      <c r="E88" s="2854">
        <v>0.1</v>
      </c>
      <c r="F88" s="2854">
        <v>15</v>
      </c>
    </row>
    <row r="89" spans="1:6" ht="13.5">
      <c r="A89" s="2854">
        <v>15</v>
      </c>
      <c r="B89" s="3501"/>
      <c r="C89" s="2828" t="s">
        <v>2670</v>
      </c>
      <c r="D89" s="2828" t="s">
        <v>2671</v>
      </c>
      <c r="E89" s="2854">
        <v>0.1</v>
      </c>
      <c r="F89" s="2854">
        <v>15</v>
      </c>
    </row>
    <row r="90" spans="1:6" ht="24">
      <c r="A90" s="2854">
        <v>16</v>
      </c>
      <c r="B90" s="3501"/>
      <c r="C90" s="2828" t="s">
        <v>2672</v>
      </c>
      <c r="D90" s="2828" t="s">
        <v>2673</v>
      </c>
      <c r="E90" s="2854">
        <v>0.1</v>
      </c>
      <c r="F90" s="2854">
        <v>15</v>
      </c>
    </row>
    <row r="91" spans="1:6" ht="24">
      <c r="A91" s="2854">
        <v>17</v>
      </c>
      <c r="B91" s="3500"/>
      <c r="C91" s="2828" t="s">
        <v>2674</v>
      </c>
      <c r="D91" s="2828" t="s">
        <v>2675</v>
      </c>
      <c r="E91" s="2854">
        <v>0.1</v>
      </c>
      <c r="F91" s="2854">
        <v>15</v>
      </c>
    </row>
    <row r="92" spans="1:6" ht="13.5">
      <c r="A92" s="2854">
        <v>18</v>
      </c>
      <c r="B92" s="3499" t="s">
        <v>2676</v>
      </c>
      <c r="C92" s="2828" t="s">
        <v>2677</v>
      </c>
      <c r="D92" s="2828" t="s">
        <v>2678</v>
      </c>
      <c r="E92" s="2854">
        <v>0.2</v>
      </c>
      <c r="F92" s="2854">
        <v>25</v>
      </c>
    </row>
    <row r="93" spans="1:6" ht="24">
      <c r="A93" s="2854">
        <v>19</v>
      </c>
      <c r="B93" s="3501"/>
      <c r="C93" s="2828" t="s">
        <v>2679</v>
      </c>
      <c r="D93" s="2828" t="s">
        <v>2680</v>
      </c>
      <c r="E93" s="2854">
        <v>0.2</v>
      </c>
      <c r="F93" s="2854">
        <v>25</v>
      </c>
    </row>
    <row r="94" spans="1:6" ht="13.5">
      <c r="A94" s="2854">
        <v>20</v>
      </c>
      <c r="B94" s="3501"/>
      <c r="C94" s="2828" t="s">
        <v>2681</v>
      </c>
      <c r="D94" s="2828" t="s">
        <v>2682</v>
      </c>
      <c r="E94" s="2854">
        <v>0.15</v>
      </c>
      <c r="F94" s="2854">
        <v>20</v>
      </c>
    </row>
    <row r="95" spans="1:6" ht="13.5">
      <c r="A95" s="2854">
        <v>21</v>
      </c>
      <c r="B95" s="3501"/>
      <c r="C95" s="2828" t="s">
        <v>2683</v>
      </c>
      <c r="D95" s="2828" t="s">
        <v>2684</v>
      </c>
      <c r="E95" s="2854">
        <v>0.15</v>
      </c>
      <c r="F95" s="2854">
        <v>20</v>
      </c>
    </row>
    <row r="96" spans="1:6" ht="13.5">
      <c r="A96" s="2854">
        <v>22</v>
      </c>
      <c r="B96" s="3501"/>
      <c r="C96" s="2828" t="s">
        <v>2685</v>
      </c>
      <c r="D96" s="2828" t="s">
        <v>2686</v>
      </c>
      <c r="E96" s="2854">
        <v>0.15</v>
      </c>
      <c r="F96" s="2854">
        <v>20</v>
      </c>
    </row>
    <row r="97" spans="1:6" ht="36">
      <c r="A97" s="2854">
        <v>23</v>
      </c>
      <c r="B97" s="3501"/>
      <c r="C97" s="2828" t="s">
        <v>2687</v>
      </c>
      <c r="D97" s="2828" t="s">
        <v>2688</v>
      </c>
      <c r="E97" s="2854">
        <v>0.15</v>
      </c>
      <c r="F97" s="2854">
        <v>20</v>
      </c>
    </row>
    <row r="98" spans="1:6" ht="13.5">
      <c r="A98" s="2854">
        <v>24</v>
      </c>
      <c r="B98" s="3501"/>
      <c r="C98" s="2828" t="s">
        <v>2689</v>
      </c>
      <c r="D98" s="2828" t="s">
        <v>2690</v>
      </c>
      <c r="E98" s="2854">
        <v>0.1</v>
      </c>
      <c r="F98" s="2854">
        <v>15</v>
      </c>
    </row>
    <row r="99" spans="1:6" ht="13.5">
      <c r="A99" s="2854">
        <v>25</v>
      </c>
      <c r="B99" s="3501"/>
      <c r="C99" s="2828" t="s">
        <v>2691</v>
      </c>
      <c r="D99" s="2828" t="s">
        <v>2692</v>
      </c>
      <c r="E99" s="2854">
        <v>0.1</v>
      </c>
      <c r="F99" s="2854">
        <v>15</v>
      </c>
    </row>
    <row r="100" spans="1:6" ht="24">
      <c r="A100" s="2854">
        <v>26</v>
      </c>
      <c r="B100" s="3501"/>
      <c r="C100" s="2828" t="s">
        <v>2693</v>
      </c>
      <c r="D100" s="2828" t="s">
        <v>2694</v>
      </c>
      <c r="E100" s="2854">
        <v>0.1</v>
      </c>
      <c r="F100" s="2854">
        <v>15</v>
      </c>
    </row>
    <row r="101" spans="1:6" ht="24">
      <c r="A101" s="2854">
        <v>27</v>
      </c>
      <c r="B101" s="3501"/>
      <c r="C101" s="2828" t="s">
        <v>2695</v>
      </c>
      <c r="D101" s="2828" t="s">
        <v>2696</v>
      </c>
      <c r="E101" s="2854">
        <v>0.1</v>
      </c>
      <c r="F101" s="2854">
        <v>15</v>
      </c>
    </row>
    <row r="102" spans="1:6" ht="13.5">
      <c r="A102" s="2854">
        <v>28</v>
      </c>
      <c r="B102" s="3501"/>
      <c r="C102" s="2828" t="s">
        <v>2697</v>
      </c>
      <c r="D102" s="2828" t="s">
        <v>2698</v>
      </c>
      <c r="E102" s="2854">
        <v>0.1</v>
      </c>
      <c r="F102" s="2854">
        <v>15</v>
      </c>
    </row>
    <row r="103" spans="1:6" ht="13.5">
      <c r="A103" s="2854">
        <v>29</v>
      </c>
      <c r="B103" s="3501"/>
      <c r="C103" s="2828" t="s">
        <v>2699</v>
      </c>
      <c r="D103" s="2828" t="s">
        <v>2700</v>
      </c>
      <c r="E103" s="2854">
        <v>0.1</v>
      </c>
      <c r="F103" s="2854">
        <v>15</v>
      </c>
    </row>
    <row r="104" spans="1:6" ht="13.5">
      <c r="A104" s="2854">
        <v>30</v>
      </c>
      <c r="B104" s="3501"/>
      <c r="C104" s="2828" t="s">
        <v>2701</v>
      </c>
      <c r="D104" s="2828" t="s">
        <v>2702</v>
      </c>
      <c r="E104" s="2854">
        <v>0.1</v>
      </c>
      <c r="F104" s="2854">
        <v>15</v>
      </c>
    </row>
    <row r="105" spans="1:6" ht="24">
      <c r="A105" s="2854">
        <v>31</v>
      </c>
      <c r="B105" s="3501"/>
      <c r="C105" s="2828" t="s">
        <v>2703</v>
      </c>
      <c r="D105" s="2828" t="s">
        <v>2704</v>
      </c>
      <c r="E105" s="2854">
        <v>0.1</v>
      </c>
      <c r="F105" s="2854">
        <v>15</v>
      </c>
    </row>
    <row r="106" spans="1:6" ht="24">
      <c r="A106" s="2854">
        <v>32</v>
      </c>
      <c r="B106" s="3501"/>
      <c r="C106" s="2828" t="s">
        <v>2705</v>
      </c>
      <c r="D106" s="2828" t="s">
        <v>2706</v>
      </c>
      <c r="E106" s="2854">
        <v>0.1</v>
      </c>
      <c r="F106" s="2854">
        <v>15</v>
      </c>
    </row>
    <row r="107" spans="1:6" ht="24">
      <c r="A107" s="2854">
        <v>33</v>
      </c>
      <c r="B107" s="3501"/>
      <c r="C107" s="2828" t="s">
        <v>2707</v>
      </c>
      <c r="D107" s="2828" t="s">
        <v>2708</v>
      </c>
      <c r="E107" s="2854">
        <v>0.1</v>
      </c>
      <c r="F107" s="2854">
        <v>15</v>
      </c>
    </row>
    <row r="108" spans="1:6" ht="24">
      <c r="A108" s="2854">
        <v>34</v>
      </c>
      <c r="B108" s="3500"/>
      <c r="C108" s="2828" t="s">
        <v>2709</v>
      </c>
      <c r="D108" s="2828" t="s">
        <v>2710</v>
      </c>
      <c r="E108" s="2854">
        <v>0.1</v>
      </c>
      <c r="F108" s="2854">
        <v>15</v>
      </c>
    </row>
    <row r="109" spans="1:6" ht="24">
      <c r="A109" s="2854">
        <v>35</v>
      </c>
      <c r="B109" s="3499" t="s">
        <v>2711</v>
      </c>
      <c r="C109" s="2854" t="s">
        <v>2712</v>
      </c>
      <c r="D109" s="2828" t="s">
        <v>2713</v>
      </c>
      <c r="E109" s="2854">
        <v>0.15</v>
      </c>
      <c r="F109" s="2854">
        <v>20</v>
      </c>
    </row>
    <row r="110" spans="1:6" ht="13.5">
      <c r="A110" s="2854">
        <v>36</v>
      </c>
      <c r="B110" s="3501"/>
      <c r="C110" s="2854" t="s">
        <v>2714</v>
      </c>
      <c r="D110" s="2828" t="s">
        <v>2715</v>
      </c>
      <c r="E110" s="2854">
        <v>0.15</v>
      </c>
      <c r="F110" s="2854">
        <v>20</v>
      </c>
    </row>
    <row r="111" spans="1:6" ht="13.5">
      <c r="A111" s="2854">
        <v>37</v>
      </c>
      <c r="B111" s="3501"/>
      <c r="C111" s="2854" t="s">
        <v>2716</v>
      </c>
      <c r="D111" s="2828" t="s">
        <v>2717</v>
      </c>
      <c r="E111" s="2854">
        <v>0.15</v>
      </c>
      <c r="F111" s="2854">
        <v>20</v>
      </c>
    </row>
    <row r="112" spans="1:6" ht="13.5">
      <c r="A112" s="2854">
        <v>38</v>
      </c>
      <c r="B112" s="3501"/>
      <c r="C112" s="2854" t="s">
        <v>2718</v>
      </c>
      <c r="D112" s="2828" t="s">
        <v>2719</v>
      </c>
      <c r="E112" s="2854">
        <v>0.1</v>
      </c>
      <c r="F112" s="2854">
        <v>15</v>
      </c>
    </row>
    <row r="113" spans="1:6" ht="24">
      <c r="A113" s="2854">
        <v>39</v>
      </c>
      <c r="B113" s="3501"/>
      <c r="C113" s="2854" t="s">
        <v>2720</v>
      </c>
      <c r="D113" s="2828" t="s">
        <v>2721</v>
      </c>
      <c r="E113" s="2854">
        <v>0.1</v>
      </c>
      <c r="F113" s="2854">
        <v>15</v>
      </c>
    </row>
    <row r="114" spans="1:6" ht="24">
      <c r="A114" s="2854">
        <v>40</v>
      </c>
      <c r="B114" s="3500"/>
      <c r="C114" s="2854" t="s">
        <v>2722</v>
      </c>
      <c r="D114" s="2828" t="s">
        <v>2723</v>
      </c>
      <c r="E114" s="2854">
        <v>0.1</v>
      </c>
      <c r="F114" s="2854">
        <v>15</v>
      </c>
    </row>
    <row r="115" spans="1:6" ht="13.5">
      <c r="A115" s="2854">
        <v>41</v>
      </c>
      <c r="B115" s="3498" t="s">
        <v>2724</v>
      </c>
      <c r="C115" s="2854" t="s">
        <v>2725</v>
      </c>
      <c r="D115" s="2828" t="s">
        <v>2726</v>
      </c>
      <c r="E115" s="2854">
        <v>0.1</v>
      </c>
      <c r="F115" s="2854">
        <v>15</v>
      </c>
    </row>
    <row r="116" spans="1:6" ht="13.5">
      <c r="A116" s="2854">
        <v>42</v>
      </c>
      <c r="B116" s="3498"/>
      <c r="C116" s="2854" t="s">
        <v>2727</v>
      </c>
      <c r="D116" s="2828" t="s">
        <v>2728</v>
      </c>
      <c r="E116" s="2854">
        <v>0.1</v>
      </c>
      <c r="F116" s="2854">
        <v>15</v>
      </c>
    </row>
    <row r="117" spans="1:6" ht="24">
      <c r="A117" s="2854">
        <v>43</v>
      </c>
      <c r="B117" s="3498"/>
      <c r="C117" s="2854" t="s">
        <v>2729</v>
      </c>
      <c r="D117" s="2828" t="s">
        <v>2730</v>
      </c>
      <c r="E117" s="2854">
        <v>0.1</v>
      </c>
      <c r="F117" s="2854">
        <v>15</v>
      </c>
    </row>
    <row r="118" spans="1:6" ht="13.5">
      <c r="A118" s="2854">
        <v>44</v>
      </c>
      <c r="B118" s="3499" t="s">
        <v>2731</v>
      </c>
      <c r="C118" s="2854" t="s">
        <v>2732</v>
      </c>
      <c r="D118" s="2828" t="s">
        <v>2733</v>
      </c>
      <c r="E118" s="2854">
        <v>0.1</v>
      </c>
      <c r="F118" s="2854">
        <v>15</v>
      </c>
    </row>
    <row r="119" spans="1:6" ht="24">
      <c r="A119" s="2854">
        <v>45</v>
      </c>
      <c r="B119" s="3500"/>
      <c r="C119" s="2828" t="s">
        <v>2734</v>
      </c>
      <c r="D119" s="2828" t="s">
        <v>2735</v>
      </c>
      <c r="E119" s="2854">
        <v>0.1</v>
      </c>
      <c r="F119" s="2854">
        <v>15</v>
      </c>
    </row>
    <row r="120" spans="1:6" ht="24">
      <c r="A120" s="2854">
        <v>46</v>
      </c>
      <c r="B120" s="3499" t="s">
        <v>2736</v>
      </c>
      <c r="C120" s="2854" t="s">
        <v>2737</v>
      </c>
      <c r="D120" s="2828" t="s">
        <v>2738</v>
      </c>
      <c r="E120" s="2854">
        <v>0.1</v>
      </c>
      <c r="F120" s="2854">
        <v>15</v>
      </c>
    </row>
    <row r="121" spans="1:6" ht="24">
      <c r="A121" s="2854">
        <v>47</v>
      </c>
      <c r="B121" s="3500"/>
      <c r="C121" s="2854" t="s">
        <v>2739</v>
      </c>
      <c r="D121" s="2828" t="s">
        <v>2740</v>
      </c>
      <c r="E121" s="2854">
        <v>0.1</v>
      </c>
      <c r="F121" s="2854">
        <v>15</v>
      </c>
    </row>
    <row r="122" spans="1:6" ht="13.5">
      <c r="A122" s="2854">
        <v>48</v>
      </c>
      <c r="B122" s="3499" t="s">
        <v>2741</v>
      </c>
      <c r="C122" s="2854" t="s">
        <v>2742</v>
      </c>
      <c r="D122" s="2828" t="s">
        <v>2743</v>
      </c>
      <c r="E122" s="2854">
        <v>0.1</v>
      </c>
      <c r="F122" s="2854">
        <v>15</v>
      </c>
    </row>
    <row r="123" spans="1:6" ht="13.5">
      <c r="A123" s="2854">
        <v>49</v>
      </c>
      <c r="B123" s="3500"/>
      <c r="C123" s="2854" t="s">
        <v>2744</v>
      </c>
      <c r="D123" s="2828" t="s">
        <v>2745</v>
      </c>
      <c r="E123" s="2854">
        <v>0.1</v>
      </c>
      <c r="F123" s="2854">
        <v>15</v>
      </c>
    </row>
    <row r="124" spans="1:6" ht="24">
      <c r="A124" s="2854">
        <v>50</v>
      </c>
      <c r="B124" s="3498" t="s">
        <v>2746</v>
      </c>
      <c r="C124" s="2854" t="s">
        <v>2747</v>
      </c>
      <c r="D124" s="2828" t="s">
        <v>2748</v>
      </c>
      <c r="E124" s="2854">
        <v>0.1</v>
      </c>
      <c r="F124" s="2854">
        <v>15</v>
      </c>
    </row>
    <row r="125" spans="1:6" ht="24">
      <c r="A125" s="2854">
        <v>51</v>
      </c>
      <c r="B125" s="3498"/>
      <c r="C125" s="2854" t="s">
        <v>2749</v>
      </c>
      <c r="D125" s="2828" t="s">
        <v>2750</v>
      </c>
      <c r="E125" s="2854">
        <v>0.1</v>
      </c>
      <c r="F125" s="2854">
        <v>15</v>
      </c>
    </row>
    <row r="126" spans="1:6" ht="24">
      <c r="A126" s="2854">
        <v>52</v>
      </c>
      <c r="B126" s="3498" t="s">
        <v>2751</v>
      </c>
      <c r="C126" s="2854" t="s">
        <v>2752</v>
      </c>
      <c r="D126" s="2828" t="s">
        <v>2753</v>
      </c>
      <c r="E126" s="2854">
        <v>0.1</v>
      </c>
      <c r="F126" s="2854">
        <v>15</v>
      </c>
    </row>
    <row r="127" spans="1:6" ht="24">
      <c r="A127" s="2854">
        <v>53</v>
      </c>
      <c r="B127" s="3498"/>
      <c r="C127" s="2854" t="s">
        <v>2754</v>
      </c>
      <c r="D127" s="2828" t="s">
        <v>2755</v>
      </c>
      <c r="E127" s="2854">
        <v>0.1</v>
      </c>
      <c r="F127" s="2854">
        <v>15</v>
      </c>
    </row>
    <row r="128" spans="1:6" ht="13.5">
      <c r="A128" s="2854">
        <v>54</v>
      </c>
      <c r="B128" s="2854" t="s">
        <v>2756</v>
      </c>
      <c r="C128" s="2854" t="s">
        <v>2757</v>
      </c>
      <c r="D128" s="2828" t="s">
        <v>2758</v>
      </c>
      <c r="E128" s="2854">
        <v>0.1</v>
      </c>
      <c r="F128" s="2854">
        <v>15</v>
      </c>
    </row>
    <row r="129" spans="1:6" ht="13.5">
      <c r="A129" s="2854">
        <v>55</v>
      </c>
      <c r="B129" s="3498" t="s">
        <v>2759</v>
      </c>
      <c r="C129" s="2854" t="s">
        <v>2760</v>
      </c>
      <c r="D129" s="2828" t="s">
        <v>2761</v>
      </c>
      <c r="E129" s="2854">
        <v>0.1</v>
      </c>
      <c r="F129" s="2854">
        <v>15</v>
      </c>
    </row>
    <row r="130" spans="1:6" ht="13.5">
      <c r="A130" s="2854">
        <v>56</v>
      </c>
      <c r="B130" s="3498"/>
      <c r="C130" s="2854" t="s">
        <v>2762</v>
      </c>
      <c r="D130" s="2828" t="s">
        <v>2763</v>
      </c>
      <c r="E130" s="2854">
        <v>0.1</v>
      </c>
      <c r="F130" s="2854">
        <v>15</v>
      </c>
    </row>
    <row r="131" spans="1:6" ht="24">
      <c r="A131" s="2854">
        <v>57</v>
      </c>
      <c r="B131" s="3498"/>
      <c r="C131" s="2854" t="s">
        <v>2764</v>
      </c>
      <c r="D131" s="2828" t="s">
        <v>2765</v>
      </c>
      <c r="E131" s="2854">
        <v>0.1</v>
      </c>
      <c r="F131" s="2854">
        <v>15</v>
      </c>
    </row>
    <row r="132" spans="1:6" ht="24">
      <c r="A132" s="2854">
        <v>58</v>
      </c>
      <c r="B132" s="3498" t="s">
        <v>2766</v>
      </c>
      <c r="C132" s="2854" t="s">
        <v>2767</v>
      </c>
      <c r="D132" s="2828" t="s">
        <v>2768</v>
      </c>
      <c r="E132" s="2854">
        <v>0.1</v>
      </c>
      <c r="F132" s="2854">
        <v>15</v>
      </c>
    </row>
    <row r="133" spans="1:6" ht="13.5">
      <c r="A133" s="2854">
        <v>59</v>
      </c>
      <c r="B133" s="3498"/>
      <c r="C133" s="2854" t="s">
        <v>2769</v>
      </c>
      <c r="D133" s="2828" t="s">
        <v>2770</v>
      </c>
      <c r="E133" s="2854">
        <v>0.1</v>
      </c>
      <c r="F133" s="2854">
        <v>15</v>
      </c>
    </row>
    <row r="134" spans="1:6" ht="13.5">
      <c r="A134" s="2854">
        <v>60</v>
      </c>
      <c r="B134" s="3499" t="s">
        <v>2771</v>
      </c>
      <c r="C134" s="2854" t="s">
        <v>2772</v>
      </c>
      <c r="D134" s="2828" t="s">
        <v>2773</v>
      </c>
      <c r="E134" s="2854">
        <v>0.1</v>
      </c>
      <c r="F134" s="2854">
        <v>15</v>
      </c>
    </row>
    <row r="135" spans="1:6" ht="13.5">
      <c r="A135" s="2854">
        <v>61</v>
      </c>
      <c r="B135" s="3500"/>
      <c r="C135" s="2854" t="s">
        <v>2774</v>
      </c>
      <c r="D135" s="2828" t="s">
        <v>2775</v>
      </c>
      <c r="E135" s="2854">
        <v>0.1</v>
      </c>
      <c r="F135" s="2854">
        <v>15</v>
      </c>
    </row>
    <row r="136" spans="1:6" ht="24">
      <c r="A136" s="2854">
        <v>62</v>
      </c>
      <c r="B136" s="2854" t="s">
        <v>2776</v>
      </c>
      <c r="C136" s="2854" t="s">
        <v>2777</v>
      </c>
      <c r="D136" s="2828" t="s">
        <v>2778</v>
      </c>
      <c r="E136" s="2854">
        <v>0.1</v>
      </c>
      <c r="F136" s="2854">
        <v>15</v>
      </c>
    </row>
    <row r="137" spans="1:6" ht="13.5">
      <c r="A137" s="2854">
        <v>63</v>
      </c>
      <c r="B137" s="3498" t="s">
        <v>2779</v>
      </c>
      <c r="C137" s="2854" t="s">
        <v>2780</v>
      </c>
      <c r="D137" s="2828" t="s">
        <v>2781</v>
      </c>
      <c r="E137" s="2854">
        <v>0.1</v>
      </c>
      <c r="F137" s="2854">
        <v>15</v>
      </c>
    </row>
    <row r="138" spans="1:6" ht="13.5">
      <c r="A138" s="2854">
        <v>64</v>
      </c>
      <c r="B138" s="3498"/>
      <c r="C138" s="2854" t="s">
        <v>2782</v>
      </c>
      <c r="D138" s="2828" t="s">
        <v>2783</v>
      </c>
      <c r="E138" s="2854">
        <v>0.1</v>
      </c>
      <c r="F138" s="2854">
        <v>15</v>
      </c>
    </row>
    <row r="139" spans="1:6" ht="13.5">
      <c r="A139" s="2854">
        <v>65</v>
      </c>
      <c r="B139" s="2854" t="s">
        <v>2784</v>
      </c>
      <c r="C139" s="2854" t="s">
        <v>2785</v>
      </c>
      <c r="D139" s="2828" t="s">
        <v>2786</v>
      </c>
      <c r="E139" s="2854">
        <v>0.1</v>
      </c>
      <c r="F139" s="2854">
        <v>15</v>
      </c>
    </row>
    <row r="140" spans="1:6" ht="13.5">
      <c r="A140" s="2854"/>
      <c r="B140" s="2854"/>
      <c r="C140" s="2854"/>
      <c r="D140" s="2854"/>
      <c r="E140" s="2854" t="s">
        <v>2787</v>
      </c>
      <c r="F140" s="2854" t="s">
        <v>2787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2788</v>
      </c>
      <c r="B1" s="2862"/>
      <c r="C1" s="2862"/>
      <c r="D1" s="2862"/>
      <c r="E1" s="2862"/>
      <c r="F1" s="2862"/>
      <c r="G1" s="2862"/>
      <c r="H1" s="2862"/>
      <c r="I1" s="2862"/>
      <c r="J1" s="2862"/>
      <c r="K1" s="2862"/>
      <c r="L1" s="2862"/>
      <c r="M1" s="2862"/>
      <c r="N1" s="703"/>
    </row>
    <row r="2" spans="1:20">
      <c r="A2" s="2863" t="s">
        <v>2789</v>
      </c>
      <c r="B2" s="2864" t="s">
        <v>2585</v>
      </c>
      <c r="C2" s="2864" t="s">
        <v>2586</v>
      </c>
      <c r="D2" s="2864" t="s">
        <v>2587</v>
      </c>
      <c r="E2" s="2864" t="s">
        <v>2588</v>
      </c>
      <c r="F2" s="2864" t="s">
        <v>2589</v>
      </c>
      <c r="G2" s="2864" t="s">
        <v>2590</v>
      </c>
      <c r="H2" s="2865" t="s">
        <v>2591</v>
      </c>
      <c r="I2" s="2865" t="s">
        <v>2592</v>
      </c>
      <c r="J2" s="2866" t="s">
        <v>2593</v>
      </c>
      <c r="K2" s="2866" t="s">
        <v>2594</v>
      </c>
      <c r="L2" s="2866" t="s">
        <v>2595</v>
      </c>
      <c r="M2" s="2867" t="s">
        <v>2596</v>
      </c>
      <c r="Q2" s="2877" t="s">
        <v>2794</v>
      </c>
      <c r="R2" s="2877" t="s">
        <v>2795</v>
      </c>
      <c r="S2" s="2877" t="s">
        <v>2796</v>
      </c>
      <c r="T2" s="2877" t="s">
        <v>2797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2790</v>
      </c>
      <c r="B93" s="2862"/>
      <c r="C93" s="2862"/>
      <c r="D93" s="2862"/>
      <c r="E93" s="2862"/>
      <c r="F93" s="2862"/>
      <c r="G93" s="2862"/>
      <c r="H93" s="2862"/>
      <c r="I93" s="2862"/>
      <c r="J93" s="2862"/>
      <c r="K93" s="2862"/>
      <c r="L93" s="2862"/>
      <c r="M93" s="2862"/>
    </row>
    <row r="94" spans="1:20">
      <c r="A94" s="2863" t="s">
        <v>2789</v>
      </c>
      <c r="B94" s="2864" t="s">
        <v>2585</v>
      </c>
      <c r="C94" s="2864" t="s">
        <v>2586</v>
      </c>
      <c r="D94" s="2864" t="s">
        <v>2587</v>
      </c>
      <c r="E94" s="2864" t="s">
        <v>2588</v>
      </c>
      <c r="F94" s="2864" t="s">
        <v>2589</v>
      </c>
      <c r="G94" s="2864" t="s">
        <v>2590</v>
      </c>
      <c r="H94" s="2865" t="s">
        <v>2591</v>
      </c>
      <c r="I94" s="2865" t="s">
        <v>2592</v>
      </c>
      <c r="J94" s="2866" t="s">
        <v>2593</v>
      </c>
      <c r="K94" s="2866" t="s">
        <v>2594</v>
      </c>
      <c r="L94" s="2866" t="s">
        <v>2595</v>
      </c>
      <c r="M94" s="2867" t="s">
        <v>2596</v>
      </c>
      <c r="N94">
        <f>SUMPRODUCT((A95:A184=ROUNDDOWN(基准地价修正!G3,1))*(B94:M94=基准地价修正!G2)*(B95:M184))</f>
        <v>0</v>
      </c>
      <c r="Q94" s="2877" t="s">
        <v>2794</v>
      </c>
      <c r="R94" s="2877" t="s">
        <v>2795</v>
      </c>
      <c r="S94" s="2877" t="s">
        <v>2796</v>
      </c>
      <c r="T94" s="2877" t="s">
        <v>2797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3"/>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3"/>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2791</v>
      </c>
      <c r="B185" s="2862"/>
      <c r="C185" s="2862"/>
      <c r="D185" s="2862"/>
      <c r="E185" s="2862"/>
      <c r="F185" s="2862"/>
      <c r="G185" s="2862"/>
      <c r="H185" s="2862"/>
      <c r="I185" s="2862"/>
      <c r="J185" s="2862"/>
      <c r="K185" s="2862"/>
      <c r="L185" s="2862"/>
      <c r="M185" s="2862"/>
    </row>
    <row r="186" spans="1:20">
      <c r="A186" s="2863" t="s">
        <v>2789</v>
      </c>
      <c r="B186" s="2864" t="s">
        <v>2585</v>
      </c>
      <c r="C186" s="2864" t="s">
        <v>2586</v>
      </c>
      <c r="D186" s="2864" t="s">
        <v>2587</v>
      </c>
      <c r="E186" s="2864" t="s">
        <v>2588</v>
      </c>
      <c r="F186" s="2864" t="s">
        <v>2589</v>
      </c>
      <c r="G186" s="2864" t="s">
        <v>2590</v>
      </c>
      <c r="H186" s="2865" t="s">
        <v>2591</v>
      </c>
      <c r="I186" s="2865" t="s">
        <v>2592</v>
      </c>
      <c r="J186" s="2866" t="s">
        <v>2593</v>
      </c>
      <c r="K186" s="2866" t="s">
        <v>2594</v>
      </c>
      <c r="L186" s="2866" t="s">
        <v>2595</v>
      </c>
      <c r="M186" s="2867" t="s">
        <v>2596</v>
      </c>
      <c r="Q186" s="2877" t="s">
        <v>2794</v>
      </c>
      <c r="R186" s="2877" t="s">
        <v>2795</v>
      </c>
      <c r="S186" s="2877" t="s">
        <v>2796</v>
      </c>
      <c r="T186" s="2877" t="s">
        <v>2797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2792</v>
      </c>
      <c r="B277" s="2862"/>
      <c r="C277" s="2862"/>
      <c r="D277" s="2862"/>
      <c r="E277" s="2862"/>
      <c r="F277" s="2862"/>
      <c r="G277" s="2862"/>
      <c r="H277" s="2862"/>
      <c r="I277" s="2862"/>
      <c r="J277" s="2862"/>
      <c r="K277" s="2862"/>
      <c r="L277" s="2862"/>
      <c r="M277" s="2862"/>
    </row>
    <row r="278" spans="1:21">
      <c r="A278" s="2863" t="s">
        <v>2789</v>
      </c>
      <c r="B278" s="2864" t="s">
        <v>2585</v>
      </c>
      <c r="C278" s="2864" t="s">
        <v>2586</v>
      </c>
      <c r="D278" s="2864" t="s">
        <v>2587</v>
      </c>
      <c r="E278" s="2864" t="s">
        <v>2588</v>
      </c>
      <c r="F278" s="2864" t="s">
        <v>2589</v>
      </c>
      <c r="G278" s="2864" t="s">
        <v>2590</v>
      </c>
      <c r="H278" s="2865" t="s">
        <v>2591</v>
      </c>
      <c r="I278" s="2865" t="s">
        <v>2592</v>
      </c>
      <c r="J278" s="2866" t="s">
        <v>2593</v>
      </c>
      <c r="K278" s="2866" t="s">
        <v>2594</v>
      </c>
      <c r="L278" s="2866" t="s">
        <v>2595</v>
      </c>
      <c r="M278" s="2867" t="s">
        <v>2596</v>
      </c>
      <c r="Q278" s="2877" t="s">
        <v>2794</v>
      </c>
      <c r="R278" s="2877" t="s">
        <v>2795</v>
      </c>
      <c r="S278" s="2877" t="s">
        <v>2798</v>
      </c>
      <c r="T278" s="2877" t="s">
        <v>2799</v>
      </c>
      <c r="U278" s="2877" t="s">
        <v>2797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2793</v>
      </c>
      <c r="B369" s="2875"/>
      <c r="C369" s="2875"/>
      <c r="D369" s="2875"/>
      <c r="E369" s="2875"/>
      <c r="F369" s="2875"/>
      <c r="G369" s="2875"/>
      <c r="H369" s="2875"/>
      <c r="I369" s="2875"/>
      <c r="J369" s="2875"/>
      <c r="K369" s="2875"/>
      <c r="L369" s="2875"/>
      <c r="M369" s="2875"/>
    </row>
    <row r="370" spans="1:20">
      <c r="A370" s="2863" t="s">
        <v>2789</v>
      </c>
      <c r="B370" s="2864" t="s">
        <v>2585</v>
      </c>
      <c r="C370" s="2864" t="s">
        <v>2586</v>
      </c>
      <c r="D370" s="2864" t="s">
        <v>2587</v>
      </c>
      <c r="E370" s="2864" t="s">
        <v>2588</v>
      </c>
      <c r="F370" s="2864" t="s">
        <v>2589</v>
      </c>
      <c r="G370" s="2864" t="s">
        <v>2590</v>
      </c>
      <c r="H370" s="2865" t="s">
        <v>2591</v>
      </c>
      <c r="I370" s="2865" t="s">
        <v>2592</v>
      </c>
      <c r="J370" s="2866" t="s">
        <v>2593</v>
      </c>
      <c r="K370" s="2866" t="s">
        <v>2594</v>
      </c>
      <c r="L370" s="2866" t="s">
        <v>2595</v>
      </c>
      <c r="M370" s="2867" t="s">
        <v>2596</v>
      </c>
      <c r="N370">
        <f>SUMPRODUCT((A371:A460=ROUNDDOWN(基准地价修正!G3,1))*(B370:M370=基准地价修正!G2)*(B371:M460))</f>
        <v>0</v>
      </c>
      <c r="Q370" s="2877" t="s">
        <v>2794</v>
      </c>
      <c r="R370" s="2877" t="s">
        <v>2795</v>
      </c>
      <c r="S370" s="2877" t="s">
        <v>2796</v>
      </c>
      <c r="T370" s="2877" t="s">
        <v>2797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43901</v>
      </c>
      <c r="C2" s="2" t="s">
        <v>106</v>
      </c>
      <c r="D2" s="189"/>
      <c r="E2" s="189"/>
      <c r="F2" s="189"/>
      <c r="G2" s="189"/>
    </row>
    <row r="3" spans="1:7" s="190" customFormat="1" ht="18" customHeight="1" thickBot="1">
      <c r="A3" s="193" t="s">
        <v>58</v>
      </c>
      <c r="B3" s="194">
        <f ca="1">ROUND(B2*10000/'数据-汇总表'!E3,0)</f>
        <v>5904</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8" t="s">
        <v>346</v>
      </c>
      <c r="B6" s="205" t="s">
        <v>64</v>
      </c>
      <c r="C6" s="206">
        <v>20000</v>
      </c>
      <c r="D6" s="207"/>
      <c r="E6" s="208"/>
      <c r="F6" s="208"/>
      <c r="G6" s="209"/>
    </row>
    <row r="7" spans="1:7" s="204" customFormat="1" ht="13.5" customHeight="1">
      <c r="A7" s="728" t="s">
        <v>347</v>
      </c>
      <c r="B7" s="205" t="s">
        <v>30</v>
      </c>
      <c r="C7" s="210">
        <f>ROUND(C6*F7,0)</f>
        <v>610</v>
      </c>
      <c r="D7" s="210"/>
      <c r="E7" s="208"/>
      <c r="F7" s="211">
        <f>'数据-取费表'!B48+'数据-取费表'!B49</f>
        <v>3.0499999999999999E-2</v>
      </c>
      <c r="G7" s="209"/>
    </row>
    <row r="8" spans="1:7" s="213" customFormat="1">
      <c r="A8" s="728" t="s">
        <v>348</v>
      </c>
      <c r="B8" s="205" t="s">
        <v>65</v>
      </c>
      <c r="C8" s="210" t="str">
        <f>IF(G8="已包含在土地购买价格中","0",'数据-取费表'!B29)</f>
        <v>0</v>
      </c>
      <c r="D8" s="212"/>
      <c r="E8" s="210"/>
      <c r="F8" s="211"/>
      <c r="G8" s="1" t="s">
        <v>451</v>
      </c>
    </row>
    <row r="9" spans="1:7" s="204" customFormat="1" ht="13.5" customHeight="1">
      <c r="A9" s="729" t="s">
        <v>355</v>
      </c>
      <c r="B9" s="214" t="s">
        <v>66</v>
      </c>
      <c r="C9" s="215">
        <f>ROUND(D9*E9/10000,0)</f>
        <v>890</v>
      </c>
      <c r="D9" s="791">
        <f>'数据-汇总表'!E5</f>
        <v>55618.469999999863</v>
      </c>
      <c r="E9" s="215">
        <f>'数据-取费表'!B27</f>
        <v>160</v>
      </c>
      <c r="F9" s="211"/>
      <c r="G9" s="216"/>
    </row>
    <row r="10" spans="1:7" s="204" customFormat="1" ht="13.5" customHeight="1">
      <c r="A10" s="729" t="s">
        <v>356</v>
      </c>
      <c r="B10" s="214" t="s">
        <v>67</v>
      </c>
      <c r="C10" s="215">
        <f>ROUND(D10*E10/10000,0)</f>
        <v>375</v>
      </c>
      <c r="D10" s="791">
        <f>'数据-汇总表'!E6</f>
        <v>18735.179999999913</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7" t="s">
        <v>417</v>
      </c>
      <c r="B19" s="200" t="s">
        <v>84</v>
      </c>
      <c r="C19" s="201">
        <f>IF(G19="已包含在土地取得成本中","0",ROUND(D19*E19/10000,0))</f>
        <v>1338</v>
      </c>
      <c r="D19" s="202">
        <f>'数据-汇总表'!E3</f>
        <v>74353.649999999776</v>
      </c>
      <c r="E19" s="201">
        <f>'数据-取费表'!B31</f>
        <v>180</v>
      </c>
      <c r="F19" s="221"/>
      <c r="G19" s="1" t="s">
        <v>436</v>
      </c>
    </row>
    <row r="20" spans="1:7" s="204" customFormat="1" ht="13.5" customHeight="1">
      <c r="A20" s="727" t="s">
        <v>419</v>
      </c>
      <c r="B20" s="200" t="s">
        <v>77</v>
      </c>
      <c r="C20" s="222">
        <f>ROUND((C5+C19)*F20,0)</f>
        <v>439</v>
      </c>
      <c r="D20" s="222"/>
      <c r="E20" s="222"/>
      <c r="F20" s="223">
        <f>'数据-取费表'!B37</f>
        <v>0.02</v>
      </c>
      <c r="G20" s="1000" t="s">
        <v>430</v>
      </c>
    </row>
    <row r="21" spans="1:7" s="204" customFormat="1" ht="13.5" customHeight="1">
      <c r="A21" s="727" t="s">
        <v>421</v>
      </c>
      <c r="B21" s="200" t="s">
        <v>78</v>
      </c>
      <c r="C21" s="225">
        <f>F21</f>
        <v>0.02</v>
      </c>
      <c r="D21" s="226" t="s">
        <v>99</v>
      </c>
      <c r="E21" s="222"/>
      <c r="F21" s="223">
        <f>'数据-取费表'!B38</f>
        <v>0.02</v>
      </c>
      <c r="G21" s="224" t="s">
        <v>79</v>
      </c>
    </row>
    <row r="22" spans="1:7" s="204" customFormat="1" ht="13.5" customHeight="1">
      <c r="A22" s="727" t="s">
        <v>341</v>
      </c>
      <c r="B22" s="200" t="s">
        <v>80</v>
      </c>
      <c r="C22" s="1037">
        <f ca="1">ROUND(SUM(C23:C25),0)</f>
        <v>720</v>
      </c>
      <c r="D22" s="225">
        <f ca="1">C26</f>
        <v>2.9999999999999997E-4</v>
      </c>
      <c r="E22" s="226" t="s">
        <v>99</v>
      </c>
      <c r="F22" s="227">
        <f ca="1">'数据-取费表'!B40</f>
        <v>3.2500000000000001E-2</v>
      </c>
      <c r="G22" s="1000" t="str">
        <f>IF('数据-取费表'!B22&lt;=1,"单利计息","复利计息")</f>
        <v>复利计息</v>
      </c>
    </row>
    <row r="23" spans="1:7" s="204" customFormat="1" ht="13.5" customHeight="1">
      <c r="A23" s="730" t="s">
        <v>349</v>
      </c>
      <c r="B23" s="205" t="s">
        <v>423</v>
      </c>
      <c r="C23" s="1038">
        <f ca="1">ROUND(IF('数据-取费表'!B22&lt;=1,C5*F22*'数据-取费表'!B23,C5*(POWER((1+F22),'数据-取费表'!B23)-1)),0)</f>
        <v>670</v>
      </c>
      <c r="D23" s="228"/>
      <c r="E23" s="228"/>
      <c r="F23" s="229"/>
      <c r="G23" s="230" t="s">
        <v>81</v>
      </c>
    </row>
    <row r="24" spans="1:7" s="204" customFormat="1" ht="13.5" customHeight="1">
      <c r="A24" s="730" t="s">
        <v>347</v>
      </c>
      <c r="B24" s="205" t="s">
        <v>418</v>
      </c>
      <c r="C24" s="1038">
        <f ca="1">ROUND(IF('数据-取费表'!B22&lt;=1,C19*F22*('数据-取费表'!B19/2+'数据-取费表'!B21),C19*(POWER((1+F22),('数据-取费表'!B19/2+'数据-取费表'!B21))-1)),0)</f>
        <v>43</v>
      </c>
      <c r="D24" s="228"/>
      <c r="E24" s="228"/>
      <c r="F24" s="229"/>
      <c r="G24" s="230" t="s">
        <v>82</v>
      </c>
    </row>
    <row r="25" spans="1:7" s="204" customFormat="1" ht="24">
      <c r="A25" s="730" t="s">
        <v>348</v>
      </c>
      <c r="B25" s="205" t="s">
        <v>420</v>
      </c>
      <c r="C25" s="1038">
        <f ca="1">ROUND(IF('数据-取费表'!B22&lt;=1,C20*F22*'数据-取费表'!B23/2,C20*(POWER((1+F22),'数据-取费表'!B23/2)-1)),0)</f>
        <v>7</v>
      </c>
      <c r="D25" s="228"/>
      <c r="E25" s="231"/>
      <c r="F25" s="229"/>
      <c r="G25" s="232" t="s">
        <v>83</v>
      </c>
    </row>
    <row r="26" spans="1:7" s="204" customFormat="1">
      <c r="A26" s="730" t="s">
        <v>350</v>
      </c>
      <c r="B26" s="205" t="s">
        <v>422</v>
      </c>
      <c r="C26" s="228">
        <f ca="1">ROUND(IF('数据-取费表'!B22&lt;=1,F21*F22*'数据-取费表'!B23/2,F21*(POWER((1+F22),'数据-取费表'!B23/2)-1)),4)</f>
        <v>2.9999999999999997E-4</v>
      </c>
      <c r="D26" s="228"/>
      <c r="E26" s="231"/>
      <c r="F26" s="229"/>
      <c r="G26" s="233"/>
    </row>
    <row r="27" spans="1:7" s="204" customFormat="1" ht="24.75">
      <c r="A27" s="727" t="s">
        <v>342</v>
      </c>
      <c r="B27" s="234" t="s">
        <v>85</v>
      </c>
      <c r="C27" s="235">
        <f>C28</f>
        <v>970</v>
      </c>
      <c r="D27" s="225">
        <f>C29</f>
        <v>8.9999999999999998E-4</v>
      </c>
      <c r="E27" s="226" t="s">
        <v>99</v>
      </c>
      <c r="F27" s="236">
        <f>'数据-取费表'!Q16</f>
        <v>0.13</v>
      </c>
      <c r="G27" s="237" t="s">
        <v>431</v>
      </c>
    </row>
    <row r="28" spans="1:7" s="204" customFormat="1" ht="13.5" customHeight="1">
      <c r="A28" s="730" t="s">
        <v>349</v>
      </c>
      <c r="B28" s="238" t="s">
        <v>424</v>
      </c>
      <c r="C28" s="239">
        <f>ROUND((C5+C19+C20)*F27*'数据-取费表'!B21/'数据-取费表'!B20,0)</f>
        <v>970</v>
      </c>
      <c r="D28" s="225"/>
      <c r="E28" s="226"/>
      <c r="F28" s="236"/>
      <c r="G28" s="237"/>
    </row>
    <row r="29" spans="1:7" s="204" customFormat="1" ht="13.5" customHeight="1">
      <c r="A29" s="730" t="s">
        <v>347</v>
      </c>
      <c r="B29" s="238" t="s">
        <v>425</v>
      </c>
      <c r="C29" s="228">
        <f>ROUND(C21*F27*'数据-取费表'!B21/'数据-取费表'!B20,4)</f>
        <v>8.9999999999999998E-4</v>
      </c>
      <c r="D29" s="225"/>
      <c r="E29" s="226"/>
      <c r="F29" s="236"/>
      <c r="G29" s="237"/>
    </row>
    <row r="30" spans="1:7" s="204" customFormat="1" ht="13.5" customHeight="1">
      <c r="A30" s="727"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26016</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14132</v>
      </c>
      <c r="D33" s="222"/>
      <c r="E33" s="202"/>
      <c r="F33" s="231"/>
      <c r="G33" s="224"/>
    </row>
    <row r="34" spans="1:7" s="248" customFormat="1" ht="13.5" customHeight="1">
      <c r="A34" s="730" t="s">
        <v>349</v>
      </c>
      <c r="B34" s="205" t="s">
        <v>32</v>
      </c>
      <c r="C34" s="210">
        <f>IF(F34=100%,'数据-取费表'!M16-SUMIF('数据-取费表'!C:C,"公共配套",'数据-取费表'!M:M),'数据-取费表'!O16-SUMIF('数据-取费表'!C:C,"公共配套",'数据-取费表'!O:O))</f>
        <v>12276</v>
      </c>
      <c r="D34" s="207"/>
      <c r="E34" s="210"/>
      <c r="F34" s="247">
        <f>IF('数据-取费表'!B24=0,1,'数据-取费表'!N16)</f>
        <v>0.33</v>
      </c>
      <c r="G34" s="209" t="s">
        <v>89</v>
      </c>
    </row>
    <row r="35" spans="1:7" ht="13.5" customHeight="1">
      <c r="A35" s="730" t="s">
        <v>351</v>
      </c>
      <c r="B35" s="205" t="s">
        <v>33</v>
      </c>
      <c r="C35" s="210">
        <f>ROUND(C34*F35,0)</f>
        <v>614</v>
      </c>
      <c r="D35" s="210"/>
      <c r="E35" s="210"/>
      <c r="F35" s="249">
        <f>'数据-取费表'!B33</f>
        <v>0.05</v>
      </c>
      <c r="G35" s="209" t="s">
        <v>90</v>
      </c>
    </row>
    <row r="36" spans="1:7" ht="24">
      <c r="A36" s="730"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505</v>
      </c>
      <c r="D36" s="210"/>
      <c r="E36" s="210"/>
      <c r="F36" s="249">
        <f>'数据-取费表'!B34</f>
        <v>0.05</v>
      </c>
      <c r="G36" s="250" t="s">
        <v>35</v>
      </c>
    </row>
    <row r="37" spans="1:7" s="248" customFormat="1" ht="13.5" customHeight="1">
      <c r="A37" s="730" t="s">
        <v>353</v>
      </c>
      <c r="B37" s="205" t="s">
        <v>91</v>
      </c>
      <c r="C37" s="239">
        <f>ROUND(E37*D37*F34/10000,0)</f>
        <v>491</v>
      </c>
      <c r="D37" s="207">
        <f>'数据-汇总表'!E3</f>
        <v>74353.649999999776</v>
      </c>
      <c r="E37" s="239">
        <f>'数据-取费表'!B35</f>
        <v>200</v>
      </c>
      <c r="F37" s="249"/>
      <c r="G37" s="251" t="s">
        <v>92</v>
      </c>
    </row>
    <row r="38" spans="1:7" ht="13.5" customHeight="1">
      <c r="A38" s="730" t="s">
        <v>354</v>
      </c>
      <c r="B38" s="205" t="s">
        <v>36</v>
      </c>
      <c r="C38" s="210">
        <f>ROUND(C34*F38,0)</f>
        <v>246</v>
      </c>
      <c r="D38" s="210"/>
      <c r="E38" s="210"/>
      <c r="F38" s="249">
        <f>'数据-取费表'!B36</f>
        <v>0.02</v>
      </c>
      <c r="G38" s="209" t="s">
        <v>90</v>
      </c>
    </row>
    <row r="39" spans="1:7" s="204" customFormat="1" ht="13.5" customHeight="1">
      <c r="A39" s="727" t="s">
        <v>338</v>
      </c>
      <c r="B39" s="200" t="s">
        <v>77</v>
      </c>
      <c r="C39" s="222">
        <f>ROUND(C33*F20,0)</f>
        <v>283</v>
      </c>
      <c r="D39" s="222"/>
      <c r="E39" s="222"/>
      <c r="F39" s="223"/>
      <c r="G39" s="1000" t="s">
        <v>433</v>
      </c>
    </row>
    <row r="40" spans="1:7" s="204" customFormat="1" ht="13.5" customHeight="1">
      <c r="A40" s="727" t="s">
        <v>339</v>
      </c>
      <c r="B40" s="200" t="s">
        <v>78</v>
      </c>
      <c r="C40" s="252">
        <f>F21</f>
        <v>0.02</v>
      </c>
      <c r="D40" s="226" t="s">
        <v>102</v>
      </c>
      <c r="E40" s="222"/>
      <c r="F40" s="223"/>
      <c r="G40" s="224" t="s">
        <v>93</v>
      </c>
    </row>
    <row r="41" spans="1:7" s="204" customFormat="1" ht="13.5" customHeight="1">
      <c r="A41" s="727" t="s">
        <v>340</v>
      </c>
      <c r="B41" s="200" t="s">
        <v>80</v>
      </c>
      <c r="C41" s="222">
        <f ca="1">ROUND(SUM(C42:C43),0)</f>
        <v>233</v>
      </c>
      <c r="D41" s="225">
        <f ca="1">C44</f>
        <v>2.9999999999999997E-4</v>
      </c>
      <c r="E41" s="226" t="s">
        <v>102</v>
      </c>
      <c r="F41" s="227"/>
      <c r="G41" s="1000" t="str">
        <f>IF('数据-取费表'!B22&lt;=1,"单利计息","复利计息")</f>
        <v>复利计息</v>
      </c>
    </row>
    <row r="42" spans="1:7" ht="13.5" customHeight="1">
      <c r="A42" s="730" t="s">
        <v>349</v>
      </c>
      <c r="B42" s="205" t="s">
        <v>423</v>
      </c>
      <c r="C42" s="228">
        <f ca="1">ROUND(IF('数据-取费表'!B22&lt;=1,C33*F22*'数据-取费表'!B21/2,C33*(POWER((1+F22),'数据-取费表'!B21/2)-1)),0)</f>
        <v>228</v>
      </c>
      <c r="D42" s="228"/>
      <c r="E42" s="228"/>
      <c r="F42" s="229"/>
      <c r="G42" s="3371" t="s">
        <v>94</v>
      </c>
    </row>
    <row r="43" spans="1:7" ht="13.5" customHeight="1">
      <c r="A43" s="730" t="s">
        <v>347</v>
      </c>
      <c r="B43" s="205" t="s">
        <v>426</v>
      </c>
      <c r="C43" s="228">
        <f ca="1">ROUND(IF('数据-取费表'!B22&lt;=1,C39*F22*'数据-取费表'!B21/2,C39*(POWER((1+F22),'数据-取费表'!B21/2)-1)),0)</f>
        <v>5</v>
      </c>
      <c r="D43" s="228"/>
      <c r="E43" s="228"/>
      <c r="F43" s="229"/>
      <c r="G43" s="3372"/>
    </row>
    <row r="44" spans="1:7" ht="13.5" customHeight="1">
      <c r="A44" s="730" t="s">
        <v>348</v>
      </c>
      <c r="B44" s="205" t="s">
        <v>428</v>
      </c>
      <c r="C44" s="228">
        <f ca="1">ROUND(IF('数据-取费表'!B22&lt;=1,C40*F22*'数据-取费表'!B21/2,C40*(POWER((1+F22),'数据-取费表'!B21/2)-1)),4)</f>
        <v>2.9999999999999997E-4</v>
      </c>
      <c r="D44" s="228"/>
      <c r="E44" s="228"/>
      <c r="F44" s="229"/>
      <c r="G44" s="3373"/>
    </row>
    <row r="45" spans="1:7" s="204" customFormat="1" ht="13.5" customHeight="1">
      <c r="A45" s="727" t="s">
        <v>341</v>
      </c>
      <c r="B45" s="234" t="s">
        <v>85</v>
      </c>
      <c r="C45" s="235">
        <f>C46</f>
        <v>1874</v>
      </c>
      <c r="D45" s="225">
        <f>C47</f>
        <v>2.5999999999999999E-3</v>
      </c>
      <c r="E45" s="226" t="s">
        <v>102</v>
      </c>
      <c r="F45" s="236"/>
      <c r="G45" s="237" t="s">
        <v>434</v>
      </c>
    </row>
    <row r="46" spans="1:7" s="204" customFormat="1" ht="13.5" customHeight="1">
      <c r="A46" s="730" t="s">
        <v>349</v>
      </c>
      <c r="B46" s="238" t="s">
        <v>427</v>
      </c>
      <c r="C46" s="239">
        <f>ROUND((C33+C39)*F27,0)</f>
        <v>1874</v>
      </c>
      <c r="D46" s="253"/>
      <c r="E46" s="226"/>
      <c r="F46" s="236"/>
      <c r="G46" s="237"/>
    </row>
    <row r="47" spans="1:7" s="204" customFormat="1" ht="13.5" customHeight="1">
      <c r="A47" s="730" t="s">
        <v>347</v>
      </c>
      <c r="B47" s="238" t="s">
        <v>429</v>
      </c>
      <c r="C47" s="228">
        <f>ROUND(C40*F27,4)</f>
        <v>2.5999999999999999E-3</v>
      </c>
      <c r="D47" s="253"/>
      <c r="E47" s="226"/>
      <c r="F47" s="236"/>
      <c r="G47" s="237"/>
    </row>
    <row r="48" spans="1:7" s="204" customFormat="1" ht="13.5" customHeight="1">
      <c r="A48" s="727" t="s">
        <v>342</v>
      </c>
      <c r="B48" s="200" t="s">
        <v>95</v>
      </c>
      <c r="C48" s="252">
        <f>F30</f>
        <v>5.6000000000000001E-2</v>
      </c>
      <c r="D48" s="226" t="s">
        <v>103</v>
      </c>
      <c r="E48" s="222"/>
      <c r="F48" s="227"/>
      <c r="G48" s="224" t="s">
        <v>96</v>
      </c>
    </row>
    <row r="49" spans="1:7" ht="16.5" customHeight="1">
      <c r="A49" s="727" t="s">
        <v>343</v>
      </c>
      <c r="B49" s="200" t="s">
        <v>104</v>
      </c>
      <c r="C49" s="222">
        <f ca="1">ROUND((C33+C39+C41+C45)/(1-C40-D41-D45-C48/(1+'数据-取费表'!B42)),0)</f>
        <v>17885</v>
      </c>
      <c r="D49" s="222"/>
      <c r="E49" s="222"/>
      <c r="F49" s="254"/>
      <c r="G49" s="224" t="s">
        <v>435</v>
      </c>
    </row>
    <row r="50" spans="1:7" s="248" customFormat="1" ht="24">
      <c r="A50" s="727" t="s">
        <v>344</v>
      </c>
      <c r="B50" s="200" t="s">
        <v>97</v>
      </c>
      <c r="C50" s="222"/>
      <c r="D50" s="222"/>
      <c r="E50" s="222"/>
      <c r="F50" s="254">
        <f>IF('数据-取费表'!B24=0,'数据-取费表'!N16,1)</f>
        <v>1</v>
      </c>
      <c r="G50" s="237" t="s">
        <v>98</v>
      </c>
    </row>
    <row r="51" spans="1:7" ht="16.5" customHeight="1">
      <c r="A51" s="727" t="s">
        <v>345</v>
      </c>
      <c r="B51" s="200" t="s">
        <v>105</v>
      </c>
      <c r="C51" s="222">
        <f ca="1">ROUND(C49*F50,0)</f>
        <v>17885</v>
      </c>
      <c r="D51" s="222"/>
      <c r="E51" s="222"/>
      <c r="F51" s="254"/>
      <c r="G51" s="224" t="s">
        <v>37</v>
      </c>
    </row>
    <row r="52" spans="1:7" s="198" customFormat="1" ht="16.5" thickBot="1">
      <c r="A52" s="255" t="s">
        <v>38</v>
      </c>
      <c r="B52" s="256"/>
      <c r="C52" s="257">
        <f ca="1">C31+C51</f>
        <v>43901</v>
      </c>
      <c r="D52" s="256"/>
      <c r="E52" s="256"/>
      <c r="F52" s="256"/>
      <c r="G52" s="258"/>
    </row>
    <row r="55" spans="1:7" ht="15">
      <c r="B55" s="260" t="s">
        <v>39</v>
      </c>
      <c r="C55" s="261"/>
    </row>
    <row r="56" spans="1:7">
      <c r="B56" s="263" t="s">
        <v>40</v>
      </c>
      <c r="C56" s="264">
        <f ca="1">ROUND(C51/C52,3)</f>
        <v>0.40699999999999997</v>
      </c>
    </row>
    <row r="57" spans="1:7">
      <c r="B57" s="263" t="s">
        <v>41</v>
      </c>
      <c r="C57" s="265">
        <f ca="1">1-C56</f>
        <v>0.59299999999999997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12" t="s">
        <v>3171</v>
      </c>
      <c r="B1" s="3512"/>
    </row>
    <row r="2" spans="1:7" ht="14.25" thickBot="1">
      <c r="A2" s="2965"/>
      <c r="B2" s="2965"/>
    </row>
    <row r="3" spans="1:7" ht="14.25" thickBot="1">
      <c r="A3" s="2965"/>
      <c r="B3" s="2965"/>
      <c r="C3" s="2966" t="s">
        <v>2801</v>
      </c>
      <c r="D3" s="2966" t="s">
        <v>2857</v>
      </c>
      <c r="E3" s="2966" t="s">
        <v>2803</v>
      </c>
      <c r="F3" s="2966" t="s">
        <v>2858</v>
      </c>
      <c r="G3" s="2966" t="s">
        <v>2621</v>
      </c>
    </row>
    <row r="4" spans="1:7" ht="14.25" thickBot="1">
      <c r="A4" s="2967" t="s">
        <v>2856</v>
      </c>
      <c r="B4" s="2968" t="s">
        <v>2862</v>
      </c>
      <c r="C4" s="2966"/>
      <c r="D4" s="2966"/>
      <c r="E4" s="2966"/>
      <c r="F4" s="2966"/>
      <c r="G4" s="2966"/>
    </row>
    <row r="5" spans="1:7">
      <c r="A5" s="2969" t="s">
        <v>2830</v>
      </c>
      <c r="B5" s="2970" t="s">
        <v>2844</v>
      </c>
      <c r="C5" s="2971">
        <v>9.8000000000000004E-2</v>
      </c>
      <c r="D5" s="2971">
        <v>8.6999999999999994E-2</v>
      </c>
      <c r="E5" s="2971">
        <v>8.6999999999999994E-2</v>
      </c>
      <c r="F5" s="2971">
        <v>9.8000000000000004E-2</v>
      </c>
      <c r="G5" s="2972">
        <v>9.5000000000000001E-2</v>
      </c>
    </row>
    <row r="6" spans="1:7">
      <c r="A6" s="2973" t="s">
        <v>144</v>
      </c>
      <c r="B6" s="2974" t="s">
        <v>2859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2845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2913</v>
      </c>
      <c r="C29" s="2983"/>
      <c r="D29" s="2979">
        <v>5.1999999999999998E-2</v>
      </c>
      <c r="E29" s="2979">
        <v>7.0000000000000007E-2</v>
      </c>
      <c r="F29" s="2983"/>
      <c r="G29" s="2981">
        <v>7.0999999999999994E-2</v>
      </c>
    </row>
    <row r="30" spans="1:7">
      <c r="A30" s="2984" t="s">
        <v>296</v>
      </c>
      <c r="B30" s="2970" t="s">
        <v>2846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2916</v>
      </c>
      <c r="C50" s="2975">
        <v>9.8000000000000004E-2</v>
      </c>
      <c r="D50" s="2975">
        <v>7.2999999999999995E-2</v>
      </c>
      <c r="E50" s="2975">
        <v>7.0999999999999994E-2</v>
      </c>
      <c r="F50" s="2986"/>
      <c r="G50" s="2976">
        <v>7.2999999999999995E-2</v>
      </c>
    </row>
    <row r="51" spans="1:7">
      <c r="A51" s="2985" t="s">
        <v>296</v>
      </c>
      <c r="B51" s="2974" t="s">
        <v>2918</v>
      </c>
      <c r="C51" s="2975">
        <v>9.9000000000000005E-2</v>
      </c>
      <c r="D51" s="2975">
        <v>8.5000000000000006E-2</v>
      </c>
      <c r="E51" s="2975">
        <v>6.3E-2</v>
      </c>
      <c r="F51" s="2986"/>
      <c r="G51" s="2976">
        <v>9.6000000000000002E-2</v>
      </c>
    </row>
    <row r="52" spans="1:7">
      <c r="A52" s="2985" t="s">
        <v>296</v>
      </c>
      <c r="B52" s="2974" t="s">
        <v>2922</v>
      </c>
      <c r="C52" s="2975">
        <v>7.3999999999999996E-2</v>
      </c>
      <c r="D52" s="2975">
        <v>9.6000000000000002E-2</v>
      </c>
      <c r="E52" s="2975">
        <v>0.05</v>
      </c>
      <c r="F52" s="2986"/>
      <c r="G52" s="2976">
        <v>9.8000000000000004E-2</v>
      </c>
    </row>
    <row r="53" spans="1:7">
      <c r="A53" s="2985" t="s">
        <v>296</v>
      </c>
      <c r="B53" s="2974" t="s">
        <v>2927</v>
      </c>
      <c r="C53" s="2975">
        <v>8.5999999999999993E-2</v>
      </c>
      <c r="D53" s="2986"/>
      <c r="E53" s="2975">
        <v>9.1999999999999998E-2</v>
      </c>
      <c r="F53" s="2986"/>
      <c r="G53" s="2987"/>
    </row>
    <row r="54" spans="1:7" ht="14.25" thickBot="1">
      <c r="A54" s="2988" t="s">
        <v>296</v>
      </c>
      <c r="B54" s="2978" t="s">
        <v>2930</v>
      </c>
      <c r="C54" s="2979">
        <v>9.6000000000000002E-2</v>
      </c>
      <c r="D54" s="2980"/>
      <c r="E54" s="2989"/>
      <c r="F54" s="2980"/>
      <c r="G54" s="2990"/>
    </row>
    <row r="55" spans="1:7">
      <c r="A55" s="2984" t="s">
        <v>110</v>
      </c>
      <c r="B55" s="2970" t="s">
        <v>2847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2928</v>
      </c>
      <c r="C78" s="2975">
        <v>0.1</v>
      </c>
      <c r="D78" s="2975">
        <v>8.5000000000000006E-2</v>
      </c>
      <c r="E78" s="2975">
        <v>9.6000000000000002E-2</v>
      </c>
      <c r="F78" s="2986"/>
      <c r="G78" s="2976">
        <v>9.6000000000000002E-2</v>
      </c>
    </row>
    <row r="79" spans="1:7">
      <c r="A79" s="2985" t="s">
        <v>110</v>
      </c>
      <c r="B79" s="2974" t="s">
        <v>2931</v>
      </c>
      <c r="C79" s="2975">
        <v>0.05</v>
      </c>
      <c r="D79" s="2975">
        <v>9.6000000000000002E-2</v>
      </c>
      <c r="E79" s="2975">
        <v>9.5000000000000001E-2</v>
      </c>
      <c r="F79" s="2986"/>
      <c r="G79" s="2976">
        <v>9.8000000000000004E-2</v>
      </c>
    </row>
    <row r="80" spans="1:7">
      <c r="A80" s="2985" t="s">
        <v>110</v>
      </c>
      <c r="B80" s="2974" t="s">
        <v>2935</v>
      </c>
      <c r="C80" s="2975">
        <v>8.5999999999999993E-2</v>
      </c>
      <c r="D80" s="2991"/>
      <c r="E80" s="2975">
        <v>0.1</v>
      </c>
      <c r="F80" s="2986"/>
      <c r="G80" s="2987"/>
    </row>
    <row r="81" spans="1:7">
      <c r="A81" s="2985" t="s">
        <v>110</v>
      </c>
      <c r="B81" s="2974" t="s">
        <v>2940</v>
      </c>
      <c r="C81" s="2975">
        <v>9.6000000000000002E-2</v>
      </c>
      <c r="D81" s="2986"/>
      <c r="E81" s="2975">
        <v>9.8000000000000004E-2</v>
      </c>
      <c r="F81" s="2986"/>
      <c r="G81" s="2987"/>
    </row>
    <row r="82" spans="1:7">
      <c r="A82" s="2985" t="s">
        <v>110</v>
      </c>
      <c r="B82" s="2974" t="s">
        <v>2947</v>
      </c>
      <c r="C82" s="2991"/>
      <c r="D82" s="2986"/>
      <c r="E82" s="2975">
        <v>7.6999999999999999E-2</v>
      </c>
      <c r="F82" s="2986"/>
      <c r="G82" s="2987"/>
    </row>
    <row r="83" spans="1:7">
      <c r="A83" s="2985" t="s">
        <v>110</v>
      </c>
      <c r="B83" s="2974" t="s">
        <v>2953</v>
      </c>
      <c r="C83" s="2986"/>
      <c r="D83" s="2986"/>
      <c r="E83" s="2986"/>
      <c r="F83" s="2975">
        <v>0.1</v>
      </c>
      <c r="G83" s="2992"/>
    </row>
    <row r="84" spans="1:7">
      <c r="A84" s="2985" t="s">
        <v>110</v>
      </c>
      <c r="B84" s="2974" t="s">
        <v>2960</v>
      </c>
      <c r="C84" s="2986"/>
      <c r="D84" s="2986"/>
      <c r="E84" s="2986"/>
      <c r="F84" s="2975">
        <v>0.1</v>
      </c>
      <c r="G84" s="2992"/>
    </row>
    <row r="85" spans="1:7">
      <c r="A85" s="2985" t="s">
        <v>110</v>
      </c>
      <c r="B85" s="2974" t="s">
        <v>2967</v>
      </c>
      <c r="C85" s="2986"/>
      <c r="D85" s="2986"/>
      <c r="E85" s="2986"/>
      <c r="F85" s="2975">
        <v>0.1</v>
      </c>
      <c r="G85" s="2992"/>
    </row>
    <row r="86" spans="1:7" ht="14.25" thickBot="1">
      <c r="A86" s="2988" t="s">
        <v>110</v>
      </c>
      <c r="B86" s="2978" t="s">
        <v>2972</v>
      </c>
      <c r="C86" s="2979">
        <v>9.8000000000000004E-2</v>
      </c>
      <c r="D86" s="2979">
        <v>9.8000000000000004E-2</v>
      </c>
      <c r="E86" s="2979">
        <v>9.6000000000000002E-2</v>
      </c>
      <c r="F86" s="2989"/>
      <c r="G86" s="2981">
        <v>0.1</v>
      </c>
    </row>
    <row r="87" spans="1:7">
      <c r="A87" s="2984" t="s">
        <v>303</v>
      </c>
      <c r="B87" s="2970" t="s">
        <v>2848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2941</v>
      </c>
      <c r="C113" s="2975">
        <v>0.1</v>
      </c>
      <c r="D113" s="2975">
        <v>0.1</v>
      </c>
      <c r="E113" s="2986"/>
      <c r="F113" s="2986"/>
      <c r="G113" s="2976">
        <v>0.1</v>
      </c>
    </row>
    <row r="114" spans="1:7">
      <c r="A114" s="2985" t="s">
        <v>303</v>
      </c>
      <c r="B114" s="2974" t="s">
        <v>2948</v>
      </c>
      <c r="C114" s="2975">
        <v>9.7000000000000003E-2</v>
      </c>
      <c r="D114" s="2975">
        <v>9.7000000000000003E-2</v>
      </c>
      <c r="E114" s="2986"/>
      <c r="F114" s="2986"/>
      <c r="G114" s="2976">
        <v>9.9000000000000005E-2</v>
      </c>
    </row>
    <row r="115" spans="1:7">
      <c r="A115" s="2985" t="s">
        <v>303</v>
      </c>
      <c r="B115" s="2974" t="s">
        <v>2954</v>
      </c>
      <c r="C115" s="2975">
        <v>0.1</v>
      </c>
      <c r="D115" s="2975">
        <v>0.1</v>
      </c>
      <c r="E115" s="2986"/>
      <c r="F115" s="2986"/>
      <c r="G115" s="2976">
        <v>0.1</v>
      </c>
    </row>
    <row r="116" spans="1:7">
      <c r="A116" s="2985" t="s">
        <v>303</v>
      </c>
      <c r="B116" s="2974" t="s">
        <v>2961</v>
      </c>
      <c r="C116" s="2975">
        <v>0.1</v>
      </c>
      <c r="D116" s="2975">
        <v>0.1</v>
      </c>
      <c r="E116" s="2986"/>
      <c r="F116" s="2986"/>
      <c r="G116" s="2976">
        <v>0.1</v>
      </c>
    </row>
    <row r="117" spans="1:7">
      <c r="A117" s="2985" t="s">
        <v>303</v>
      </c>
      <c r="B117" s="2974" t="s">
        <v>2968</v>
      </c>
      <c r="C117" s="2975">
        <v>9.7000000000000003E-2</v>
      </c>
      <c r="D117" s="2975">
        <v>9.7000000000000003E-2</v>
      </c>
      <c r="E117" s="2986"/>
      <c r="F117" s="2986"/>
      <c r="G117" s="2976">
        <v>9.7000000000000003E-2</v>
      </c>
    </row>
    <row r="118" spans="1:7">
      <c r="A118" s="2985" t="s">
        <v>303</v>
      </c>
      <c r="B118" s="2974" t="s">
        <v>2973</v>
      </c>
      <c r="C118" s="2975">
        <v>0.1</v>
      </c>
      <c r="D118" s="2975">
        <v>0.1</v>
      </c>
      <c r="E118" s="2986"/>
      <c r="F118" s="2986"/>
      <c r="G118" s="2976">
        <v>0.1</v>
      </c>
    </row>
    <row r="119" spans="1:7">
      <c r="A119" s="2985" t="s">
        <v>303</v>
      </c>
      <c r="B119" s="2974" t="s">
        <v>2977</v>
      </c>
      <c r="C119" s="2975">
        <v>5.0999999999999997E-2</v>
      </c>
      <c r="D119" s="2975">
        <v>5.1999999999999998E-2</v>
      </c>
      <c r="E119" s="2986"/>
      <c r="F119" s="2991"/>
      <c r="G119" s="2976">
        <v>0.06</v>
      </c>
    </row>
    <row r="120" spans="1:7">
      <c r="A120" s="2985" t="s">
        <v>303</v>
      </c>
      <c r="B120" s="2974" t="s">
        <v>2981</v>
      </c>
      <c r="C120" s="2986"/>
      <c r="D120" s="2986"/>
      <c r="E120" s="2986"/>
      <c r="F120" s="2975">
        <v>0.1</v>
      </c>
      <c r="G120" s="2992"/>
    </row>
    <row r="121" spans="1:7">
      <c r="A121" s="2985" t="s">
        <v>303</v>
      </c>
      <c r="B121" s="2974" t="s">
        <v>2986</v>
      </c>
      <c r="C121" s="2986"/>
      <c r="D121" s="2986"/>
      <c r="E121" s="2986"/>
      <c r="F121" s="2975">
        <v>0.1</v>
      </c>
      <c r="G121" s="2992"/>
    </row>
    <row r="122" spans="1:7">
      <c r="A122" s="2985" t="s">
        <v>303</v>
      </c>
      <c r="B122" s="2974" t="s">
        <v>2991</v>
      </c>
      <c r="C122" s="2975">
        <v>0.1</v>
      </c>
      <c r="D122" s="2975">
        <v>0.1</v>
      </c>
      <c r="E122" s="2975">
        <v>9.8000000000000004E-2</v>
      </c>
      <c r="F122" s="2975">
        <v>0.1</v>
      </c>
      <c r="G122" s="2976">
        <v>0.1</v>
      </c>
    </row>
    <row r="123" spans="1:7">
      <c r="A123" s="2985" t="s">
        <v>303</v>
      </c>
      <c r="B123" s="2974" t="s">
        <v>2996</v>
      </c>
      <c r="C123" s="2975">
        <v>0.1</v>
      </c>
      <c r="D123" s="2975">
        <v>0.1</v>
      </c>
      <c r="E123" s="2975">
        <v>9.8000000000000004E-2</v>
      </c>
      <c r="F123" s="2975">
        <v>0.1</v>
      </c>
      <c r="G123" s="2976">
        <v>0.1</v>
      </c>
    </row>
    <row r="124" spans="1:7">
      <c r="A124" s="2985" t="s">
        <v>303</v>
      </c>
      <c r="B124" s="2974" t="s">
        <v>3001</v>
      </c>
      <c r="C124" s="2975">
        <v>0.1</v>
      </c>
      <c r="D124" s="2975">
        <v>0.1</v>
      </c>
      <c r="E124" s="2975">
        <v>9.8000000000000004E-2</v>
      </c>
      <c r="F124" s="2991"/>
      <c r="G124" s="2976">
        <v>0.1</v>
      </c>
    </row>
    <row r="125" spans="1:7">
      <c r="A125" s="2985" t="s">
        <v>303</v>
      </c>
      <c r="B125" s="2974" t="s">
        <v>3006</v>
      </c>
      <c r="C125" s="2975">
        <v>9.8000000000000004E-2</v>
      </c>
      <c r="D125" s="2975">
        <v>9.8000000000000004E-2</v>
      </c>
      <c r="E125" s="2975">
        <v>9.6000000000000002E-2</v>
      </c>
      <c r="F125" s="2991"/>
      <c r="G125" s="2976">
        <v>0.1</v>
      </c>
    </row>
    <row r="126" spans="1:7" ht="14.25" thickBot="1">
      <c r="A126" s="2988" t="s">
        <v>303</v>
      </c>
      <c r="B126" s="2978" t="s">
        <v>3172</v>
      </c>
      <c r="C126" s="2979">
        <v>0.1</v>
      </c>
      <c r="D126" s="2979">
        <v>0.1</v>
      </c>
      <c r="E126" s="2979">
        <v>9.8000000000000004E-2</v>
      </c>
      <c r="F126" s="2979">
        <v>0.1</v>
      </c>
      <c r="G126" s="2981">
        <v>0.1</v>
      </c>
    </row>
    <row r="127" spans="1:7">
      <c r="A127" s="2984" t="s">
        <v>29</v>
      </c>
      <c r="B127" s="2970" t="s">
        <v>2849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2919</v>
      </c>
      <c r="C148" s="2975">
        <v>0.13</v>
      </c>
      <c r="D148" s="2975">
        <v>0.13</v>
      </c>
      <c r="E148" s="2975">
        <v>0.13</v>
      </c>
      <c r="F148" s="2986"/>
      <c r="G148" s="2976">
        <v>0.13</v>
      </c>
    </row>
    <row r="149" spans="1:7">
      <c r="A149" s="2985" t="s">
        <v>29</v>
      </c>
      <c r="B149" s="2974" t="s">
        <v>2923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2942</v>
      </c>
      <c r="C153" s="2975">
        <v>0.13</v>
      </c>
      <c r="D153" s="2975">
        <v>0.13</v>
      </c>
      <c r="E153" s="2975">
        <v>0.13</v>
      </c>
      <c r="F153" s="2975">
        <v>0.13</v>
      </c>
      <c r="G153" s="2976">
        <v>0.13</v>
      </c>
    </row>
    <row r="154" spans="1:7">
      <c r="A154" s="2985" t="s">
        <v>29</v>
      </c>
      <c r="B154" s="2974" t="s">
        <v>2949</v>
      </c>
      <c r="C154" s="2975">
        <v>0.121</v>
      </c>
      <c r="D154" s="2975">
        <v>0.121</v>
      </c>
      <c r="E154" s="2975">
        <v>0.105</v>
      </c>
      <c r="F154" s="2975">
        <v>0.121</v>
      </c>
      <c r="G154" s="2976">
        <v>0.123</v>
      </c>
    </row>
    <row r="155" spans="1:7">
      <c r="A155" s="2985" t="s">
        <v>29</v>
      </c>
      <c r="B155" s="2974" t="s">
        <v>2955</v>
      </c>
      <c r="C155" s="2975">
        <v>0.1</v>
      </c>
      <c r="D155" s="2975">
        <v>0.1</v>
      </c>
      <c r="E155" s="2975">
        <v>0.1</v>
      </c>
      <c r="F155" s="2975">
        <v>0.1</v>
      </c>
      <c r="G155" s="2976">
        <v>0.1</v>
      </c>
    </row>
    <row r="156" spans="1:7">
      <c r="A156" s="2985" t="s">
        <v>29</v>
      </c>
      <c r="B156" s="2974" t="s">
        <v>2962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2982</v>
      </c>
      <c r="C160" s="2975">
        <v>0.13</v>
      </c>
      <c r="D160" s="2975">
        <v>0.13</v>
      </c>
      <c r="E160" s="2975">
        <v>0.124</v>
      </c>
      <c r="F160" s="2975">
        <v>0.126</v>
      </c>
      <c r="G160" s="2976">
        <v>0.13</v>
      </c>
    </row>
    <row r="161" spans="1:7">
      <c r="A161" s="2985" t="s">
        <v>29</v>
      </c>
      <c r="B161" s="2974" t="s">
        <v>2987</v>
      </c>
      <c r="C161" s="2975">
        <v>0.13</v>
      </c>
      <c r="D161" s="2975">
        <v>0.13</v>
      </c>
      <c r="E161" s="2975">
        <v>0.124</v>
      </c>
      <c r="F161" s="2975">
        <v>0.127</v>
      </c>
      <c r="G161" s="2976">
        <v>0.13</v>
      </c>
    </row>
    <row r="162" spans="1:7">
      <c r="A162" s="2985" t="s">
        <v>29</v>
      </c>
      <c r="B162" s="2974" t="s">
        <v>2992</v>
      </c>
      <c r="C162" s="2975">
        <v>0.1</v>
      </c>
      <c r="D162" s="2975">
        <v>0.1</v>
      </c>
      <c r="E162" s="2975">
        <v>0.1</v>
      </c>
      <c r="F162" s="2975">
        <v>0.121</v>
      </c>
      <c r="G162" s="2976">
        <v>0.105</v>
      </c>
    </row>
    <row r="163" spans="1:7">
      <c r="A163" s="2985" t="s">
        <v>29</v>
      </c>
      <c r="B163" s="2974" t="s">
        <v>2997</v>
      </c>
      <c r="C163" s="2975">
        <v>0.1</v>
      </c>
      <c r="D163" s="2975">
        <v>0.1</v>
      </c>
      <c r="E163" s="2975">
        <v>0.1</v>
      </c>
      <c r="F163" s="2975">
        <v>0.1</v>
      </c>
      <c r="G163" s="2976">
        <v>0.1</v>
      </c>
    </row>
    <row r="164" spans="1:7">
      <c r="A164" s="2985" t="s">
        <v>29</v>
      </c>
      <c r="B164" s="2974" t="s">
        <v>3002</v>
      </c>
      <c r="C164" s="2991"/>
      <c r="D164" s="2991"/>
      <c r="E164" s="2991"/>
      <c r="F164" s="2975">
        <v>0.1</v>
      </c>
      <c r="G164" s="2987"/>
    </row>
    <row r="165" spans="1:7">
      <c r="A165" s="2985" t="s">
        <v>29</v>
      </c>
      <c r="B165" s="2974" t="s">
        <v>3173</v>
      </c>
      <c r="C165" s="2975">
        <v>0.126</v>
      </c>
      <c r="D165" s="2975">
        <v>0.126</v>
      </c>
      <c r="E165" s="2975">
        <v>0.11899999999999999</v>
      </c>
      <c r="F165" s="2975">
        <v>0.13</v>
      </c>
      <c r="G165" s="2976">
        <v>0.128</v>
      </c>
    </row>
    <row r="166" spans="1:7">
      <c r="A166" s="2985" t="s">
        <v>29</v>
      </c>
      <c r="B166" s="2974" t="s">
        <v>3012</v>
      </c>
      <c r="C166" s="2975">
        <v>0.129</v>
      </c>
      <c r="D166" s="2975">
        <v>0.129</v>
      </c>
      <c r="E166" s="2975">
        <v>0.123</v>
      </c>
      <c r="F166" s="2975">
        <v>0.128</v>
      </c>
      <c r="G166" s="2976">
        <v>0.13</v>
      </c>
    </row>
    <row r="167" spans="1:7">
      <c r="A167" s="2985" t="s">
        <v>29</v>
      </c>
      <c r="B167" s="2974" t="s">
        <v>3016</v>
      </c>
      <c r="C167" s="2975">
        <v>0.125</v>
      </c>
      <c r="D167" s="2975">
        <v>0.125</v>
      </c>
      <c r="E167" s="2975">
        <v>0.11700000000000001</v>
      </c>
      <c r="F167" s="2975">
        <v>0.13</v>
      </c>
      <c r="G167" s="2976">
        <v>0.126</v>
      </c>
    </row>
    <row r="168" spans="1:7">
      <c r="A168" s="2985" t="s">
        <v>29</v>
      </c>
      <c r="B168" s="2974" t="s">
        <v>3021</v>
      </c>
      <c r="C168" s="2975">
        <v>0.128</v>
      </c>
      <c r="D168" s="2975">
        <v>0.128</v>
      </c>
      <c r="E168" s="2975">
        <v>0.123</v>
      </c>
      <c r="F168" s="2986"/>
      <c r="G168" s="2976">
        <v>0.13</v>
      </c>
    </row>
    <row r="169" spans="1:7">
      <c r="A169" s="2985" t="s">
        <v>29</v>
      </c>
      <c r="B169" s="2974" t="s">
        <v>3174</v>
      </c>
      <c r="C169" s="2991"/>
      <c r="D169" s="2991"/>
      <c r="E169" s="2991"/>
      <c r="F169" s="2975">
        <v>0.05</v>
      </c>
      <c r="G169" s="2987"/>
    </row>
    <row r="170" spans="1:7">
      <c r="A170" s="2985" t="s">
        <v>29</v>
      </c>
      <c r="B170" s="2974" t="s">
        <v>3175</v>
      </c>
      <c r="C170" s="2991"/>
      <c r="D170" s="2991"/>
      <c r="E170" s="2991"/>
      <c r="F170" s="2975">
        <v>0.05</v>
      </c>
      <c r="G170" s="2987"/>
    </row>
    <row r="171" spans="1:7">
      <c r="A171" s="2985" t="s">
        <v>29</v>
      </c>
      <c r="B171" s="2974" t="s">
        <v>3176</v>
      </c>
      <c r="C171" s="2991"/>
      <c r="D171" s="2991"/>
      <c r="E171" s="2991"/>
      <c r="F171" s="2975">
        <v>0.05</v>
      </c>
      <c r="G171" s="2992"/>
    </row>
    <row r="172" spans="1:7">
      <c r="A172" s="2985" t="s">
        <v>29</v>
      </c>
      <c r="B172" s="2974" t="s">
        <v>3177</v>
      </c>
      <c r="C172" s="2991"/>
      <c r="D172" s="2991"/>
      <c r="E172" s="2991"/>
      <c r="F172" s="2975">
        <v>0.05</v>
      </c>
      <c r="G172" s="2992"/>
    </row>
    <row r="173" spans="1:7">
      <c r="A173" s="2985" t="s">
        <v>29</v>
      </c>
      <c r="B173" s="2974" t="s">
        <v>3178</v>
      </c>
      <c r="C173" s="2991"/>
      <c r="D173" s="2991"/>
      <c r="E173" s="2991"/>
      <c r="F173" s="2975">
        <v>0.05</v>
      </c>
      <c r="G173" s="2987"/>
    </row>
    <row r="174" spans="1:7">
      <c r="A174" s="2985" t="s">
        <v>29</v>
      </c>
      <c r="B174" s="2974" t="s">
        <v>3179</v>
      </c>
      <c r="C174" s="2991"/>
      <c r="D174" s="2991"/>
      <c r="E174" s="2991"/>
      <c r="F174" s="2975">
        <v>0.05</v>
      </c>
      <c r="G174" s="2987"/>
    </row>
    <row r="175" spans="1:7">
      <c r="A175" s="2985" t="s">
        <v>29</v>
      </c>
      <c r="B175" s="2974" t="s">
        <v>3180</v>
      </c>
      <c r="C175" s="2991"/>
      <c r="D175" s="2991"/>
      <c r="E175" s="2991"/>
      <c r="F175" s="2975">
        <v>0.05</v>
      </c>
      <c r="G175" s="2987"/>
    </row>
    <row r="176" spans="1:7">
      <c r="A176" s="2985" t="s">
        <v>29</v>
      </c>
      <c r="B176" s="2974" t="s">
        <v>3181</v>
      </c>
      <c r="C176" s="2991"/>
      <c r="D176" s="2991"/>
      <c r="E176" s="2991"/>
      <c r="F176" s="2975">
        <v>0.05</v>
      </c>
      <c r="G176" s="2987"/>
    </row>
    <row r="177" spans="1:7">
      <c r="A177" s="2985" t="s">
        <v>29</v>
      </c>
      <c r="B177" s="2974" t="s">
        <v>3182</v>
      </c>
      <c r="C177" s="2986"/>
      <c r="D177" s="2986"/>
      <c r="E177" s="2986"/>
      <c r="F177" s="2975">
        <v>0.05</v>
      </c>
      <c r="G177" s="2992"/>
    </row>
    <row r="178" spans="1:7">
      <c r="A178" s="2985" t="s">
        <v>29</v>
      </c>
      <c r="B178" s="2974" t="s">
        <v>3183</v>
      </c>
      <c r="C178" s="2986"/>
      <c r="D178" s="2986"/>
      <c r="E178" s="2986"/>
      <c r="F178" s="2975">
        <v>0.05</v>
      </c>
      <c r="G178" s="2992"/>
    </row>
    <row r="179" spans="1:7">
      <c r="A179" s="2985" t="s">
        <v>29</v>
      </c>
      <c r="B179" s="2974" t="s">
        <v>3184</v>
      </c>
      <c r="C179" s="2986"/>
      <c r="D179" s="2986"/>
      <c r="E179" s="2986"/>
      <c r="F179" s="2975">
        <v>0.05</v>
      </c>
      <c r="G179" s="2992"/>
    </row>
    <row r="180" spans="1:7">
      <c r="A180" s="2985" t="s">
        <v>29</v>
      </c>
      <c r="B180" s="2974" t="s">
        <v>3185</v>
      </c>
      <c r="C180" s="2986"/>
      <c r="D180" s="2986"/>
      <c r="E180" s="2986"/>
      <c r="F180" s="2975">
        <v>0.05</v>
      </c>
      <c r="G180" s="2992"/>
    </row>
    <row r="181" spans="1:7">
      <c r="A181" s="2985" t="s">
        <v>29</v>
      </c>
      <c r="B181" s="2974" t="s">
        <v>3186</v>
      </c>
      <c r="C181" s="2986"/>
      <c r="D181" s="2986"/>
      <c r="E181" s="2986"/>
      <c r="F181" s="2975">
        <v>0.05</v>
      </c>
      <c r="G181" s="2992"/>
    </row>
    <row r="182" spans="1:7">
      <c r="A182" s="2985" t="s">
        <v>29</v>
      </c>
      <c r="B182" s="2974" t="s">
        <v>3187</v>
      </c>
      <c r="C182" s="2986"/>
      <c r="D182" s="2986"/>
      <c r="E182" s="2986"/>
      <c r="F182" s="2975">
        <v>0.05</v>
      </c>
      <c r="G182" s="2992"/>
    </row>
    <row r="183" spans="1:7">
      <c r="A183" s="2985" t="s">
        <v>29</v>
      </c>
      <c r="B183" s="2974" t="s">
        <v>3188</v>
      </c>
      <c r="C183" s="2986"/>
      <c r="D183" s="2986"/>
      <c r="E183" s="2986"/>
      <c r="F183" s="2975">
        <v>0.05</v>
      </c>
      <c r="G183" s="2992"/>
    </row>
    <row r="184" spans="1:7">
      <c r="A184" s="2985" t="s">
        <v>29</v>
      </c>
      <c r="B184" s="2974" t="s">
        <v>3189</v>
      </c>
      <c r="C184" s="2986"/>
      <c r="D184" s="2986"/>
      <c r="E184" s="2986"/>
      <c r="F184" s="2975">
        <v>0.05</v>
      </c>
      <c r="G184" s="2992"/>
    </row>
    <row r="185" spans="1:7">
      <c r="A185" s="2985" t="s">
        <v>29</v>
      </c>
      <c r="B185" s="2974" t="s">
        <v>3190</v>
      </c>
      <c r="C185" s="2986"/>
      <c r="D185" s="2986"/>
      <c r="E185" s="2986"/>
      <c r="F185" s="2975">
        <v>0.05</v>
      </c>
      <c r="G185" s="2992"/>
    </row>
    <row r="186" spans="1:7">
      <c r="A186" s="2985" t="s">
        <v>29</v>
      </c>
      <c r="B186" s="2974" t="s">
        <v>3191</v>
      </c>
      <c r="C186" s="2986"/>
      <c r="D186" s="2986"/>
      <c r="E186" s="2986"/>
      <c r="F186" s="2975">
        <v>0.05</v>
      </c>
      <c r="G186" s="2992"/>
    </row>
    <row r="187" spans="1:7">
      <c r="A187" s="2985" t="s">
        <v>29</v>
      </c>
      <c r="B187" s="2974" t="s">
        <v>3192</v>
      </c>
      <c r="C187" s="2986"/>
      <c r="D187" s="2986"/>
      <c r="E187" s="2986"/>
      <c r="F187" s="2975">
        <v>0.05</v>
      </c>
      <c r="G187" s="2992"/>
    </row>
    <row r="188" spans="1:7">
      <c r="A188" s="2985" t="s">
        <v>29</v>
      </c>
      <c r="B188" s="2974" t="s">
        <v>3193</v>
      </c>
      <c r="C188" s="2986"/>
      <c r="D188" s="2986"/>
      <c r="E188" s="2986"/>
      <c r="F188" s="2975">
        <v>0.05</v>
      </c>
      <c r="G188" s="2992"/>
    </row>
    <row r="189" spans="1:7" ht="14.25" thickBot="1">
      <c r="A189" s="2988" t="s">
        <v>29</v>
      </c>
      <c r="B189" s="2978" t="s">
        <v>3194</v>
      </c>
      <c r="C189" s="2980"/>
      <c r="D189" s="2980"/>
      <c r="E189" s="2980"/>
      <c r="F189" s="2979">
        <v>0.05</v>
      </c>
      <c r="G189" s="2993"/>
    </row>
    <row r="190" spans="1:7">
      <c r="A190" s="2984" t="s">
        <v>304</v>
      </c>
      <c r="B190" s="2970" t="s">
        <v>2850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2886</v>
      </c>
      <c r="C199" s="2975">
        <v>0.13</v>
      </c>
      <c r="D199" s="2975">
        <v>0.13</v>
      </c>
      <c r="E199" s="2975">
        <v>0.13</v>
      </c>
      <c r="F199" s="2975">
        <v>0.13</v>
      </c>
      <c r="G199" s="2976">
        <v>0.13</v>
      </c>
    </row>
    <row r="200" spans="1:7">
      <c r="A200" s="2985" t="s">
        <v>304</v>
      </c>
      <c r="B200" s="2974" t="s">
        <v>2889</v>
      </c>
      <c r="C200" s="2991"/>
      <c r="D200" s="2991"/>
      <c r="E200" s="2991"/>
      <c r="F200" s="2975">
        <v>0.13</v>
      </c>
      <c r="G200" s="2987"/>
    </row>
    <row r="201" spans="1:7">
      <c r="A201" s="2985" t="s">
        <v>304</v>
      </c>
      <c r="B201" s="2974" t="s">
        <v>2894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2897</v>
      </c>
      <c r="C203" s="2975">
        <v>0.129</v>
      </c>
      <c r="D203" s="2975">
        <v>0.129</v>
      </c>
      <c r="E203" s="2975">
        <v>0.13</v>
      </c>
      <c r="F203" s="2975">
        <v>0.13</v>
      </c>
      <c r="G203" s="2976">
        <v>0.13</v>
      </c>
    </row>
    <row r="204" spans="1:7">
      <c r="A204" s="2985" t="s">
        <v>304</v>
      </c>
      <c r="B204" s="2974" t="s">
        <v>2900</v>
      </c>
      <c r="C204" s="2975">
        <v>0.129</v>
      </c>
      <c r="D204" s="2975">
        <v>0.129</v>
      </c>
      <c r="E204" s="2975">
        <v>0.123</v>
      </c>
      <c r="F204" s="2975">
        <v>0.13</v>
      </c>
      <c r="G204" s="2976">
        <v>0.13</v>
      </c>
    </row>
    <row r="205" spans="1:7">
      <c r="A205" s="2985" t="s">
        <v>304</v>
      </c>
      <c r="B205" s="2974" t="s">
        <v>2902</v>
      </c>
      <c r="C205" s="2975">
        <v>0.13</v>
      </c>
      <c r="D205" s="2975">
        <v>0.13</v>
      </c>
      <c r="E205" s="2975">
        <v>0.13</v>
      </c>
      <c r="F205" s="2975">
        <v>0.13</v>
      </c>
      <c r="G205" s="2976">
        <v>0.13</v>
      </c>
    </row>
    <row r="206" spans="1:7">
      <c r="A206" s="2985" t="s">
        <v>304</v>
      </c>
      <c r="B206" s="2974" t="s">
        <v>2905</v>
      </c>
      <c r="C206" s="2975">
        <v>0.13</v>
      </c>
      <c r="D206" s="2975">
        <v>0.13</v>
      </c>
      <c r="E206" s="2975">
        <v>0.13</v>
      </c>
      <c r="F206" s="2975">
        <v>0.128</v>
      </c>
      <c r="G206" s="2976">
        <v>0.13</v>
      </c>
    </row>
    <row r="207" spans="1:7">
      <c r="A207" s="2985" t="s">
        <v>304</v>
      </c>
      <c r="B207" s="2974" t="s">
        <v>2907</v>
      </c>
      <c r="C207" s="2975">
        <v>0.13</v>
      </c>
      <c r="D207" s="2975">
        <v>0.13</v>
      </c>
      <c r="E207" s="2975">
        <v>0.13</v>
      </c>
      <c r="F207" s="2975">
        <v>0.13</v>
      </c>
      <c r="G207" s="2976">
        <v>0.13</v>
      </c>
    </row>
    <row r="208" spans="1:7">
      <c r="A208" s="2985" t="s">
        <v>304</v>
      </c>
      <c r="B208" s="2974" t="s">
        <v>2910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2917</v>
      </c>
      <c r="C210" s="2975">
        <v>0.121</v>
      </c>
      <c r="D210" s="2975">
        <v>0.121</v>
      </c>
      <c r="E210" s="2975">
        <v>0.125</v>
      </c>
      <c r="F210" s="2975">
        <v>0.13</v>
      </c>
      <c r="G210" s="2976">
        <v>0.123</v>
      </c>
    </row>
    <row r="211" spans="1:7">
      <c r="A211" s="2985" t="s">
        <v>304</v>
      </c>
      <c r="B211" s="2974" t="s">
        <v>2920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2932</v>
      </c>
      <c r="C214" s="2975">
        <v>0.128</v>
      </c>
      <c r="D214" s="2975">
        <v>0.128</v>
      </c>
      <c r="E214" s="2975">
        <v>0.13</v>
      </c>
      <c r="F214" s="2975">
        <v>0.13</v>
      </c>
      <c r="G214" s="2976">
        <v>0.13</v>
      </c>
    </row>
    <row r="215" spans="1:7">
      <c r="A215" s="2985" t="s">
        <v>304</v>
      </c>
      <c r="B215" s="2974" t="s">
        <v>2936</v>
      </c>
      <c r="C215" s="2975">
        <v>0.13</v>
      </c>
      <c r="D215" s="2975">
        <v>0.13</v>
      </c>
      <c r="E215" s="2975">
        <v>0.13</v>
      </c>
      <c r="F215" s="2975">
        <v>0.129</v>
      </c>
      <c r="G215" s="2976">
        <v>0.13</v>
      </c>
    </row>
    <row r="216" spans="1:7">
      <c r="A216" s="2985" t="s">
        <v>304</v>
      </c>
      <c r="B216" s="2974" t="s">
        <v>2943</v>
      </c>
      <c r="C216" s="2975">
        <v>0.13</v>
      </c>
      <c r="D216" s="2975">
        <v>0.13</v>
      </c>
      <c r="E216" s="2975">
        <v>0.13</v>
      </c>
      <c r="F216" s="2975">
        <v>0.13</v>
      </c>
      <c r="G216" s="2976">
        <v>0.13</v>
      </c>
    </row>
    <row r="217" spans="1:7">
      <c r="A217" s="2985" t="s">
        <v>304</v>
      </c>
      <c r="B217" s="2974" t="s">
        <v>2950</v>
      </c>
      <c r="C217" s="2975">
        <v>0.129</v>
      </c>
      <c r="D217" s="2975">
        <v>0.129</v>
      </c>
      <c r="E217" s="2975">
        <v>0.13</v>
      </c>
      <c r="F217" s="2975">
        <v>0.13</v>
      </c>
      <c r="G217" s="2976">
        <v>0.13</v>
      </c>
    </row>
    <row r="218" spans="1:7">
      <c r="A218" s="2985" t="s">
        <v>304</v>
      </c>
      <c r="B218" s="2974" t="s">
        <v>2956</v>
      </c>
      <c r="C218" s="2986"/>
      <c r="D218" s="2986"/>
      <c r="E218" s="2986"/>
      <c r="F218" s="2975">
        <v>0.05</v>
      </c>
      <c r="G218" s="2992"/>
    </row>
    <row r="219" spans="1:7">
      <c r="A219" s="2985" t="s">
        <v>304</v>
      </c>
      <c r="B219" s="2974" t="s">
        <v>2963</v>
      </c>
      <c r="C219" s="2986"/>
      <c r="D219" s="2986"/>
      <c r="E219" s="2986"/>
      <c r="F219" s="2975">
        <v>0.05</v>
      </c>
      <c r="G219" s="2992"/>
    </row>
    <row r="220" spans="1:7">
      <c r="A220" s="2985" t="s">
        <v>304</v>
      </c>
      <c r="B220" s="2974" t="s">
        <v>2969</v>
      </c>
      <c r="C220" s="2986"/>
      <c r="D220" s="2986"/>
      <c r="E220" s="2986"/>
      <c r="F220" s="2975">
        <v>0.05</v>
      </c>
      <c r="G220" s="2992"/>
    </row>
    <row r="221" spans="1:7">
      <c r="A221" s="2985" t="s">
        <v>304</v>
      </c>
      <c r="B221" s="2974" t="s">
        <v>2974</v>
      </c>
      <c r="C221" s="2986"/>
      <c r="D221" s="2986"/>
      <c r="E221" s="2986"/>
      <c r="F221" s="2975">
        <v>0.05</v>
      </c>
      <c r="G221" s="2992"/>
    </row>
    <row r="222" spans="1:7">
      <c r="A222" s="2985" t="s">
        <v>304</v>
      </c>
      <c r="B222" s="2974" t="s">
        <v>2978</v>
      </c>
      <c r="C222" s="2986"/>
      <c r="D222" s="2986"/>
      <c r="E222" s="2986"/>
      <c r="F222" s="2975">
        <v>0.05</v>
      </c>
      <c r="G222" s="2992"/>
    </row>
    <row r="223" spans="1:7">
      <c r="A223" s="2985" t="s">
        <v>304</v>
      </c>
      <c r="B223" s="2974" t="s">
        <v>2983</v>
      </c>
      <c r="C223" s="2986"/>
      <c r="D223" s="2986"/>
      <c r="E223" s="2986"/>
      <c r="F223" s="2975">
        <v>0.05</v>
      </c>
      <c r="G223" s="2992"/>
    </row>
    <row r="224" spans="1:7">
      <c r="A224" s="2985" t="s">
        <v>304</v>
      </c>
      <c r="B224" s="2974" t="s">
        <v>2988</v>
      </c>
      <c r="C224" s="2986"/>
      <c r="D224" s="2986"/>
      <c r="E224" s="2986"/>
      <c r="F224" s="2975">
        <v>0.05</v>
      </c>
      <c r="G224" s="2992"/>
    </row>
    <row r="225" spans="1:7">
      <c r="A225" s="2985" t="s">
        <v>304</v>
      </c>
      <c r="B225" s="2974" t="s">
        <v>2993</v>
      </c>
      <c r="C225" s="2986"/>
      <c r="D225" s="2986"/>
      <c r="E225" s="2986"/>
      <c r="F225" s="2975">
        <v>0.05</v>
      </c>
      <c r="G225" s="2992"/>
    </row>
    <row r="226" spans="1:7">
      <c r="A226" s="2985" t="s">
        <v>304</v>
      </c>
      <c r="B226" s="2974" t="s">
        <v>3195</v>
      </c>
      <c r="C226" s="2986"/>
      <c r="D226" s="2986"/>
      <c r="E226" s="2986"/>
      <c r="F226" s="2975">
        <v>0.05</v>
      </c>
      <c r="G226" s="2992"/>
    </row>
    <row r="227" spans="1:7">
      <c r="A227" s="2985" t="s">
        <v>304</v>
      </c>
      <c r="B227" s="2974" t="s">
        <v>3196</v>
      </c>
      <c r="C227" s="2986"/>
      <c r="D227" s="2986"/>
      <c r="E227" s="2986"/>
      <c r="F227" s="2975">
        <v>0.05</v>
      </c>
      <c r="G227" s="2992"/>
    </row>
    <row r="228" spans="1:7">
      <c r="A228" s="2985" t="s">
        <v>304</v>
      </c>
      <c r="B228" s="2974" t="s">
        <v>3197</v>
      </c>
      <c r="C228" s="2986"/>
      <c r="D228" s="2986"/>
      <c r="E228" s="2986"/>
      <c r="F228" s="2975">
        <v>0.05</v>
      </c>
      <c r="G228" s="2992"/>
    </row>
    <row r="229" spans="1:7">
      <c r="A229" s="2985" t="s">
        <v>304</v>
      </c>
      <c r="B229" s="2974" t="s">
        <v>3198</v>
      </c>
      <c r="C229" s="2986"/>
      <c r="D229" s="2986"/>
      <c r="E229" s="2986"/>
      <c r="F229" s="2975">
        <v>0.05</v>
      </c>
      <c r="G229" s="2992"/>
    </row>
    <row r="230" spans="1:7">
      <c r="A230" s="2985" t="s">
        <v>304</v>
      </c>
      <c r="B230" s="2974" t="s">
        <v>3199</v>
      </c>
      <c r="C230" s="2986"/>
      <c r="D230" s="2986"/>
      <c r="E230" s="2986"/>
      <c r="F230" s="2975">
        <v>0.05</v>
      </c>
      <c r="G230" s="2992"/>
    </row>
    <row r="231" spans="1:7">
      <c r="A231" s="2985" t="s">
        <v>304</v>
      </c>
      <c r="B231" s="2974" t="s">
        <v>3200</v>
      </c>
      <c r="C231" s="2986"/>
      <c r="D231" s="2986"/>
      <c r="E231" s="2986"/>
      <c r="F231" s="2975">
        <v>0.05</v>
      </c>
      <c r="G231" s="2992"/>
    </row>
    <row r="232" spans="1:7">
      <c r="A232" s="2985" t="s">
        <v>304</v>
      </c>
      <c r="B232" s="2974" t="s">
        <v>3201</v>
      </c>
      <c r="C232" s="2986"/>
      <c r="D232" s="2986"/>
      <c r="E232" s="2986"/>
      <c r="F232" s="2975">
        <v>0.05</v>
      </c>
      <c r="G232" s="2992"/>
    </row>
    <row r="233" spans="1:7" ht="14.25" thickBot="1">
      <c r="A233" s="2988" t="s">
        <v>304</v>
      </c>
      <c r="B233" s="2978" t="s">
        <v>3202</v>
      </c>
      <c r="C233" s="2980"/>
      <c r="D233" s="2980"/>
      <c r="E233" s="2980"/>
      <c r="F233" s="2979">
        <v>0.05</v>
      </c>
      <c r="G233" s="2993"/>
    </row>
    <row r="234" spans="1:7">
      <c r="A234" s="2984" t="s">
        <v>305</v>
      </c>
      <c r="B234" s="2970" t="s">
        <v>2851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2871</v>
      </c>
      <c r="C238" s="2975">
        <v>0.14899999999999999</v>
      </c>
      <c r="D238" s="2975">
        <v>0.14899999999999999</v>
      </c>
      <c r="E238" s="2975">
        <v>0.15</v>
      </c>
      <c r="F238" s="2975">
        <v>0.15</v>
      </c>
      <c r="G238" s="2976">
        <v>0.15</v>
      </c>
    </row>
    <row r="239" spans="1:7">
      <c r="A239" s="2985" t="s">
        <v>305</v>
      </c>
      <c r="B239" s="2974" t="s">
        <v>2875</v>
      </c>
      <c r="C239" s="2975">
        <v>0.15</v>
      </c>
      <c r="D239" s="2975">
        <v>0.15</v>
      </c>
      <c r="E239" s="2975">
        <v>0.15</v>
      </c>
      <c r="F239" s="2975">
        <v>0.15</v>
      </c>
      <c r="G239" s="2976">
        <v>0.15</v>
      </c>
    </row>
    <row r="240" spans="1:7">
      <c r="A240" s="2985" t="s">
        <v>305</v>
      </c>
      <c r="B240" s="2974" t="s">
        <v>2880</v>
      </c>
      <c r="C240" s="2975">
        <v>0.15</v>
      </c>
      <c r="D240" s="2975">
        <v>0.15</v>
      </c>
      <c r="E240" s="2975">
        <v>0.15</v>
      </c>
      <c r="F240" s="2975">
        <v>0.15</v>
      </c>
      <c r="G240" s="2976">
        <v>0.15</v>
      </c>
    </row>
    <row r="241" spans="1:7">
      <c r="A241" s="2985" t="s">
        <v>305</v>
      </c>
      <c r="B241" s="2974" t="s">
        <v>2884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2933</v>
      </c>
      <c r="C258" s="2975">
        <v>0.14299999999999999</v>
      </c>
      <c r="D258" s="2975">
        <v>0.14299999999999999</v>
      </c>
      <c r="E258" s="2975">
        <v>0.15</v>
      </c>
      <c r="F258" s="2975">
        <v>0.14799999999999999</v>
      </c>
      <c r="G258" s="2976">
        <v>0.14599999999999999</v>
      </c>
    </row>
    <row r="259" spans="1:7">
      <c r="A259" s="2985" t="s">
        <v>305</v>
      </c>
      <c r="B259" s="2974" t="s">
        <v>2937</v>
      </c>
      <c r="C259" s="2975">
        <v>0.14399999999999999</v>
      </c>
      <c r="D259" s="2975">
        <v>0.14399999999999999</v>
      </c>
      <c r="E259" s="2975">
        <v>0.14899999999999999</v>
      </c>
      <c r="F259" s="2975">
        <v>0.14699999999999999</v>
      </c>
      <c r="G259" s="2976">
        <v>0.14599999999999999</v>
      </c>
    </row>
    <row r="260" spans="1:7">
      <c r="A260" s="2985" t="s">
        <v>305</v>
      </c>
      <c r="B260" s="2974" t="s">
        <v>2944</v>
      </c>
      <c r="C260" s="2975">
        <v>0.109</v>
      </c>
      <c r="D260" s="2975">
        <v>0.111</v>
      </c>
      <c r="E260" s="2975">
        <v>0.13100000000000001</v>
      </c>
      <c r="F260" s="2975">
        <v>0.126</v>
      </c>
      <c r="G260" s="2976">
        <v>0.11899999999999999</v>
      </c>
    </row>
    <row r="261" spans="1:7">
      <c r="A261" s="2985" t="s">
        <v>305</v>
      </c>
      <c r="B261" s="2974" t="s">
        <v>2951</v>
      </c>
      <c r="C261" s="2975">
        <v>0.1</v>
      </c>
      <c r="D261" s="2975">
        <v>0.1</v>
      </c>
      <c r="E261" s="2975">
        <v>0.11799999999999999</v>
      </c>
      <c r="F261" s="2975">
        <v>0.108</v>
      </c>
      <c r="G261" s="2976">
        <v>0.107</v>
      </c>
    </row>
    <row r="262" spans="1:7">
      <c r="A262" s="2985" t="s">
        <v>305</v>
      </c>
      <c r="B262" s="2974" t="s">
        <v>2957</v>
      </c>
      <c r="C262" s="2975">
        <v>0.1</v>
      </c>
      <c r="D262" s="2975">
        <v>0.1</v>
      </c>
      <c r="E262" s="2975">
        <v>0.1</v>
      </c>
      <c r="F262" s="2975">
        <v>0.14099999999999999</v>
      </c>
      <c r="G262" s="2976">
        <v>0.1</v>
      </c>
    </row>
    <row r="263" spans="1:7">
      <c r="A263" s="2985" t="s">
        <v>305</v>
      </c>
      <c r="B263" s="2974" t="s">
        <v>2964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2975</v>
      </c>
      <c r="C265" s="2986"/>
      <c r="D265" s="2986"/>
      <c r="E265" s="2986"/>
      <c r="F265" s="2975">
        <v>0.05</v>
      </c>
      <c r="G265" s="2992"/>
    </row>
    <row r="266" spans="1:7">
      <c r="A266" s="2985" t="s">
        <v>305</v>
      </c>
      <c r="B266" s="2974" t="s">
        <v>2979</v>
      </c>
      <c r="C266" s="2986"/>
      <c r="D266" s="2986"/>
      <c r="E266" s="2986"/>
      <c r="F266" s="2975">
        <v>0.05</v>
      </c>
      <c r="G266" s="2992"/>
    </row>
    <row r="267" spans="1:7">
      <c r="A267" s="2985" t="s">
        <v>305</v>
      </c>
      <c r="B267" s="2974" t="s">
        <v>2984</v>
      </c>
      <c r="C267" s="2986"/>
      <c r="D267" s="2986"/>
      <c r="E267" s="2986"/>
      <c r="F267" s="2975">
        <v>0.05</v>
      </c>
      <c r="G267" s="2992"/>
    </row>
    <row r="268" spans="1:7">
      <c r="A268" s="2985" t="s">
        <v>305</v>
      </c>
      <c r="B268" s="2974" t="s">
        <v>2989</v>
      </c>
      <c r="C268" s="2986"/>
      <c r="D268" s="2986"/>
      <c r="E268" s="2986"/>
      <c r="F268" s="2975">
        <v>0.05</v>
      </c>
      <c r="G268" s="2992"/>
    </row>
    <row r="269" spans="1:7">
      <c r="A269" s="2985" t="s">
        <v>305</v>
      </c>
      <c r="B269" s="2974" t="s">
        <v>2994</v>
      </c>
      <c r="C269" s="2986"/>
      <c r="D269" s="2986"/>
      <c r="E269" s="2986"/>
      <c r="F269" s="2975">
        <v>0.05</v>
      </c>
      <c r="G269" s="2992"/>
    </row>
    <row r="270" spans="1:7">
      <c r="A270" s="2985" t="s">
        <v>305</v>
      </c>
      <c r="B270" s="2974" t="s">
        <v>2999</v>
      </c>
      <c r="C270" s="2986"/>
      <c r="D270" s="2986"/>
      <c r="E270" s="2986"/>
      <c r="F270" s="2975">
        <v>0.05</v>
      </c>
      <c r="G270" s="2992"/>
    </row>
    <row r="271" spans="1:7">
      <c r="A271" s="2985" t="s">
        <v>305</v>
      </c>
      <c r="B271" s="2974" t="s">
        <v>3203</v>
      </c>
      <c r="C271" s="2986"/>
      <c r="D271" s="2986"/>
      <c r="E271" s="2986"/>
      <c r="F271" s="2975">
        <v>0.05</v>
      </c>
      <c r="G271" s="2992"/>
    </row>
    <row r="272" spans="1:7">
      <c r="A272" s="2985" t="s">
        <v>305</v>
      </c>
      <c r="B272" s="2974" t="s">
        <v>3204</v>
      </c>
      <c r="C272" s="2986"/>
      <c r="D272" s="2986"/>
      <c r="E272" s="2986"/>
      <c r="F272" s="2975">
        <v>0.05</v>
      </c>
      <c r="G272" s="2992"/>
    </row>
    <row r="273" spans="1:7">
      <c r="A273" s="2985" t="s">
        <v>305</v>
      </c>
      <c r="B273" s="2974" t="s">
        <v>3205</v>
      </c>
      <c r="C273" s="2986"/>
      <c r="D273" s="2986"/>
      <c r="E273" s="2986"/>
      <c r="F273" s="2975">
        <v>0.05</v>
      </c>
      <c r="G273" s="2992"/>
    </row>
    <row r="274" spans="1:7">
      <c r="A274" s="2985" t="s">
        <v>305</v>
      </c>
      <c r="B274" s="2974" t="s">
        <v>3206</v>
      </c>
      <c r="C274" s="2986"/>
      <c r="D274" s="2986"/>
      <c r="E274" s="2986"/>
      <c r="F274" s="2975">
        <v>0.05</v>
      </c>
      <c r="G274" s="2992"/>
    </row>
    <row r="275" spans="1:7">
      <c r="A275" s="2985" t="s">
        <v>305</v>
      </c>
      <c r="B275" s="2974" t="s">
        <v>3207</v>
      </c>
      <c r="C275" s="2986"/>
      <c r="D275" s="2986"/>
      <c r="E275" s="2986"/>
      <c r="F275" s="2975">
        <v>0.05</v>
      </c>
      <c r="G275" s="2992"/>
    </row>
    <row r="276" spans="1:7" ht="14.25" thickBot="1">
      <c r="A276" s="2988" t="s">
        <v>305</v>
      </c>
      <c r="B276" s="2978" t="s">
        <v>3208</v>
      </c>
      <c r="C276" s="2980"/>
      <c r="D276" s="2980"/>
      <c r="E276" s="2980"/>
      <c r="F276" s="2979">
        <v>0.05</v>
      </c>
      <c r="G276" s="2993"/>
    </row>
    <row r="277" spans="1:7">
      <c r="A277" s="2984" t="s">
        <v>306</v>
      </c>
      <c r="B277" s="2970" t="s">
        <v>2852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2864</v>
      </c>
      <c r="C279" s="2975">
        <v>0.15</v>
      </c>
      <c r="D279" s="2975">
        <v>0.15</v>
      </c>
      <c r="E279" s="2975">
        <v>0.15</v>
      </c>
      <c r="F279" s="2975">
        <v>0.15</v>
      </c>
      <c r="G279" s="2976">
        <v>0.15</v>
      </c>
    </row>
    <row r="280" spans="1:7">
      <c r="A280" s="2985" t="s">
        <v>306</v>
      </c>
      <c r="B280" s="2974" t="s">
        <v>2868</v>
      </c>
      <c r="C280" s="2975">
        <v>0.15</v>
      </c>
      <c r="D280" s="2975">
        <v>0.15</v>
      </c>
      <c r="E280" s="2975">
        <v>0.15</v>
      </c>
      <c r="F280" s="2975">
        <v>0.15</v>
      </c>
      <c r="G280" s="2976">
        <v>0.15</v>
      </c>
    </row>
    <row r="281" spans="1:7">
      <c r="A281" s="2985" t="s">
        <v>306</v>
      </c>
      <c r="B281" s="2974" t="s">
        <v>2872</v>
      </c>
      <c r="C281" s="2975">
        <v>0.15</v>
      </c>
      <c r="D281" s="2975">
        <v>0.15</v>
      </c>
      <c r="E281" s="2975">
        <v>0.15</v>
      </c>
      <c r="F281" s="2975">
        <v>0.15</v>
      </c>
      <c r="G281" s="2976">
        <v>0.15</v>
      </c>
    </row>
    <row r="282" spans="1:7">
      <c r="A282" s="2985" t="s">
        <v>306</v>
      </c>
      <c r="B282" s="2974" t="s">
        <v>2876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2906</v>
      </c>
      <c r="C293" s="2975">
        <v>0.15</v>
      </c>
      <c r="D293" s="2975">
        <v>0.15</v>
      </c>
      <c r="E293" s="2975">
        <v>0.15</v>
      </c>
      <c r="F293" s="2975">
        <v>0.14499999999999999</v>
      </c>
      <c r="G293" s="2976">
        <v>0.15</v>
      </c>
    </row>
    <row r="294" spans="1:7">
      <c r="A294" s="2985" t="s">
        <v>306</v>
      </c>
      <c r="B294" s="2974" t="s">
        <v>2908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2938</v>
      </c>
      <c r="C302" s="2975">
        <v>0.15</v>
      </c>
      <c r="D302" s="2975">
        <v>0.15</v>
      </c>
      <c r="E302" s="2975">
        <v>0.15</v>
      </c>
      <c r="F302" s="2975">
        <v>0.14699999999999999</v>
      </c>
      <c r="G302" s="2976">
        <v>0.15</v>
      </c>
    </row>
    <row r="303" spans="1:7">
      <c r="A303" s="2985" t="s">
        <v>306</v>
      </c>
      <c r="B303" s="2974" t="s">
        <v>2945</v>
      </c>
      <c r="C303" s="2975">
        <v>0.15</v>
      </c>
      <c r="D303" s="2975">
        <v>0.15</v>
      </c>
      <c r="E303" s="2975">
        <v>0.15</v>
      </c>
      <c r="F303" s="2975">
        <v>0.14199999999999999</v>
      </c>
      <c r="G303" s="2976">
        <v>0.15</v>
      </c>
    </row>
    <row r="304" spans="1:7">
      <c r="A304" s="2985" t="s">
        <v>306</v>
      </c>
      <c r="B304" s="2974" t="s">
        <v>2952</v>
      </c>
      <c r="C304" s="2975">
        <v>0.15</v>
      </c>
      <c r="D304" s="2975">
        <v>0.15</v>
      </c>
      <c r="E304" s="2975">
        <v>0.15</v>
      </c>
      <c r="F304" s="2975">
        <v>0.14499999999999999</v>
      </c>
      <c r="G304" s="2976">
        <v>0.15</v>
      </c>
    </row>
    <row r="305" spans="1:7">
      <c r="A305" s="2985" t="s">
        <v>306</v>
      </c>
      <c r="B305" s="2974" t="s">
        <v>2958</v>
      </c>
      <c r="C305" s="2975">
        <v>0.15</v>
      </c>
      <c r="D305" s="2975">
        <v>0.15</v>
      </c>
      <c r="E305" s="2975">
        <v>0.15</v>
      </c>
      <c r="F305" s="2975">
        <v>0.111</v>
      </c>
      <c r="G305" s="2976">
        <v>0.15</v>
      </c>
    </row>
    <row r="306" spans="1:7">
      <c r="A306" s="2985" t="s">
        <v>306</v>
      </c>
      <c r="B306" s="2974" t="s">
        <v>2965</v>
      </c>
      <c r="C306" s="2975">
        <v>0.15</v>
      </c>
      <c r="D306" s="2975">
        <v>0.15</v>
      </c>
      <c r="E306" s="2975">
        <v>0.15</v>
      </c>
      <c r="F306" s="2975">
        <v>0.126</v>
      </c>
      <c r="G306" s="2976">
        <v>0.15</v>
      </c>
    </row>
    <row r="307" spans="1:7">
      <c r="A307" s="2985" t="s">
        <v>306</v>
      </c>
      <c r="B307" s="2974" t="s">
        <v>2970</v>
      </c>
      <c r="C307" s="2975">
        <v>0.15</v>
      </c>
      <c r="D307" s="2975">
        <v>0.15</v>
      </c>
      <c r="E307" s="2975">
        <v>0.15</v>
      </c>
      <c r="F307" s="2975">
        <v>0.12</v>
      </c>
      <c r="G307" s="2976">
        <v>0.15</v>
      </c>
    </row>
    <row r="308" spans="1:7">
      <c r="A308" s="2985" t="s">
        <v>306</v>
      </c>
      <c r="B308" s="2974" t="s">
        <v>2976</v>
      </c>
      <c r="C308" s="2975">
        <v>0.15</v>
      </c>
      <c r="D308" s="2975">
        <v>0.15</v>
      </c>
      <c r="E308" s="2975">
        <v>0.15</v>
      </c>
      <c r="F308" s="2975">
        <v>0.13</v>
      </c>
      <c r="G308" s="2976">
        <v>0.15</v>
      </c>
    </row>
    <row r="309" spans="1:7">
      <c r="A309" s="2985" t="s">
        <v>306</v>
      </c>
      <c r="B309" s="2974" t="s">
        <v>2980</v>
      </c>
      <c r="C309" s="2975">
        <v>0.15</v>
      </c>
      <c r="D309" s="2975">
        <v>0.15</v>
      </c>
      <c r="E309" s="2975">
        <v>0.15</v>
      </c>
      <c r="F309" s="2975">
        <v>0.14099999999999999</v>
      </c>
      <c r="G309" s="2976">
        <v>0.15</v>
      </c>
    </row>
    <row r="310" spans="1:7">
      <c r="A310" s="2985" t="s">
        <v>306</v>
      </c>
      <c r="B310" s="2974" t="s">
        <v>2985</v>
      </c>
      <c r="C310" s="2975">
        <v>0.15</v>
      </c>
      <c r="D310" s="2975">
        <v>0.15</v>
      </c>
      <c r="E310" s="2975">
        <v>0.15</v>
      </c>
      <c r="F310" s="2975">
        <v>0.15</v>
      </c>
      <c r="G310" s="2976">
        <v>0.15</v>
      </c>
    </row>
    <row r="311" spans="1:7">
      <c r="A311" s="2985" t="s">
        <v>306</v>
      </c>
      <c r="B311" s="2974" t="s">
        <v>2990</v>
      </c>
      <c r="C311" s="2975">
        <v>0.13200000000000001</v>
      </c>
      <c r="D311" s="2975">
        <v>0.13300000000000001</v>
      </c>
      <c r="E311" s="2975">
        <v>0.14499999999999999</v>
      </c>
      <c r="F311" s="2975">
        <v>0.14199999999999999</v>
      </c>
      <c r="G311" s="2976">
        <v>0.14000000000000001</v>
      </c>
    </row>
    <row r="312" spans="1:7">
      <c r="A312" s="2985" t="s">
        <v>306</v>
      </c>
      <c r="B312" s="2974" t="s">
        <v>2995</v>
      </c>
      <c r="C312" s="2975">
        <v>0.13800000000000001</v>
      </c>
      <c r="D312" s="2975">
        <v>0.14000000000000001</v>
      </c>
      <c r="E312" s="2975">
        <v>0.14599999999999999</v>
      </c>
      <c r="F312" s="2975">
        <v>0.14899999999999999</v>
      </c>
      <c r="G312" s="2976">
        <v>0.14199999999999999</v>
      </c>
    </row>
    <row r="313" spans="1:7">
      <c r="A313" s="2985" t="s">
        <v>306</v>
      </c>
      <c r="B313" s="2974" t="s">
        <v>3000</v>
      </c>
      <c r="C313" s="2975">
        <v>0.125</v>
      </c>
      <c r="D313" s="2975">
        <v>0.127</v>
      </c>
      <c r="E313" s="2975">
        <v>0.14399999999999999</v>
      </c>
      <c r="F313" s="2975">
        <v>0.115</v>
      </c>
      <c r="G313" s="2976">
        <v>0.13600000000000001</v>
      </c>
    </row>
    <row r="314" spans="1:7">
      <c r="A314" s="2985" t="s">
        <v>306</v>
      </c>
      <c r="B314" s="2974" t="s">
        <v>3209</v>
      </c>
      <c r="C314" s="2991"/>
      <c r="D314" s="2991"/>
      <c r="E314" s="2991"/>
      <c r="F314" s="2975">
        <v>0.05</v>
      </c>
      <c r="G314" s="2992"/>
    </row>
    <row r="315" spans="1:7">
      <c r="A315" s="2985" t="s">
        <v>306</v>
      </c>
      <c r="B315" s="2974" t="s">
        <v>3210</v>
      </c>
      <c r="C315" s="2991"/>
      <c r="D315" s="2991"/>
      <c r="E315" s="2991"/>
      <c r="F315" s="2975">
        <v>0.05</v>
      </c>
      <c r="G315" s="2992"/>
    </row>
    <row r="316" spans="1:7">
      <c r="A316" s="2985" t="s">
        <v>306</v>
      </c>
      <c r="B316" s="2974" t="s">
        <v>3211</v>
      </c>
      <c r="C316" s="2986"/>
      <c r="D316" s="2986"/>
      <c r="E316" s="2986"/>
      <c r="F316" s="2975">
        <v>0.05</v>
      </c>
      <c r="G316" s="2992"/>
    </row>
    <row r="317" spans="1:7">
      <c r="A317" s="2985" t="s">
        <v>306</v>
      </c>
      <c r="B317" s="2974" t="s">
        <v>3212</v>
      </c>
      <c r="C317" s="2986"/>
      <c r="D317" s="2986"/>
      <c r="E317" s="2986"/>
      <c r="F317" s="2975">
        <v>0.05</v>
      </c>
      <c r="G317" s="2992"/>
    </row>
    <row r="318" spans="1:7">
      <c r="A318" s="2985" t="s">
        <v>306</v>
      </c>
      <c r="B318" s="2974" t="s">
        <v>3213</v>
      </c>
      <c r="C318" s="2986"/>
      <c r="D318" s="2986"/>
      <c r="E318" s="2986"/>
      <c r="F318" s="2975">
        <v>0.05</v>
      </c>
      <c r="G318" s="2992"/>
    </row>
    <row r="319" spans="1:7">
      <c r="A319" s="2985" t="s">
        <v>306</v>
      </c>
      <c r="B319" s="2974" t="s">
        <v>3214</v>
      </c>
      <c r="C319" s="2986"/>
      <c r="D319" s="2986"/>
      <c r="E319" s="2986"/>
      <c r="F319" s="2975">
        <v>0.05</v>
      </c>
      <c r="G319" s="2992"/>
    </row>
    <row r="320" spans="1:7">
      <c r="A320" s="2985" t="s">
        <v>306</v>
      </c>
      <c r="B320" s="2974" t="s">
        <v>3215</v>
      </c>
      <c r="C320" s="2986"/>
      <c r="D320" s="2986"/>
      <c r="E320" s="2986"/>
      <c r="F320" s="2975">
        <v>0.05</v>
      </c>
      <c r="G320" s="2992"/>
    </row>
    <row r="321" spans="1:7">
      <c r="A321" s="2985" t="s">
        <v>306</v>
      </c>
      <c r="B321" s="2974" t="s">
        <v>3216</v>
      </c>
      <c r="C321" s="2986"/>
      <c r="D321" s="2986"/>
      <c r="E321" s="2986"/>
      <c r="F321" s="2975">
        <v>0.05</v>
      </c>
      <c r="G321" s="2992"/>
    </row>
    <row r="322" spans="1:7">
      <c r="A322" s="2985" t="s">
        <v>306</v>
      </c>
      <c r="B322" s="2974" t="s">
        <v>3217</v>
      </c>
      <c r="C322" s="2986"/>
      <c r="D322" s="2986"/>
      <c r="E322" s="2986"/>
      <c r="F322" s="2975">
        <v>0.05</v>
      </c>
      <c r="G322" s="2992"/>
    </row>
    <row r="323" spans="1:7">
      <c r="A323" s="2985" t="s">
        <v>306</v>
      </c>
      <c r="B323" s="2974" t="s">
        <v>3218</v>
      </c>
      <c r="C323" s="2986"/>
      <c r="D323" s="2986"/>
      <c r="E323" s="2986"/>
      <c r="F323" s="2975">
        <v>0.05</v>
      </c>
      <c r="G323" s="2992"/>
    </row>
    <row r="324" spans="1:7">
      <c r="A324" s="2985" t="s">
        <v>306</v>
      </c>
      <c r="B324" s="2974" t="s">
        <v>3219</v>
      </c>
      <c r="C324" s="2986"/>
      <c r="D324" s="2986"/>
      <c r="E324" s="2986"/>
      <c r="F324" s="2975">
        <v>0.05</v>
      </c>
      <c r="G324" s="2992"/>
    </row>
    <row r="325" spans="1:7">
      <c r="A325" s="2985" t="s">
        <v>306</v>
      </c>
      <c r="B325" s="2974" t="s">
        <v>3220</v>
      </c>
      <c r="C325" s="2986"/>
      <c r="D325" s="2986"/>
      <c r="E325" s="2986"/>
      <c r="F325" s="2975">
        <v>0.05</v>
      </c>
      <c r="G325" s="2992"/>
    </row>
    <row r="326" spans="1:7" ht="14.25" thickBot="1">
      <c r="A326" s="2988" t="s">
        <v>306</v>
      </c>
      <c r="B326" s="2978" t="s">
        <v>3221</v>
      </c>
      <c r="C326" s="2980"/>
      <c r="D326" s="2980"/>
      <c r="E326" s="2980"/>
      <c r="F326" s="2979">
        <v>0.05</v>
      </c>
      <c r="G326" s="2993"/>
    </row>
    <row r="327" spans="1:7">
      <c r="A327" s="2984" t="s">
        <v>307</v>
      </c>
      <c r="B327" s="2970" t="s">
        <v>2853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2865</v>
      </c>
      <c r="C329" s="2975">
        <v>0.15</v>
      </c>
      <c r="D329" s="2975">
        <v>0.15</v>
      </c>
      <c r="E329" s="2975">
        <v>0.15</v>
      </c>
      <c r="F329" s="2975">
        <v>0.15</v>
      </c>
      <c r="G329" s="2976">
        <v>0.15</v>
      </c>
    </row>
    <row r="330" spans="1:7">
      <c r="A330" s="2985" t="s">
        <v>307</v>
      </c>
      <c r="B330" s="2974" t="s">
        <v>2869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2877</v>
      </c>
      <c r="C332" s="2975">
        <v>0.15</v>
      </c>
      <c r="D332" s="2975">
        <v>0.15</v>
      </c>
      <c r="E332" s="2975">
        <v>0.15</v>
      </c>
      <c r="F332" s="2975">
        <v>0.15</v>
      </c>
      <c r="G332" s="2976">
        <v>0.15</v>
      </c>
    </row>
    <row r="333" spans="1:7">
      <c r="A333" s="2985" t="s">
        <v>307</v>
      </c>
      <c r="B333" s="2974" t="s">
        <v>2881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2887</v>
      </c>
      <c r="C336" s="2975">
        <v>0.15</v>
      </c>
      <c r="D336" s="2975">
        <v>0.15</v>
      </c>
      <c r="E336" s="2975">
        <v>0.15</v>
      </c>
      <c r="F336" s="2975">
        <v>0.14199999999999999</v>
      </c>
      <c r="G336" s="2976">
        <v>0.15</v>
      </c>
    </row>
    <row r="337" spans="1:7">
      <c r="A337" s="2985" t="s">
        <v>307</v>
      </c>
      <c r="B337" s="2974" t="s">
        <v>2892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2912</v>
      </c>
      <c r="C345" s="2975">
        <v>0.15</v>
      </c>
      <c r="D345" s="2975">
        <v>0.15</v>
      </c>
      <c r="E345" s="2975">
        <v>0.15</v>
      </c>
      <c r="F345" s="2975">
        <v>0.13800000000000001</v>
      </c>
      <c r="G345" s="2976">
        <v>0.15</v>
      </c>
    </row>
    <row r="346" spans="1:7">
      <c r="A346" s="2985" t="s">
        <v>307</v>
      </c>
      <c r="B346" s="2974" t="s">
        <v>2914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2921</v>
      </c>
      <c r="C348" s="2975">
        <v>0.15</v>
      </c>
      <c r="D348" s="2975">
        <v>0.15</v>
      </c>
      <c r="E348" s="2975">
        <v>0.15</v>
      </c>
      <c r="F348" s="2975">
        <v>0.14399999999999999</v>
      </c>
      <c r="G348" s="2976">
        <v>0.15</v>
      </c>
    </row>
    <row r="349" spans="1:7">
      <c r="A349" s="2985" t="s">
        <v>307</v>
      </c>
      <c r="B349" s="2974" t="s">
        <v>2926</v>
      </c>
      <c r="C349" s="2975">
        <v>0.15</v>
      </c>
      <c r="D349" s="2975">
        <v>0.15</v>
      </c>
      <c r="E349" s="2975">
        <v>0.15</v>
      </c>
      <c r="F349" s="2975">
        <v>0.15</v>
      </c>
      <c r="G349" s="2976">
        <v>0.15</v>
      </c>
    </row>
    <row r="350" spans="1:7">
      <c r="A350" s="2985" t="s">
        <v>307</v>
      </c>
      <c r="B350" s="2974" t="s">
        <v>2929</v>
      </c>
      <c r="C350" s="2975">
        <v>0.15</v>
      </c>
      <c r="D350" s="2975">
        <v>0.15</v>
      </c>
      <c r="E350" s="2975">
        <v>0.15</v>
      </c>
      <c r="F350" s="2975">
        <v>0.14699999999999999</v>
      </c>
      <c r="G350" s="2976">
        <v>0.15</v>
      </c>
    </row>
    <row r="351" spans="1:7">
      <c r="A351" s="2985" t="s">
        <v>307</v>
      </c>
      <c r="B351" s="2974" t="s">
        <v>2934</v>
      </c>
      <c r="C351" s="2975">
        <v>0.15</v>
      </c>
      <c r="D351" s="2975">
        <v>0.15</v>
      </c>
      <c r="E351" s="2975">
        <v>0.15</v>
      </c>
      <c r="F351" s="2975">
        <v>0.13</v>
      </c>
      <c r="G351" s="2976">
        <v>0.15</v>
      </c>
    </row>
    <row r="352" spans="1:7">
      <c r="A352" s="2985" t="s">
        <v>307</v>
      </c>
      <c r="B352" s="2974" t="s">
        <v>2939</v>
      </c>
      <c r="C352" s="2975">
        <v>0.15</v>
      </c>
      <c r="D352" s="2975">
        <v>0.15</v>
      </c>
      <c r="E352" s="2975">
        <v>0.15</v>
      </c>
      <c r="F352" s="2975">
        <v>0.14599999999999999</v>
      </c>
      <c r="G352" s="2976">
        <v>0.15</v>
      </c>
    </row>
    <row r="353" spans="1:7">
      <c r="A353" s="2985" t="s">
        <v>307</v>
      </c>
      <c r="B353" s="2974" t="s">
        <v>2946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2959</v>
      </c>
      <c r="C355" s="2975">
        <v>0.15</v>
      </c>
      <c r="D355" s="2975">
        <v>0.15</v>
      </c>
      <c r="E355" s="2975">
        <v>0.15</v>
      </c>
      <c r="F355" s="2975">
        <v>0.15</v>
      </c>
      <c r="G355" s="2976">
        <v>0.15</v>
      </c>
    </row>
    <row r="356" spans="1:7">
      <c r="A356" s="2985" t="s">
        <v>307</v>
      </c>
      <c r="B356" s="2974" t="s">
        <v>2966</v>
      </c>
      <c r="C356" s="2975">
        <v>0.15</v>
      </c>
      <c r="D356" s="2975">
        <v>0.15</v>
      </c>
      <c r="E356" s="2975">
        <v>0.15</v>
      </c>
      <c r="F356" s="2975">
        <v>0.15</v>
      </c>
      <c r="G356" s="2976">
        <v>0.15</v>
      </c>
    </row>
    <row r="357" spans="1:7" ht="14.25" thickBot="1">
      <c r="A357" s="2988" t="s">
        <v>307</v>
      </c>
      <c r="B357" s="2978" t="s">
        <v>2971</v>
      </c>
      <c r="C357" s="2979">
        <v>0.126</v>
      </c>
      <c r="D357" s="2979">
        <v>0.127</v>
      </c>
      <c r="E357" s="2979">
        <v>0.14299999999999999</v>
      </c>
      <c r="F357" s="2979">
        <v>0.125</v>
      </c>
      <c r="G357" s="2981">
        <v>0.129</v>
      </c>
    </row>
    <row r="358" spans="1:7">
      <c r="A358" s="2984" t="s">
        <v>2840</v>
      </c>
      <c r="B358" s="2970" t="s">
        <v>2854</v>
      </c>
      <c r="C358" s="2971">
        <v>0.15</v>
      </c>
      <c r="D358" s="2971">
        <v>0.15</v>
      </c>
      <c r="E358" s="2971">
        <v>0.15</v>
      </c>
      <c r="F358" s="2971">
        <v>0.15</v>
      </c>
      <c r="G358" s="2972">
        <v>0.15</v>
      </c>
    </row>
    <row r="359" spans="1:7">
      <c r="A359" s="2985" t="s">
        <v>2840</v>
      </c>
      <c r="B359" s="2974" t="s">
        <v>2860</v>
      </c>
      <c r="C359" s="2975">
        <v>0.1</v>
      </c>
      <c r="D359" s="2975">
        <v>0.1</v>
      </c>
      <c r="E359" s="2975">
        <v>0.1</v>
      </c>
      <c r="F359" s="2975">
        <v>0.1</v>
      </c>
      <c r="G359" s="2976">
        <v>0.1</v>
      </c>
    </row>
    <row r="360" spans="1:7">
      <c r="A360" s="2985" t="s">
        <v>2840</v>
      </c>
      <c r="B360" s="2974" t="s">
        <v>2866</v>
      </c>
      <c r="C360" s="2975">
        <v>0.15</v>
      </c>
      <c r="D360" s="2975">
        <v>0.15</v>
      </c>
      <c r="E360" s="2975">
        <v>0.15</v>
      </c>
      <c r="F360" s="2975">
        <v>0.14899999999999999</v>
      </c>
      <c r="G360" s="2976">
        <v>0.15</v>
      </c>
    </row>
    <row r="361" spans="1:7">
      <c r="A361" s="2985" t="s">
        <v>2840</v>
      </c>
      <c r="B361" s="2974" t="s">
        <v>153</v>
      </c>
      <c r="C361" s="2975">
        <v>0.15</v>
      </c>
      <c r="D361" s="2975">
        <v>0.15</v>
      </c>
      <c r="E361" s="2975">
        <v>0.15</v>
      </c>
      <c r="F361" s="2975">
        <v>0.115</v>
      </c>
      <c r="G361" s="2976">
        <v>0.15</v>
      </c>
    </row>
    <row r="362" spans="1:7">
      <c r="A362" s="2985" t="s">
        <v>2840</v>
      </c>
      <c r="B362" s="2974" t="s">
        <v>2873</v>
      </c>
      <c r="C362" s="2975">
        <v>0.15</v>
      </c>
      <c r="D362" s="2975">
        <v>0.15</v>
      </c>
      <c r="E362" s="2975">
        <v>0.15</v>
      </c>
      <c r="F362" s="2975">
        <v>0.106</v>
      </c>
      <c r="G362" s="2976">
        <v>0.15</v>
      </c>
    </row>
    <row r="363" spans="1:7">
      <c r="A363" s="2985" t="s">
        <v>2840</v>
      </c>
      <c r="B363" s="2974" t="s">
        <v>2878</v>
      </c>
      <c r="C363" s="2975">
        <v>0.15</v>
      </c>
      <c r="D363" s="2975">
        <v>0.15</v>
      </c>
      <c r="E363" s="2975">
        <v>0.15</v>
      </c>
      <c r="F363" s="2975">
        <v>0.14699999999999999</v>
      </c>
      <c r="G363" s="2976">
        <v>0.15</v>
      </c>
    </row>
    <row r="364" spans="1:7">
      <c r="A364" s="2985" t="s">
        <v>2840</v>
      </c>
      <c r="B364" s="2974" t="s">
        <v>2882</v>
      </c>
      <c r="C364" s="2975">
        <v>0.15</v>
      </c>
      <c r="D364" s="2975">
        <v>0.15</v>
      </c>
      <c r="E364" s="2975">
        <v>0.15</v>
      </c>
      <c r="F364" s="2975">
        <v>0.14799999999999999</v>
      </c>
      <c r="G364" s="2976">
        <v>0.15</v>
      </c>
    </row>
    <row r="365" spans="1:7">
      <c r="A365" s="2985" t="s">
        <v>2840</v>
      </c>
      <c r="B365" s="2974" t="s">
        <v>200</v>
      </c>
      <c r="C365" s="2975">
        <v>0.15</v>
      </c>
      <c r="D365" s="2975">
        <v>0.15</v>
      </c>
      <c r="E365" s="2975">
        <v>0.15</v>
      </c>
      <c r="F365" s="2975">
        <v>0.15</v>
      </c>
      <c r="G365" s="2976">
        <v>0.15</v>
      </c>
    </row>
    <row r="366" spans="1:7">
      <c r="A366" s="2985" t="s">
        <v>2840</v>
      </c>
      <c r="B366" s="2974" t="s">
        <v>2885</v>
      </c>
      <c r="C366" s="2975">
        <v>0.15</v>
      </c>
      <c r="D366" s="2975">
        <v>0.15</v>
      </c>
      <c r="E366" s="2975">
        <v>0.15</v>
      </c>
      <c r="F366" s="2975">
        <v>0.15</v>
      </c>
      <c r="G366" s="2976">
        <v>0.15</v>
      </c>
    </row>
    <row r="367" spans="1:7">
      <c r="A367" s="2985" t="s">
        <v>2840</v>
      </c>
      <c r="B367" s="2974" t="s">
        <v>2888</v>
      </c>
      <c r="C367" s="2975">
        <v>0.15</v>
      </c>
      <c r="D367" s="2975">
        <v>0.15</v>
      </c>
      <c r="E367" s="2975">
        <v>0.15</v>
      </c>
      <c r="F367" s="2975">
        <v>0.14699999999999999</v>
      </c>
      <c r="G367" s="2976">
        <v>0.15</v>
      </c>
    </row>
    <row r="368" spans="1:7">
      <c r="A368" s="2985" t="s">
        <v>2840</v>
      </c>
      <c r="B368" s="2974" t="s">
        <v>2893</v>
      </c>
      <c r="C368" s="2975">
        <v>0.15</v>
      </c>
      <c r="D368" s="2975">
        <v>0.15</v>
      </c>
      <c r="E368" s="2975">
        <v>0.15</v>
      </c>
      <c r="F368" s="2975">
        <v>0.13600000000000001</v>
      </c>
      <c r="G368" s="2976">
        <v>0.15</v>
      </c>
    </row>
    <row r="369" spans="1:7">
      <c r="A369" s="2985" t="s">
        <v>2840</v>
      </c>
      <c r="B369" s="2974" t="s">
        <v>214</v>
      </c>
      <c r="C369" s="2975">
        <v>0.15</v>
      </c>
      <c r="D369" s="2975">
        <v>0.15</v>
      </c>
      <c r="E369" s="2975">
        <v>0.15</v>
      </c>
      <c r="F369" s="2975">
        <v>0.14399999999999999</v>
      </c>
      <c r="G369" s="2976">
        <v>0.15</v>
      </c>
    </row>
    <row r="370" spans="1:7">
      <c r="A370" s="2985" t="s">
        <v>2840</v>
      </c>
      <c r="B370" s="2974" t="s">
        <v>221</v>
      </c>
      <c r="C370" s="2975">
        <v>0.15</v>
      </c>
      <c r="D370" s="2975">
        <v>0.15</v>
      </c>
      <c r="E370" s="2975">
        <v>0.15</v>
      </c>
      <c r="F370" s="2975">
        <v>0.14599999999999999</v>
      </c>
      <c r="G370" s="2976">
        <v>0.15</v>
      </c>
    </row>
    <row r="371" spans="1:7">
      <c r="A371" s="2985" t="s">
        <v>2840</v>
      </c>
      <c r="B371" s="2974" t="s">
        <v>229</v>
      </c>
      <c r="C371" s="2975">
        <v>0.15</v>
      </c>
      <c r="D371" s="2975">
        <v>0.15</v>
      </c>
      <c r="E371" s="2975">
        <v>0.15</v>
      </c>
      <c r="F371" s="2975">
        <v>0.12</v>
      </c>
      <c r="G371" s="2976">
        <v>0.15</v>
      </c>
    </row>
    <row r="372" spans="1:7">
      <c r="A372" s="2985" t="s">
        <v>2840</v>
      </c>
      <c r="B372" s="2974" t="s">
        <v>2901</v>
      </c>
      <c r="C372" s="2975">
        <v>0.15</v>
      </c>
      <c r="D372" s="2975">
        <v>0.15</v>
      </c>
      <c r="E372" s="2975">
        <v>0.15</v>
      </c>
      <c r="F372" s="2975">
        <v>0.14299999999999999</v>
      </c>
      <c r="G372" s="2976">
        <v>0.15</v>
      </c>
    </row>
    <row r="373" spans="1:7">
      <c r="A373" s="2985" t="s">
        <v>2840</v>
      </c>
      <c r="B373" s="2974" t="s">
        <v>258</v>
      </c>
      <c r="C373" s="2975">
        <v>0.15</v>
      </c>
      <c r="D373" s="2975">
        <v>0.15</v>
      </c>
      <c r="E373" s="2975">
        <v>0.15</v>
      </c>
      <c r="F373" s="2975">
        <v>0.14599999999999999</v>
      </c>
      <c r="G373" s="2976">
        <v>0.15</v>
      </c>
    </row>
    <row r="374" spans="1:7">
      <c r="A374" s="2985" t="s">
        <v>2840</v>
      </c>
      <c r="B374" s="2974" t="s">
        <v>266</v>
      </c>
      <c r="C374" s="2975">
        <v>0.15</v>
      </c>
      <c r="D374" s="2975">
        <v>0.15</v>
      </c>
      <c r="E374" s="2975">
        <v>0.15</v>
      </c>
      <c r="F374" s="2975">
        <v>0.14399999999999999</v>
      </c>
      <c r="G374" s="2976">
        <v>0.15</v>
      </c>
    </row>
    <row r="375" spans="1:7">
      <c r="A375" s="2985" t="s">
        <v>2840</v>
      </c>
      <c r="B375" s="2974" t="s">
        <v>2909</v>
      </c>
      <c r="C375" s="2975">
        <v>0.15</v>
      </c>
      <c r="D375" s="2975">
        <v>0.15</v>
      </c>
      <c r="E375" s="2975">
        <v>0.15</v>
      </c>
      <c r="F375" s="2975">
        <v>0.13</v>
      </c>
      <c r="G375" s="2976">
        <v>0.15</v>
      </c>
    </row>
    <row r="376" spans="1:7">
      <c r="A376" s="2985" t="s">
        <v>2840</v>
      </c>
      <c r="B376" s="2974" t="s">
        <v>277</v>
      </c>
      <c r="C376" s="2975">
        <v>0.15</v>
      </c>
      <c r="D376" s="2975">
        <v>0.15</v>
      </c>
      <c r="E376" s="2975">
        <v>0.15</v>
      </c>
      <c r="F376" s="2975">
        <v>0.14199999999999999</v>
      </c>
      <c r="G376" s="2976">
        <v>0.15</v>
      </c>
    </row>
    <row r="377" spans="1:7" ht="14.25" thickBot="1">
      <c r="A377" s="2988" t="s">
        <v>2840</v>
      </c>
      <c r="B377" s="2978" t="s">
        <v>2915</v>
      </c>
      <c r="C377" s="2979">
        <v>0.15</v>
      </c>
      <c r="D377" s="2979">
        <v>0.15</v>
      </c>
      <c r="E377" s="2979">
        <v>0.15</v>
      </c>
      <c r="F377" s="2979">
        <v>0.14000000000000001</v>
      </c>
      <c r="G377" s="2981">
        <v>0.15</v>
      </c>
    </row>
    <row r="378" spans="1:7">
      <c r="A378" s="2984" t="s">
        <v>2841</v>
      </c>
      <c r="B378" s="2970" t="s">
        <v>2855</v>
      </c>
      <c r="C378" s="2971">
        <v>0.15</v>
      </c>
      <c r="D378" s="2971">
        <v>0.15</v>
      </c>
      <c r="E378" s="2971">
        <v>0.15</v>
      </c>
      <c r="F378" s="2971">
        <v>0.107</v>
      </c>
      <c r="G378" s="2972">
        <v>0.15</v>
      </c>
    </row>
    <row r="379" spans="1:7">
      <c r="A379" s="2985" t="s">
        <v>2841</v>
      </c>
      <c r="B379" s="2974" t="s">
        <v>2861</v>
      </c>
      <c r="C379" s="2975">
        <v>0.15</v>
      </c>
      <c r="D379" s="2975">
        <v>0.15</v>
      </c>
      <c r="E379" s="2975">
        <v>0.15</v>
      </c>
      <c r="F379" s="2975">
        <v>0.115</v>
      </c>
      <c r="G379" s="2976">
        <v>0.14899999999999999</v>
      </c>
    </row>
    <row r="380" spans="1:7">
      <c r="A380" s="2985" t="s">
        <v>2841</v>
      </c>
      <c r="B380" s="2974" t="s">
        <v>2867</v>
      </c>
      <c r="C380" s="2975">
        <v>0.15</v>
      </c>
      <c r="D380" s="2975">
        <v>0.15</v>
      </c>
      <c r="E380" s="2975">
        <v>0.15</v>
      </c>
      <c r="F380" s="2975">
        <v>0.1</v>
      </c>
      <c r="G380" s="2976">
        <v>0.14799999999999999</v>
      </c>
    </row>
    <row r="381" spans="1:7">
      <c r="A381" s="2985" t="s">
        <v>2841</v>
      </c>
      <c r="B381" s="2974" t="s">
        <v>2870</v>
      </c>
      <c r="C381" s="2975">
        <v>0.15</v>
      </c>
      <c r="D381" s="2975">
        <v>0.15</v>
      </c>
      <c r="E381" s="2975">
        <v>0.15</v>
      </c>
      <c r="F381" s="2975">
        <v>0.126</v>
      </c>
      <c r="G381" s="2976">
        <v>0.15</v>
      </c>
    </row>
    <row r="382" spans="1:7">
      <c r="A382" s="2985" t="s">
        <v>2841</v>
      </c>
      <c r="B382" s="2974" t="s">
        <v>2874</v>
      </c>
      <c r="C382" s="2975">
        <v>0.15</v>
      </c>
      <c r="D382" s="2975">
        <v>0.15</v>
      </c>
      <c r="E382" s="2975">
        <v>0.15</v>
      </c>
      <c r="F382" s="2975">
        <v>0.15</v>
      </c>
      <c r="G382" s="2976">
        <v>0.15</v>
      </c>
    </row>
    <row r="383" spans="1:7">
      <c r="A383" s="2985" t="s">
        <v>2841</v>
      </c>
      <c r="B383" s="2974" t="s">
        <v>2879</v>
      </c>
      <c r="C383" s="2975">
        <v>0.15</v>
      </c>
      <c r="D383" s="2975">
        <v>0.15</v>
      </c>
      <c r="E383" s="2975">
        <v>0.15</v>
      </c>
      <c r="F383" s="2975">
        <v>0.14699999999999999</v>
      </c>
      <c r="G383" s="2976">
        <v>0.15</v>
      </c>
    </row>
    <row r="384" spans="1:7" ht="14.25" thickBot="1">
      <c r="A384" s="2995" t="s">
        <v>2841</v>
      </c>
      <c r="B384" s="2996" t="s">
        <v>2883</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928</v>
      </c>
      <c r="B2" s="3208" t="s">
        <v>929</v>
      </c>
      <c r="C2" s="3208" t="s">
        <v>930</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
      <c r="A3" s="3203"/>
      <c r="B3" s="3203"/>
      <c r="C3" s="3203"/>
      <c r="D3" s="797" t="s">
        <v>925</v>
      </c>
      <c r="E3" s="797" t="s">
        <v>931</v>
      </c>
      <c r="F3" s="797" t="s">
        <v>925</v>
      </c>
      <c r="G3" s="797" t="s">
        <v>926</v>
      </c>
      <c r="H3" s="797" t="s">
        <v>925</v>
      </c>
      <c r="I3" s="797" t="s">
        <v>926</v>
      </c>
    </row>
    <row r="4" spans="1:9" ht="15">
      <c r="A4" s="1399" t="str">
        <f>项目基本情况!S2</f>
        <v>北京市房地产</v>
      </c>
      <c r="B4" s="797">
        <f>项目基本情况!C17</f>
        <v>74353.649999999776</v>
      </c>
      <c r="C4" s="797">
        <f>项目基本情况!C18</f>
        <v>25963.4</v>
      </c>
      <c r="D4" s="797">
        <f ca="1">结果表!D118</f>
        <v>114191</v>
      </c>
      <c r="E4" s="797">
        <f ca="1">结果表!E118</f>
        <v>15358</v>
      </c>
      <c r="F4" s="797">
        <f ca="1">结果表!F118</f>
        <v>16762</v>
      </c>
      <c r="G4" s="797">
        <f ca="1">结果表!G118</f>
        <v>2254</v>
      </c>
      <c r="H4" s="797">
        <f ca="1">结果表!H118</f>
        <v>130953</v>
      </c>
      <c r="I4" s="797">
        <f ca="1">结果表!I118</f>
        <v>17612</v>
      </c>
    </row>
    <row r="5" spans="1:9" ht="30" customHeight="1">
      <c r="A5" s="3203" t="s">
        <v>927</v>
      </c>
      <c r="B5" s="3203"/>
      <c r="C5" s="3203"/>
      <c r="D5" s="3203" t="str">
        <f ca="1">结果表!D119</f>
        <v>壹拾壹亿肆仟壹佰玖拾壹万元整</v>
      </c>
      <c r="E5" s="3203"/>
      <c r="F5" s="3203" t="str">
        <f ca="1">结果表!F119</f>
        <v>壹亿陆仟柒佰陆拾贰万元整</v>
      </c>
      <c r="G5" s="3203"/>
      <c r="H5" s="3203" t="str">
        <f ca="1">结果表!H119</f>
        <v>壹拾叁亿零玖佰伍拾叁万元整</v>
      </c>
      <c r="I5" s="3203"/>
    </row>
    <row r="6" spans="1:9" ht="15.75">
      <c r="A6" s="3202" t="str">
        <f>结果表!A120</f>
        <v>估价师知悉的法定优先受偿款</v>
      </c>
      <c r="B6" s="3202"/>
      <c r="C6" s="3202"/>
      <c r="D6" s="3202">
        <f>结果表!D120</f>
        <v>0</v>
      </c>
      <c r="E6" s="3202"/>
      <c r="F6" s="3202"/>
      <c r="G6" s="3202"/>
      <c r="H6" s="3202"/>
      <c r="I6" s="3202"/>
    </row>
    <row r="7" spans="1:9" ht="15">
      <c r="A7" s="3203" t="s">
        <v>927</v>
      </c>
      <c r="B7" s="3203"/>
      <c r="C7" s="3203"/>
      <c r="D7" s="3204" t="str">
        <f>结果表!D121</f>
        <v>零元整</v>
      </c>
      <c r="E7" s="3205"/>
      <c r="F7" s="3205"/>
      <c r="G7" s="3205"/>
      <c r="H7" s="3205"/>
      <c r="I7" s="3206"/>
    </row>
    <row r="8" spans="1:9" ht="15.75">
      <c r="A8" s="3202" t="str">
        <f>结果表!A122</f>
        <v>房地产抵押价值</v>
      </c>
      <c r="B8" s="3202"/>
      <c r="C8" s="3202"/>
      <c r="D8" s="3202">
        <f ca="1">结果表!D122</f>
        <v>130953</v>
      </c>
      <c r="E8" s="3202"/>
      <c r="F8" s="3202"/>
      <c r="G8" s="3202"/>
      <c r="H8" s="3202"/>
      <c r="I8" s="3202"/>
    </row>
    <row r="9" spans="1:9" ht="15">
      <c r="A9" s="3203" t="s">
        <v>927</v>
      </c>
      <c r="B9" s="3203"/>
      <c r="C9" s="3203"/>
      <c r="D9" s="3203" t="str">
        <f ca="1">结果表!D123</f>
        <v>壹拾叁亿零玖佰伍拾叁万元整</v>
      </c>
      <c r="E9" s="3203"/>
      <c r="F9" s="3203"/>
      <c r="G9" s="3203"/>
      <c r="H9" s="3203"/>
      <c r="I9" s="3203"/>
    </row>
    <row r="10" spans="1:9" ht="15.75">
      <c r="A10" s="3202" t="str">
        <f>结果表!A124</f>
        <v/>
      </c>
      <c r="B10" s="3202"/>
      <c r="C10" s="3202"/>
      <c r="D10" s="3202" t="str">
        <f>结果表!D124</f>
        <v>——</v>
      </c>
      <c r="E10" s="3202"/>
      <c r="F10" s="3202"/>
      <c r="G10" s="3202"/>
      <c r="H10" s="3202"/>
      <c r="I10" s="3202"/>
    </row>
    <row r="11" spans="1:9" ht="15">
      <c r="A11" s="3203" t="s">
        <v>927</v>
      </c>
      <c r="B11" s="3203"/>
      <c r="C11" s="3203"/>
      <c r="D11" s="3203" t="e">
        <f>结果表!D125</f>
        <v>#VALUE!</v>
      </c>
      <c r="E11" s="3203"/>
      <c r="F11" s="3203"/>
      <c r="G11" s="3203"/>
      <c r="H11" s="3203"/>
      <c r="I11" s="3203"/>
    </row>
    <row r="12" spans="1:9" ht="15.75">
      <c r="A12" s="3202" t="str">
        <f>结果表!A126</f>
        <v/>
      </c>
      <c r="B12" s="3202"/>
      <c r="C12" s="3202"/>
      <c r="D12" s="3202" t="str">
        <f>结果表!D126</f>
        <v>——</v>
      </c>
      <c r="E12" s="3202"/>
      <c r="F12" s="3202"/>
      <c r="G12" s="3202"/>
      <c r="H12" s="3202"/>
      <c r="I12" s="3202"/>
    </row>
    <row r="13" spans="1:9" ht="15.75" thickBot="1">
      <c r="A13" s="3200" t="s">
        <v>927</v>
      </c>
      <c r="B13" s="3200"/>
      <c r="C13" s="3200"/>
      <c r="D13" s="3200" t="e">
        <f>结果表!D127</f>
        <v>#VALUE!</v>
      </c>
      <c r="E13" s="3200"/>
      <c r="F13" s="3200"/>
      <c r="G13" s="3200"/>
      <c r="H13" s="3200"/>
      <c r="I13" s="3200"/>
    </row>
    <row r="14" spans="1:9" ht="15" thickTop="1">
      <c r="A14" s="3201" t="s">
        <v>932</v>
      </c>
      <c r="B14" s="3201"/>
      <c r="C14" s="3201"/>
      <c r="D14" s="3201"/>
      <c r="E14" s="3201"/>
      <c r="F14" s="3201"/>
      <c r="G14" s="3201"/>
      <c r="H14" s="3201"/>
      <c r="I14" s="3201"/>
    </row>
    <row r="16" spans="1:9" ht="18.75">
      <c r="A16" s="1400"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0"/>
  </cols>
  <sheetData>
    <row r="1" spans="1:6" ht="14.25">
      <c r="A1" s="3513" t="s">
        <v>3222</v>
      </c>
      <c r="B1" s="3513"/>
      <c r="C1" s="3513"/>
      <c r="D1" s="3513"/>
      <c r="E1" s="3513"/>
      <c r="F1" s="3514"/>
    </row>
    <row r="2" spans="1:6" ht="14.25">
      <c r="A2" s="2999" t="s">
        <v>3223</v>
      </c>
    </row>
    <row r="3" spans="1:6" ht="14.25">
      <c r="A3" s="2999" t="s">
        <v>3224</v>
      </c>
      <c r="F3" s="3000" t="s">
        <v>3225</v>
      </c>
    </row>
    <row r="4" spans="1:6">
      <c r="A4" s="3001" t="s">
        <v>672</v>
      </c>
      <c r="B4" s="3001" t="s">
        <v>673</v>
      </c>
      <c r="C4" s="3001" t="s">
        <v>21</v>
      </c>
      <c r="D4" s="3001" t="s">
        <v>674</v>
      </c>
      <c r="E4" s="3001" t="s">
        <v>3</v>
      </c>
      <c r="F4" s="3001" t="s">
        <v>3226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18" t="s">
        <v>452</v>
      </c>
      <c r="C1" s="3518"/>
      <c r="D1" s="3518"/>
      <c r="E1" s="3518"/>
      <c r="F1" s="3518"/>
      <c r="G1" s="3418" t="s">
        <v>453</v>
      </c>
      <c r="H1" s="3418"/>
      <c r="I1" s="3418"/>
      <c r="J1" s="3418"/>
      <c r="K1" s="3418"/>
      <c r="L1" s="3418"/>
      <c r="N1" s="3418" t="s">
        <v>454</v>
      </c>
      <c r="O1" s="3418"/>
      <c r="P1" s="3418"/>
      <c r="Q1" s="3418"/>
      <c r="S1" s="3418" t="s">
        <v>455</v>
      </c>
      <c r="T1" s="3418"/>
      <c r="U1" s="3418"/>
      <c r="V1" s="3418"/>
      <c r="X1" s="3417" t="s">
        <v>456</v>
      </c>
      <c r="Y1" s="3418"/>
      <c r="Z1" s="3418"/>
      <c r="AA1" s="3418"/>
      <c r="AB1" s="3418"/>
      <c r="AD1" s="3417" t="s">
        <v>457</v>
      </c>
      <c r="AE1" s="3418"/>
      <c r="AF1" s="3418"/>
      <c r="AG1" s="3418"/>
      <c r="AH1" s="3418"/>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2113</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3351</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3348</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2114</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3349</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3350</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2426</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2303</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2302</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2301</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2298</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2297</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2129</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2127</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2126</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2125</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2123</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2122</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2124</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16">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2120</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16"/>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2119</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16"/>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2112</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23"/>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2110</v>
      </c>
      <c r="B25" s="2045">
        <v>439</v>
      </c>
      <c r="C25" s="2045">
        <v>327</v>
      </c>
      <c r="D25" s="2045">
        <f>C25</f>
        <v>327</v>
      </c>
      <c r="E25" s="2045">
        <v>627</v>
      </c>
      <c r="F25" s="2046">
        <v>283</v>
      </c>
      <c r="G25" s="3519">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2111</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16"/>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16"/>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23"/>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19">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16"/>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16"/>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17"/>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15">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16"/>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16"/>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17"/>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15">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16"/>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16"/>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17"/>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20">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21"/>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21"/>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22"/>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15">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16"/>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16"/>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17"/>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15">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16">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16">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17">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15">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16">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16">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17">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15">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16">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16">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17">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15">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16">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16">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17">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15">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16">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16">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17">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15">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16">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16">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17">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15">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16">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16">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17">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15">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16">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16">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17">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15">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16">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16">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17">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15">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16">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16">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17">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I8" sqref="I8:J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26" t="s">
        <v>2829</v>
      </c>
      <c r="B1" s="3526"/>
      <c r="C1" s="3526"/>
      <c r="D1" s="3526"/>
      <c r="E1" s="3526"/>
      <c r="F1" s="3526"/>
      <c r="G1" s="3527"/>
      <c r="I1" s="2935" t="s">
        <v>2830</v>
      </c>
      <c r="J1" s="2936" t="s">
        <v>2831</v>
      </c>
      <c r="K1" s="2936" t="s">
        <v>2832</v>
      </c>
      <c r="L1" s="2936" t="s">
        <v>2833</v>
      </c>
      <c r="M1" s="2936" t="s">
        <v>2834</v>
      </c>
      <c r="N1" s="2936" t="s">
        <v>2835</v>
      </c>
      <c r="O1" s="2936" t="s">
        <v>2836</v>
      </c>
      <c r="P1" s="2936" t="s">
        <v>2837</v>
      </c>
      <c r="Q1" s="2936" t="s">
        <v>2838</v>
      </c>
      <c r="R1" s="2936" t="s">
        <v>2839</v>
      </c>
      <c r="S1" s="2936" t="s">
        <v>2840</v>
      </c>
      <c r="T1" s="2937" t="s">
        <v>2841</v>
      </c>
    </row>
    <row r="2" spans="1:20" ht="12" thickBot="1">
      <c r="A2" s="2938" t="s">
        <v>2842</v>
      </c>
      <c r="B2" s="2938"/>
      <c r="C2" s="2938"/>
      <c r="D2" s="2938"/>
      <c r="E2" s="2938"/>
      <c r="F2" s="2938"/>
      <c r="G2" s="2939" t="s">
        <v>2843</v>
      </c>
      <c r="I2" s="2940" t="s">
        <v>2844</v>
      </c>
      <c r="J2" s="2940" t="s">
        <v>2845</v>
      </c>
      <c r="K2" s="2940" t="s">
        <v>2846</v>
      </c>
      <c r="L2" s="2940" t="s">
        <v>2847</v>
      </c>
      <c r="M2" s="2940" t="s">
        <v>2848</v>
      </c>
      <c r="N2" s="2940" t="s">
        <v>2849</v>
      </c>
      <c r="O2" s="2940" t="s">
        <v>2850</v>
      </c>
      <c r="P2" s="2940" t="s">
        <v>2851</v>
      </c>
      <c r="Q2" s="2940" t="s">
        <v>2852</v>
      </c>
      <c r="R2" s="2940" t="s">
        <v>2853</v>
      </c>
      <c r="S2" s="2940" t="s">
        <v>2854</v>
      </c>
      <c r="T2" s="2940" t="s">
        <v>2855</v>
      </c>
    </row>
    <row r="3" spans="1:20" s="2946" customFormat="1">
      <c r="A3" s="3524" t="s">
        <v>2856</v>
      </c>
      <c r="B3" s="2941"/>
      <c r="C3" s="2942" t="s">
        <v>2801</v>
      </c>
      <c r="D3" s="2942" t="s">
        <v>2857</v>
      </c>
      <c r="E3" s="2942" t="s">
        <v>2803</v>
      </c>
      <c r="F3" s="2942" t="s">
        <v>2858</v>
      </c>
      <c r="G3" s="2942" t="s">
        <v>2621</v>
      </c>
      <c r="H3" s="2943"/>
      <c r="I3" s="2944" t="s">
        <v>2859</v>
      </c>
      <c r="J3" s="2945" t="s">
        <v>128</v>
      </c>
      <c r="K3" s="2945" t="s">
        <v>129</v>
      </c>
      <c r="L3" s="2944" t="s">
        <v>130</v>
      </c>
      <c r="M3" s="2944" t="s">
        <v>131</v>
      </c>
      <c r="N3" s="2944" t="s">
        <v>132</v>
      </c>
      <c r="O3" s="2944" t="s">
        <v>133</v>
      </c>
      <c r="P3" s="2944" t="s">
        <v>134</v>
      </c>
      <c r="Q3" s="2944" t="s">
        <v>135</v>
      </c>
      <c r="R3" s="2944" t="s">
        <v>136</v>
      </c>
      <c r="S3" s="2944" t="s">
        <v>2860</v>
      </c>
      <c r="T3" s="2944" t="s">
        <v>2861</v>
      </c>
    </row>
    <row r="4" spans="1:20" s="2946" customFormat="1" ht="12" thickBot="1">
      <c r="A4" s="3525"/>
      <c r="B4" s="2947" t="s">
        <v>2862</v>
      </c>
      <c r="C4" s="2947" t="s">
        <v>2863</v>
      </c>
      <c r="D4" s="2947" t="s">
        <v>2863</v>
      </c>
      <c r="E4" s="2947" t="s">
        <v>2863</v>
      </c>
      <c r="F4" s="2948" t="s">
        <v>2863</v>
      </c>
      <c r="G4" s="2948" t="s">
        <v>2863</v>
      </c>
      <c r="H4" s="2943"/>
      <c r="I4" s="2945" t="s">
        <v>137</v>
      </c>
      <c r="J4" s="2945" t="s">
        <v>111</v>
      </c>
      <c r="K4" s="2945" t="s">
        <v>138</v>
      </c>
      <c r="L4" s="2944" t="s">
        <v>139</v>
      </c>
      <c r="M4" s="2944" t="s">
        <v>140</v>
      </c>
      <c r="N4" s="2944" t="s">
        <v>141</v>
      </c>
      <c r="O4" s="2944" t="s">
        <v>142</v>
      </c>
      <c r="P4" s="2944" t="s">
        <v>143</v>
      </c>
      <c r="Q4" s="2944" t="s">
        <v>2864</v>
      </c>
      <c r="R4" s="2944" t="s">
        <v>2865</v>
      </c>
      <c r="S4" s="2944" t="s">
        <v>2866</v>
      </c>
      <c r="T4" s="2944" t="s">
        <v>2867</v>
      </c>
    </row>
    <row r="5" spans="1:20">
      <c r="A5" s="2949" t="s">
        <v>2830</v>
      </c>
      <c r="B5" s="2940" t="s">
        <v>2844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2868</v>
      </c>
      <c r="R5" s="2944" t="s">
        <v>2869</v>
      </c>
      <c r="S5" s="2944" t="s">
        <v>153</v>
      </c>
      <c r="T5" s="2944" t="s">
        <v>2870</v>
      </c>
    </row>
    <row r="6" spans="1:20" ht="12" thickBot="1">
      <c r="A6" s="2944" t="s">
        <v>144</v>
      </c>
      <c r="B6" s="2944" t="s">
        <v>2859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2871</v>
      </c>
      <c r="Q6" s="2944" t="s">
        <v>2872</v>
      </c>
      <c r="R6" s="2944" t="s">
        <v>161</v>
      </c>
      <c r="S6" s="2944" t="s">
        <v>2873</v>
      </c>
      <c r="T6" s="2944" t="s">
        <v>2874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2875</v>
      </c>
      <c r="Q7" s="2944" t="s">
        <v>2876</v>
      </c>
      <c r="R7" s="2944" t="s">
        <v>2877</v>
      </c>
      <c r="S7" s="2944" t="s">
        <v>2878</v>
      </c>
      <c r="T7" s="2944" t="s">
        <v>2879</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2880</v>
      </c>
      <c r="Q8" s="2944" t="s">
        <v>174</v>
      </c>
      <c r="R8" s="2944" t="s">
        <v>2881</v>
      </c>
      <c r="S8" s="2944" t="s">
        <v>2882</v>
      </c>
      <c r="T8" s="2951" t="s">
        <v>2883</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2884</v>
      </c>
      <c r="Q9" s="2944" t="s">
        <v>182</v>
      </c>
      <c r="R9" s="2944" t="s">
        <v>183</v>
      </c>
      <c r="S9" s="2944" t="s">
        <v>200</v>
      </c>
    </row>
    <row r="10" spans="1:20">
      <c r="A10" s="2949" t="s">
        <v>184</v>
      </c>
      <c r="B10" s="2940" t="s">
        <v>2845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2886</v>
      </c>
      <c r="P11" s="2944" t="s">
        <v>191</v>
      </c>
      <c r="Q11" s="2944" t="s">
        <v>199</v>
      </c>
      <c r="R11" s="2944" t="s">
        <v>2887</v>
      </c>
      <c r="S11" s="2944" t="s">
        <v>2888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2889</v>
      </c>
      <c r="P12" s="2944" t="s">
        <v>2890</v>
      </c>
      <c r="Q12" s="2944" t="s">
        <v>2891</v>
      </c>
      <c r="R12" s="2944" t="s">
        <v>2892</v>
      </c>
      <c r="S12" s="2944" t="s">
        <v>2893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2895</v>
      </c>
      <c r="K14" s="2945" t="s">
        <v>215</v>
      </c>
      <c r="L14" s="2944" t="s">
        <v>216</v>
      </c>
      <c r="M14" s="2944" t="s">
        <v>217</v>
      </c>
      <c r="N14" s="2944" t="s">
        <v>218</v>
      </c>
      <c r="O14" s="2944" t="s">
        <v>240</v>
      </c>
      <c r="P14" s="2944" t="s">
        <v>213</v>
      </c>
      <c r="Q14" s="2944" t="s">
        <v>2896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2897</v>
      </c>
      <c r="P15" s="2944" t="s">
        <v>2898</v>
      </c>
      <c r="Q15" s="2944" t="s">
        <v>242</v>
      </c>
      <c r="R15" s="2944" t="s">
        <v>2899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2900</v>
      </c>
      <c r="P16" s="2944" t="s">
        <v>227</v>
      </c>
      <c r="Q16" s="2944" t="s">
        <v>250</v>
      </c>
      <c r="R16" s="2944" t="s">
        <v>207</v>
      </c>
      <c r="S16" s="2944" t="s">
        <v>2901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2902</v>
      </c>
      <c r="P17" s="2944" t="s">
        <v>2903</v>
      </c>
      <c r="Q17" s="2944" t="s">
        <v>256</v>
      </c>
      <c r="R17" s="2944" t="s">
        <v>2904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2905</v>
      </c>
      <c r="P18" s="2944" t="s">
        <v>241</v>
      </c>
      <c r="Q18" s="2944" t="s">
        <v>2906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2907</v>
      </c>
      <c r="P19" s="2944" t="s">
        <v>249</v>
      </c>
      <c r="Q19" s="2944" t="s">
        <v>2908</v>
      </c>
      <c r="R19" s="2944" t="s">
        <v>265</v>
      </c>
      <c r="S19" s="2944" t="s">
        <v>2909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2910</v>
      </c>
      <c r="P20" s="2944" t="s">
        <v>2911</v>
      </c>
      <c r="Q20" s="2944" t="s">
        <v>290</v>
      </c>
      <c r="R20" s="2944" t="s">
        <v>2912</v>
      </c>
      <c r="S20" s="2944" t="s">
        <v>277</v>
      </c>
    </row>
    <row r="21" spans="1:19" ht="14.25" customHeight="1" thickBot="1">
      <c r="A21" s="2944" t="s">
        <v>184</v>
      </c>
      <c r="B21" s="2945" t="s">
        <v>208</v>
      </c>
      <c r="C21" s="2944">
        <v>32370</v>
      </c>
      <c r="D21" s="2944">
        <v>26730</v>
      </c>
      <c r="E21" s="2944">
        <v>26640</v>
      </c>
      <c r="F21" s="2944"/>
      <c r="G21" s="2944">
        <v>19440</v>
      </c>
      <c r="J21" s="2951" t="s">
        <v>2913</v>
      </c>
      <c r="K21" s="2945" t="s">
        <v>267</v>
      </c>
      <c r="L21" s="2944" t="s">
        <v>268</v>
      </c>
      <c r="M21" s="2944" t="s">
        <v>269</v>
      </c>
      <c r="N21" s="2944" t="s">
        <v>270</v>
      </c>
      <c r="O21" s="2944" t="s">
        <v>264</v>
      </c>
      <c r="P21" s="2944" t="s">
        <v>283</v>
      </c>
      <c r="Q21" s="2944" t="s">
        <v>293</v>
      </c>
      <c r="R21" s="2944" t="s">
        <v>2914</v>
      </c>
      <c r="S21" s="2951" t="s">
        <v>2915</v>
      </c>
    </row>
    <row r="22" spans="1:19" ht="14.25" customHeight="1">
      <c r="A22" s="2944" t="s">
        <v>184</v>
      </c>
      <c r="B22" s="2945" t="s">
        <v>2895</v>
      </c>
      <c r="C22" s="2944">
        <v>29830</v>
      </c>
      <c r="D22" s="2944">
        <v>27600</v>
      </c>
      <c r="E22" s="2944">
        <v>28150</v>
      </c>
      <c r="F22" s="2944"/>
      <c r="G22" s="2944">
        <v>20080</v>
      </c>
      <c r="K22" s="2945" t="s">
        <v>2916</v>
      </c>
      <c r="L22" s="2944" t="s">
        <v>272</v>
      </c>
      <c r="M22" s="2944" t="s">
        <v>273</v>
      </c>
      <c r="N22" s="2944" t="s">
        <v>274</v>
      </c>
      <c r="O22" s="2944" t="s">
        <v>2917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2918</v>
      </c>
      <c r="L23" s="2944" t="s">
        <v>278</v>
      </c>
      <c r="M23" s="2944" t="s">
        <v>279</v>
      </c>
      <c r="N23" s="2944" t="s">
        <v>2919</v>
      </c>
      <c r="O23" s="2944" t="s">
        <v>2920</v>
      </c>
      <c r="P23" s="2944" t="s">
        <v>289</v>
      </c>
      <c r="Q23" s="2944" t="s">
        <v>298</v>
      </c>
      <c r="R23" s="2944" t="s">
        <v>2921</v>
      </c>
    </row>
    <row r="24" spans="1:19" ht="14.25" customHeight="1">
      <c r="A24" s="2944" t="s">
        <v>184</v>
      </c>
      <c r="B24" s="2945" t="s">
        <v>230</v>
      </c>
      <c r="C24" s="2944">
        <v>27930</v>
      </c>
      <c r="D24" s="2944">
        <v>32260</v>
      </c>
      <c r="E24" s="2944">
        <v>32120</v>
      </c>
      <c r="F24" s="2944"/>
      <c r="G24" s="2944">
        <v>23470</v>
      </c>
      <c r="K24" s="2945" t="s">
        <v>2922</v>
      </c>
      <c r="L24" s="2944" t="s">
        <v>281</v>
      </c>
      <c r="M24" s="2944" t="s">
        <v>282</v>
      </c>
      <c r="N24" s="2944" t="s">
        <v>2923</v>
      </c>
      <c r="O24" s="2944" t="s">
        <v>285</v>
      </c>
      <c r="P24" s="2944" t="s">
        <v>2924</v>
      </c>
      <c r="Q24" s="2953" t="s">
        <v>2925</v>
      </c>
      <c r="R24" s="2944" t="s">
        <v>2926</v>
      </c>
    </row>
    <row r="25" spans="1:19" ht="14.25" customHeight="1">
      <c r="A25" s="2944" t="s">
        <v>184</v>
      </c>
      <c r="B25" s="2945" t="s">
        <v>235</v>
      </c>
      <c r="C25" s="2944">
        <v>32230</v>
      </c>
      <c r="D25" s="2944">
        <v>29640</v>
      </c>
      <c r="E25" s="2944">
        <v>29510</v>
      </c>
      <c r="F25" s="2944"/>
      <c r="G25" s="2944">
        <v>21560</v>
      </c>
      <c r="K25" s="2945" t="s">
        <v>2927</v>
      </c>
      <c r="L25" s="2944" t="s">
        <v>2928</v>
      </c>
      <c r="M25" s="2944" t="s">
        <v>284</v>
      </c>
      <c r="N25" s="2944" t="s">
        <v>292</v>
      </c>
      <c r="O25" s="2944" t="s">
        <v>288</v>
      </c>
      <c r="P25" s="2944" t="s">
        <v>275</v>
      </c>
      <c r="Q25" s="2953" t="s">
        <v>271</v>
      </c>
      <c r="R25" s="2944" t="s">
        <v>2929</v>
      </c>
    </row>
    <row r="26" spans="1:19" ht="14.25" customHeight="1" thickBot="1">
      <c r="A26" s="2944" t="s">
        <v>184</v>
      </c>
      <c r="B26" s="2945" t="s">
        <v>244</v>
      </c>
      <c r="C26" s="2944">
        <v>31690</v>
      </c>
      <c r="D26" s="2944">
        <v>27650</v>
      </c>
      <c r="E26" s="2944">
        <v>28200</v>
      </c>
      <c r="F26" s="2944"/>
      <c r="G26" s="2944">
        <v>20110</v>
      </c>
      <c r="K26" s="2950" t="s">
        <v>2930</v>
      </c>
      <c r="L26" s="2944" t="s">
        <v>2931</v>
      </c>
      <c r="M26" s="2944" t="s">
        <v>287</v>
      </c>
      <c r="N26" s="2944" t="s">
        <v>294</v>
      </c>
      <c r="O26" s="2944" t="s">
        <v>2932</v>
      </c>
      <c r="P26" s="2944" t="s">
        <v>2933</v>
      </c>
      <c r="Q26" s="2953" t="s">
        <v>276</v>
      </c>
      <c r="R26" s="2944" t="s">
        <v>2934</v>
      </c>
    </row>
    <row r="27" spans="1:19" ht="14.25" customHeight="1">
      <c r="A27" s="2944" t="s">
        <v>184</v>
      </c>
      <c r="B27" s="2945" t="s">
        <v>251</v>
      </c>
      <c r="C27" s="2944">
        <v>29610</v>
      </c>
      <c r="D27" s="2944">
        <v>27770</v>
      </c>
      <c r="E27" s="2944">
        <v>28300</v>
      </c>
      <c r="F27" s="2944"/>
      <c r="G27" s="2944">
        <v>20210</v>
      </c>
      <c r="L27" s="2944" t="s">
        <v>2935</v>
      </c>
      <c r="M27" s="2944" t="s">
        <v>291</v>
      </c>
      <c r="N27" s="2944" t="s">
        <v>297</v>
      </c>
      <c r="O27" s="2944" t="s">
        <v>2936</v>
      </c>
      <c r="P27" s="2944" t="s">
        <v>2937</v>
      </c>
      <c r="Q27" s="2944" t="s">
        <v>2938</v>
      </c>
      <c r="R27" s="2944" t="s">
        <v>2939</v>
      </c>
    </row>
    <row r="28" spans="1:19" ht="14.25" customHeight="1">
      <c r="A28" s="2944" t="s">
        <v>184</v>
      </c>
      <c r="B28" s="2945" t="s">
        <v>259</v>
      </c>
      <c r="C28" s="2944"/>
      <c r="D28" s="2944">
        <v>31520</v>
      </c>
      <c r="E28" s="2944">
        <v>31410</v>
      </c>
      <c r="F28" s="2944"/>
      <c r="G28" s="2944">
        <v>22940</v>
      </c>
      <c r="L28" s="2944" t="s">
        <v>2940</v>
      </c>
      <c r="M28" s="2944" t="s">
        <v>2941</v>
      </c>
      <c r="N28" s="2944" t="s">
        <v>2942</v>
      </c>
      <c r="O28" s="2944" t="s">
        <v>2943</v>
      </c>
      <c r="P28" s="2944" t="s">
        <v>2944</v>
      </c>
      <c r="Q28" s="2944" t="s">
        <v>2945</v>
      </c>
      <c r="R28" s="2944" t="s">
        <v>2946</v>
      </c>
    </row>
    <row r="29" spans="1:19" ht="14.25" customHeight="1" thickBot="1">
      <c r="A29" s="2952" t="s">
        <v>184</v>
      </c>
      <c r="B29" s="2954" t="s">
        <v>2913</v>
      </c>
      <c r="C29" s="2955"/>
      <c r="D29" s="2955">
        <v>29460</v>
      </c>
      <c r="E29" s="2955">
        <v>28640</v>
      </c>
      <c r="F29" s="2955"/>
      <c r="G29" s="2955">
        <v>21430</v>
      </c>
      <c r="L29" s="2944" t="s">
        <v>2947</v>
      </c>
      <c r="M29" s="2944" t="s">
        <v>2948</v>
      </c>
      <c r="N29" s="2944" t="s">
        <v>2949</v>
      </c>
      <c r="O29" s="2944" t="s">
        <v>2950</v>
      </c>
      <c r="P29" s="2944" t="s">
        <v>2951</v>
      </c>
      <c r="Q29" s="2944" t="s">
        <v>2952</v>
      </c>
      <c r="R29" s="2944" t="s">
        <v>280</v>
      </c>
    </row>
    <row r="30" spans="1:19" ht="14.25" customHeight="1">
      <c r="A30" s="2949" t="s">
        <v>296</v>
      </c>
      <c r="B30" s="2940" t="s">
        <v>2846</v>
      </c>
      <c r="C30" s="2940">
        <v>26890</v>
      </c>
      <c r="D30" s="2940">
        <v>26770</v>
      </c>
      <c r="E30" s="2940">
        <v>25700</v>
      </c>
      <c r="F30" s="2940">
        <v>8180</v>
      </c>
      <c r="G30" s="2956">
        <v>18740</v>
      </c>
      <c r="L30" s="2944" t="s">
        <v>2953</v>
      </c>
      <c r="M30" s="2944" t="s">
        <v>2954</v>
      </c>
      <c r="N30" s="2944" t="s">
        <v>2955</v>
      </c>
      <c r="O30" s="2944" t="s">
        <v>2956</v>
      </c>
      <c r="P30" s="2944" t="s">
        <v>2957</v>
      </c>
      <c r="Q30" s="2944" t="s">
        <v>2958</v>
      </c>
      <c r="R30" s="2944" t="s">
        <v>2959</v>
      </c>
    </row>
    <row r="31" spans="1:19" ht="14.25" customHeight="1">
      <c r="A31" s="2944" t="s">
        <v>296</v>
      </c>
      <c r="B31" s="2945" t="s">
        <v>129</v>
      </c>
      <c r="C31" s="2944">
        <v>24550</v>
      </c>
      <c r="D31" s="2944">
        <v>23990</v>
      </c>
      <c r="E31" s="2944">
        <v>22930</v>
      </c>
      <c r="F31" s="2944">
        <v>7470</v>
      </c>
      <c r="G31" s="2957">
        <v>16790</v>
      </c>
      <c r="L31" s="2944" t="s">
        <v>2960</v>
      </c>
      <c r="M31" s="2944" t="s">
        <v>2961</v>
      </c>
      <c r="N31" s="2944" t="s">
        <v>2962</v>
      </c>
      <c r="O31" s="2944" t="s">
        <v>2963</v>
      </c>
      <c r="P31" s="2944" t="s">
        <v>2964</v>
      </c>
      <c r="Q31" s="2944" t="s">
        <v>2965</v>
      </c>
      <c r="R31" s="2944" t="s">
        <v>2966</v>
      </c>
    </row>
    <row r="32" spans="1:19" ht="14.25" customHeight="1" thickBot="1">
      <c r="A32" s="2944" t="s">
        <v>296</v>
      </c>
      <c r="B32" s="2945" t="s">
        <v>138</v>
      </c>
      <c r="C32" s="2944">
        <v>27210</v>
      </c>
      <c r="D32" s="2944">
        <v>23240</v>
      </c>
      <c r="E32" s="2944">
        <v>23260</v>
      </c>
      <c r="F32" s="2944">
        <v>7130</v>
      </c>
      <c r="G32" s="2957">
        <v>16270</v>
      </c>
      <c r="L32" s="2944" t="s">
        <v>2967</v>
      </c>
      <c r="M32" s="2944" t="s">
        <v>2968</v>
      </c>
      <c r="N32" s="2944" t="s">
        <v>300</v>
      </c>
      <c r="O32" s="2944" t="s">
        <v>2969</v>
      </c>
      <c r="P32" s="2944" t="s">
        <v>299</v>
      </c>
      <c r="Q32" s="2944" t="s">
        <v>2970</v>
      </c>
      <c r="R32" s="2951" t="s">
        <v>2971</v>
      </c>
    </row>
    <row r="33" spans="1:17" ht="14.25" customHeight="1" thickBot="1">
      <c r="A33" s="2944" t="s">
        <v>296</v>
      </c>
      <c r="B33" s="2945" t="s">
        <v>147</v>
      </c>
      <c r="C33" s="2944">
        <v>27300</v>
      </c>
      <c r="D33" s="2944">
        <v>22980</v>
      </c>
      <c r="E33" s="2944">
        <v>24260</v>
      </c>
      <c r="F33" s="2944">
        <v>5860</v>
      </c>
      <c r="G33" s="2957">
        <v>16090</v>
      </c>
      <c r="L33" s="2951" t="s">
        <v>2972</v>
      </c>
      <c r="M33" s="2944" t="s">
        <v>2973</v>
      </c>
      <c r="N33" s="2944" t="s">
        <v>301</v>
      </c>
      <c r="O33" s="2944" t="s">
        <v>2974</v>
      </c>
      <c r="P33" s="2944" t="s">
        <v>2975</v>
      </c>
      <c r="Q33" s="2944" t="s">
        <v>2976</v>
      </c>
    </row>
    <row r="34" spans="1:17" ht="14.25" customHeight="1">
      <c r="A34" s="2944" t="s">
        <v>296</v>
      </c>
      <c r="B34" s="2945" t="s">
        <v>156</v>
      </c>
      <c r="C34" s="2944">
        <v>23090</v>
      </c>
      <c r="D34" s="2944">
        <v>23390</v>
      </c>
      <c r="E34" s="2944">
        <v>23510</v>
      </c>
      <c r="F34" s="2944">
        <v>6700</v>
      </c>
      <c r="G34" s="2957">
        <v>16370</v>
      </c>
      <c r="M34" s="2944" t="s">
        <v>2977</v>
      </c>
      <c r="N34" s="2944" t="s">
        <v>302</v>
      </c>
      <c r="O34" s="2944" t="s">
        <v>2978</v>
      </c>
      <c r="P34" s="2944" t="s">
        <v>2979</v>
      </c>
      <c r="Q34" s="2944" t="s">
        <v>2980</v>
      </c>
    </row>
    <row r="35" spans="1:17" ht="14.25" customHeight="1">
      <c r="A35" s="2944" t="s">
        <v>296</v>
      </c>
      <c r="B35" s="2945" t="s">
        <v>163</v>
      </c>
      <c r="C35" s="2944">
        <v>27270</v>
      </c>
      <c r="D35" s="2944">
        <v>24270</v>
      </c>
      <c r="E35" s="2944">
        <v>24950</v>
      </c>
      <c r="F35" s="2944">
        <v>6600</v>
      </c>
      <c r="G35" s="2957">
        <v>16990</v>
      </c>
      <c r="M35" s="2944" t="s">
        <v>2981</v>
      </c>
      <c r="N35" s="2944" t="s">
        <v>2982</v>
      </c>
      <c r="O35" s="2944" t="s">
        <v>2983</v>
      </c>
      <c r="P35" s="2944" t="s">
        <v>2984</v>
      </c>
      <c r="Q35" s="2944" t="s">
        <v>2985</v>
      </c>
    </row>
    <row r="36" spans="1:17" ht="14.25" customHeight="1">
      <c r="A36" s="2944" t="s">
        <v>296</v>
      </c>
      <c r="B36" s="2945" t="s">
        <v>169</v>
      </c>
      <c r="C36" s="2944">
        <v>23490</v>
      </c>
      <c r="D36" s="2944">
        <v>23020</v>
      </c>
      <c r="E36" s="2944">
        <v>25230</v>
      </c>
      <c r="F36" s="2944">
        <v>6780</v>
      </c>
      <c r="G36" s="2957">
        <v>16120</v>
      </c>
      <c r="M36" s="2944" t="s">
        <v>2986</v>
      </c>
      <c r="N36" s="2944" t="s">
        <v>2987</v>
      </c>
      <c r="O36" s="2944" t="s">
        <v>2988</v>
      </c>
      <c r="P36" s="2944" t="s">
        <v>2989</v>
      </c>
      <c r="Q36" s="2944" t="s">
        <v>2990</v>
      </c>
    </row>
    <row r="37" spans="1:17" ht="14.25" customHeight="1">
      <c r="A37" s="2944" t="s">
        <v>296</v>
      </c>
      <c r="B37" s="2945" t="s">
        <v>176</v>
      </c>
      <c r="C37" s="2944">
        <v>24380</v>
      </c>
      <c r="D37" s="2944">
        <v>22240</v>
      </c>
      <c r="E37" s="2944">
        <v>25980</v>
      </c>
      <c r="F37" s="2944">
        <v>8160</v>
      </c>
      <c r="G37" s="2957">
        <v>15570</v>
      </c>
      <c r="M37" s="2944" t="s">
        <v>2991</v>
      </c>
      <c r="N37" s="2944" t="s">
        <v>2992</v>
      </c>
      <c r="O37" s="2944" t="s">
        <v>2993</v>
      </c>
      <c r="P37" s="2944" t="s">
        <v>2994</v>
      </c>
      <c r="Q37" s="2944" t="s">
        <v>2995</v>
      </c>
    </row>
    <row r="38" spans="1:17" ht="14.25" customHeight="1">
      <c r="A38" s="2944" t="s">
        <v>296</v>
      </c>
      <c r="B38" s="2945" t="s">
        <v>186</v>
      </c>
      <c r="C38" s="2944">
        <v>23120</v>
      </c>
      <c r="D38" s="2944">
        <v>24630</v>
      </c>
      <c r="E38" s="2944">
        <v>25030</v>
      </c>
      <c r="F38" s="2944">
        <v>7710</v>
      </c>
      <c r="G38" s="2957">
        <v>17240</v>
      </c>
      <c r="M38" s="2944" t="s">
        <v>2996</v>
      </c>
      <c r="N38" s="2944" t="s">
        <v>2997</v>
      </c>
      <c r="O38" s="2944" t="s">
        <v>2998</v>
      </c>
      <c r="P38" s="2944" t="s">
        <v>2999</v>
      </c>
      <c r="Q38" s="2944" t="s">
        <v>3000</v>
      </c>
    </row>
    <row r="39" spans="1:17" ht="14.25" customHeight="1">
      <c r="A39" s="2944" t="s">
        <v>296</v>
      </c>
      <c r="B39" s="2945" t="s">
        <v>195</v>
      </c>
      <c r="C39" s="2944">
        <v>22330</v>
      </c>
      <c r="D39" s="2944">
        <v>21140</v>
      </c>
      <c r="E39" s="2944">
        <v>23970</v>
      </c>
      <c r="F39" s="2944">
        <v>7940</v>
      </c>
      <c r="G39" s="2957">
        <v>14790</v>
      </c>
      <c r="M39" s="2944" t="s">
        <v>3001</v>
      </c>
      <c r="N39" s="2944" t="s">
        <v>3002</v>
      </c>
      <c r="O39" s="2944" t="s">
        <v>3003</v>
      </c>
      <c r="P39" s="2944" t="s">
        <v>3004</v>
      </c>
      <c r="Q39" s="2944" t="s">
        <v>3005</v>
      </c>
    </row>
    <row r="40" spans="1:17" ht="14.25" customHeight="1">
      <c r="A40" s="2944" t="s">
        <v>296</v>
      </c>
      <c r="B40" s="2945" t="s">
        <v>202</v>
      </c>
      <c r="C40" s="2944">
        <v>24740</v>
      </c>
      <c r="D40" s="2944">
        <v>24690</v>
      </c>
      <c r="E40" s="2944">
        <v>22610</v>
      </c>
      <c r="F40" s="2944"/>
      <c r="G40" s="2957">
        <v>17280</v>
      </c>
      <c r="M40" s="2944" t="s">
        <v>3006</v>
      </c>
      <c r="N40" s="2944" t="s">
        <v>3007</v>
      </c>
      <c r="O40" s="2944" t="s">
        <v>3008</v>
      </c>
      <c r="P40" s="2944" t="s">
        <v>3009</v>
      </c>
      <c r="Q40" s="2944" t="s">
        <v>3010</v>
      </c>
    </row>
    <row r="41" spans="1:17" ht="14.25" customHeight="1" thickBot="1">
      <c r="A41" s="2944" t="s">
        <v>296</v>
      </c>
      <c r="B41" s="2945" t="s">
        <v>209</v>
      </c>
      <c r="C41" s="2944">
        <v>21220</v>
      </c>
      <c r="D41" s="2944">
        <v>21120</v>
      </c>
      <c r="E41" s="2944">
        <v>22590</v>
      </c>
      <c r="F41" s="2944"/>
      <c r="G41" s="2957">
        <v>14780</v>
      </c>
      <c r="M41" s="2951" t="s">
        <v>3011</v>
      </c>
      <c r="N41" s="2944" t="s">
        <v>3012</v>
      </c>
      <c r="O41" s="2944" t="s">
        <v>3013</v>
      </c>
      <c r="P41" s="2944" t="s">
        <v>3014</v>
      </c>
      <c r="Q41" s="2944" t="s">
        <v>3015</v>
      </c>
    </row>
    <row r="42" spans="1:17" ht="14.25" customHeight="1">
      <c r="A42" s="2944" t="s">
        <v>296</v>
      </c>
      <c r="B42" s="2945" t="s">
        <v>215</v>
      </c>
      <c r="C42" s="2944">
        <v>24800</v>
      </c>
      <c r="D42" s="2944">
        <v>22280</v>
      </c>
      <c r="E42" s="2944">
        <v>24350</v>
      </c>
      <c r="F42" s="2944"/>
      <c r="G42" s="2957">
        <v>15590</v>
      </c>
      <c r="N42" s="2944" t="s">
        <v>3016</v>
      </c>
      <c r="O42" s="2944" t="s">
        <v>3017</v>
      </c>
      <c r="P42" s="2944" t="s">
        <v>3018</v>
      </c>
      <c r="Q42" s="2944" t="s">
        <v>3019</v>
      </c>
    </row>
    <row r="43" spans="1:17" ht="14.25" customHeight="1">
      <c r="A43" s="2944" t="s">
        <v>3020</v>
      </c>
      <c r="B43" s="2945" t="s">
        <v>223</v>
      </c>
      <c r="C43" s="2944">
        <v>21210</v>
      </c>
      <c r="D43" s="2944">
        <v>21160</v>
      </c>
      <c r="E43" s="2944">
        <v>22650</v>
      </c>
      <c r="F43" s="2944"/>
      <c r="G43" s="2957">
        <v>14800</v>
      </c>
      <c r="N43" s="2944" t="s">
        <v>3021</v>
      </c>
      <c r="O43" s="2944" t="s">
        <v>3022</v>
      </c>
      <c r="P43" s="2944" t="s">
        <v>3023</v>
      </c>
      <c r="Q43" s="2944" t="s">
        <v>3024</v>
      </c>
    </row>
    <row r="44" spans="1:17" ht="14.25" customHeight="1" thickBot="1">
      <c r="A44" s="2944" t="s">
        <v>296</v>
      </c>
      <c r="B44" s="2945" t="s">
        <v>231</v>
      </c>
      <c r="C44" s="2944">
        <v>22370</v>
      </c>
      <c r="D44" s="2944">
        <v>23140</v>
      </c>
      <c r="E44" s="2944">
        <v>25090</v>
      </c>
      <c r="F44" s="2944"/>
      <c r="G44" s="2957">
        <v>16190</v>
      </c>
      <c r="N44" s="2944" t="s">
        <v>3025</v>
      </c>
      <c r="O44" s="2944" t="s">
        <v>3026</v>
      </c>
      <c r="P44" s="2951" t="s">
        <v>3027</v>
      </c>
      <c r="Q44" s="2944" t="s">
        <v>3028</v>
      </c>
    </row>
    <row r="45" spans="1:17" ht="14.25" customHeight="1" thickBot="1">
      <c r="A45" s="2944" t="s">
        <v>296</v>
      </c>
      <c r="B45" s="2945" t="s">
        <v>236</v>
      </c>
      <c r="C45" s="2944">
        <v>21240</v>
      </c>
      <c r="D45" s="2944">
        <v>27050</v>
      </c>
      <c r="E45" s="2944">
        <v>28000</v>
      </c>
      <c r="F45" s="2944"/>
      <c r="G45" s="2957">
        <v>18940</v>
      </c>
      <c r="N45" s="2944" t="s">
        <v>3029</v>
      </c>
      <c r="O45" s="2951" t="s">
        <v>3030</v>
      </c>
      <c r="Q45" s="2944" t="s">
        <v>3031</v>
      </c>
    </row>
    <row r="46" spans="1:17" ht="14.25" customHeight="1">
      <c r="A46" s="2944" t="s">
        <v>296</v>
      </c>
      <c r="B46" s="2945" t="s">
        <v>245</v>
      </c>
      <c r="C46" s="2944">
        <v>23240</v>
      </c>
      <c r="D46" s="2944">
        <v>23000</v>
      </c>
      <c r="E46" s="2944">
        <v>24980</v>
      </c>
      <c r="F46" s="2944"/>
      <c r="G46" s="2957">
        <v>16100</v>
      </c>
      <c r="N46" s="2944" t="s">
        <v>3032</v>
      </c>
      <c r="Q46" s="2944" t="s">
        <v>3033</v>
      </c>
    </row>
    <row r="47" spans="1:17" ht="14.25" customHeight="1">
      <c r="A47" s="2944" t="s">
        <v>296</v>
      </c>
      <c r="B47" s="2945" t="s">
        <v>252</v>
      </c>
      <c r="C47" s="2944">
        <v>27150</v>
      </c>
      <c r="D47" s="2944">
        <v>23310</v>
      </c>
      <c r="E47" s="2944">
        <v>25150</v>
      </c>
      <c r="F47" s="2944"/>
      <c r="G47" s="2957">
        <v>16310</v>
      </c>
      <c r="N47" s="2944" t="s">
        <v>3034</v>
      </c>
      <c r="Q47" s="2944" t="s">
        <v>3035</v>
      </c>
    </row>
    <row r="48" spans="1:17" ht="14.25" customHeight="1">
      <c r="A48" s="2944" t="s">
        <v>296</v>
      </c>
      <c r="B48" s="2945" t="s">
        <v>260</v>
      </c>
      <c r="C48" s="2944">
        <v>23100</v>
      </c>
      <c r="D48" s="2944">
        <v>21110</v>
      </c>
      <c r="E48" s="2944">
        <v>23080</v>
      </c>
      <c r="F48" s="2944"/>
      <c r="G48" s="2957">
        <v>14780</v>
      </c>
      <c r="N48" s="2944" t="s">
        <v>3036</v>
      </c>
      <c r="Q48" s="2944" t="s">
        <v>3037</v>
      </c>
    </row>
    <row r="49" spans="1:17" ht="14.25" customHeight="1">
      <c r="A49" s="2944" t="s">
        <v>296</v>
      </c>
      <c r="B49" s="2945" t="s">
        <v>267</v>
      </c>
      <c r="C49" s="2944">
        <v>23400</v>
      </c>
      <c r="D49" s="2944">
        <v>22920</v>
      </c>
      <c r="E49" s="2944">
        <v>24900</v>
      </c>
      <c r="F49" s="2944"/>
      <c r="G49" s="2957">
        <v>16040</v>
      </c>
      <c r="N49" s="2944" t="s">
        <v>3038</v>
      </c>
      <c r="Q49" s="2944" t="s">
        <v>3039</v>
      </c>
    </row>
    <row r="50" spans="1:17" ht="14.25" customHeight="1">
      <c r="A50" s="2944" t="s">
        <v>296</v>
      </c>
      <c r="B50" s="2945" t="s">
        <v>2916</v>
      </c>
      <c r="C50" s="2944">
        <v>21200</v>
      </c>
      <c r="D50" s="2944">
        <v>26540</v>
      </c>
      <c r="E50" s="2944">
        <v>23200</v>
      </c>
      <c r="F50" s="2944"/>
      <c r="G50" s="2957">
        <v>18580</v>
      </c>
      <c r="N50" s="2944" t="s">
        <v>3040</v>
      </c>
      <c r="Q50" s="2945" t="s">
        <v>3041</v>
      </c>
    </row>
    <row r="51" spans="1:17" ht="14.25" customHeight="1" thickBot="1">
      <c r="A51" s="2944" t="s">
        <v>296</v>
      </c>
      <c r="B51" s="2945" t="s">
        <v>2918</v>
      </c>
      <c r="C51" s="2944">
        <v>23000</v>
      </c>
      <c r="D51" s="2944">
        <v>23460</v>
      </c>
      <c r="E51" s="2944">
        <v>25290</v>
      </c>
      <c r="F51" s="2944"/>
      <c r="G51" s="2957">
        <v>16420</v>
      </c>
      <c r="N51" s="2944" t="s">
        <v>3042</v>
      </c>
      <c r="Q51" s="2951" t="s">
        <v>3043</v>
      </c>
    </row>
    <row r="52" spans="1:17" ht="14.25" customHeight="1">
      <c r="A52" s="2944" t="s">
        <v>296</v>
      </c>
      <c r="B52" s="2945" t="s">
        <v>2922</v>
      </c>
      <c r="C52" s="2944">
        <v>26660</v>
      </c>
      <c r="D52" s="2944">
        <v>22350</v>
      </c>
      <c r="E52" s="2944">
        <v>22920</v>
      </c>
      <c r="F52" s="2944"/>
      <c r="G52" s="2957">
        <v>15640</v>
      </c>
      <c r="N52" s="2944" t="s">
        <v>3044</v>
      </c>
    </row>
    <row r="53" spans="1:17" ht="14.25" customHeight="1">
      <c r="A53" s="2944" t="s">
        <v>296</v>
      </c>
      <c r="B53" s="2945" t="s">
        <v>2927</v>
      </c>
      <c r="C53" s="2944">
        <v>23580</v>
      </c>
      <c r="D53" s="2944"/>
      <c r="E53" s="2944">
        <v>24280</v>
      </c>
      <c r="F53" s="2944"/>
      <c r="G53" s="2957"/>
      <c r="N53" s="2944" t="s">
        <v>3045</v>
      </c>
    </row>
    <row r="54" spans="1:17" ht="14.25" customHeight="1" thickBot="1">
      <c r="A54" s="2958" t="s">
        <v>296</v>
      </c>
      <c r="B54" s="2950" t="s">
        <v>2930</v>
      </c>
      <c r="C54" s="2951">
        <v>22460</v>
      </c>
      <c r="D54" s="2951"/>
      <c r="E54" s="2951"/>
      <c r="F54" s="2951"/>
      <c r="G54" s="2959"/>
      <c r="N54" s="2944" t="s">
        <v>3046</v>
      </c>
    </row>
    <row r="55" spans="1:17" ht="14.25" customHeight="1">
      <c r="A55" s="2949" t="s">
        <v>110</v>
      </c>
      <c r="B55" s="2940" t="s">
        <v>3047</v>
      </c>
      <c r="C55" s="2944">
        <v>21970</v>
      </c>
      <c r="D55" s="2944">
        <v>20370</v>
      </c>
      <c r="E55" s="2944">
        <v>20180</v>
      </c>
      <c r="F55" s="2944">
        <v>5730</v>
      </c>
      <c r="G55" s="2944">
        <v>13820</v>
      </c>
      <c r="N55" s="2944" t="s">
        <v>3048</v>
      </c>
    </row>
    <row r="56" spans="1:17" ht="14.25" customHeight="1">
      <c r="A56" s="2944" t="s">
        <v>110</v>
      </c>
      <c r="B56" s="2944" t="s">
        <v>130</v>
      </c>
      <c r="C56" s="2944">
        <v>20470</v>
      </c>
      <c r="D56" s="2944">
        <v>20700</v>
      </c>
      <c r="E56" s="2944">
        <v>20380</v>
      </c>
      <c r="F56" s="2944">
        <v>4760</v>
      </c>
      <c r="G56" s="2944">
        <v>14050</v>
      </c>
      <c r="N56" s="2944" t="s">
        <v>3049</v>
      </c>
    </row>
    <row r="57" spans="1:17" ht="14.25" customHeight="1">
      <c r="A57" s="2944" t="s">
        <v>110</v>
      </c>
      <c r="B57" s="2944" t="s">
        <v>139</v>
      </c>
      <c r="C57" s="2944">
        <v>20790</v>
      </c>
      <c r="D57" s="2944">
        <v>21370</v>
      </c>
      <c r="E57" s="2944">
        <v>20890</v>
      </c>
      <c r="F57" s="2944">
        <v>4910</v>
      </c>
      <c r="G57" s="2944">
        <v>14510</v>
      </c>
      <c r="N57" s="2944" t="s">
        <v>3050</v>
      </c>
    </row>
    <row r="58" spans="1:17" ht="14.25" customHeight="1">
      <c r="A58" s="2944" t="s">
        <v>110</v>
      </c>
      <c r="B58" s="2944" t="s">
        <v>148</v>
      </c>
      <c r="C58" s="2944">
        <v>21460</v>
      </c>
      <c r="D58" s="2944">
        <v>20920</v>
      </c>
      <c r="E58" s="2944">
        <v>23410</v>
      </c>
      <c r="F58" s="2944">
        <v>5100</v>
      </c>
      <c r="G58" s="2944">
        <v>14200</v>
      </c>
      <c r="N58" s="2944" t="s">
        <v>3051</v>
      </c>
    </row>
    <row r="59" spans="1:17" ht="14.25" customHeight="1">
      <c r="A59" s="2944" t="s">
        <v>110</v>
      </c>
      <c r="B59" s="2944" t="s">
        <v>157</v>
      </c>
      <c r="C59" s="2944">
        <v>21000</v>
      </c>
      <c r="D59" s="2944">
        <v>21550</v>
      </c>
      <c r="E59" s="2944">
        <v>21150</v>
      </c>
      <c r="F59" s="2944">
        <v>5250</v>
      </c>
      <c r="G59" s="2944">
        <v>14630</v>
      </c>
      <c r="N59" s="2944" t="s">
        <v>3052</v>
      </c>
    </row>
    <row r="60" spans="1:17" ht="14.25" customHeight="1">
      <c r="A60" s="2944" t="s">
        <v>110</v>
      </c>
      <c r="B60" s="2944" t="s">
        <v>164</v>
      </c>
      <c r="C60" s="2944">
        <v>21640</v>
      </c>
      <c r="D60" s="2944">
        <v>21260</v>
      </c>
      <c r="E60" s="2944">
        <v>24040</v>
      </c>
      <c r="F60" s="2944">
        <v>4470</v>
      </c>
      <c r="G60" s="2944">
        <v>14430</v>
      </c>
      <c r="N60" s="2944" t="s">
        <v>3053</v>
      </c>
    </row>
    <row r="61" spans="1:17" ht="14.25" customHeight="1">
      <c r="A61" s="2944" t="s">
        <v>110</v>
      </c>
      <c r="B61" s="2944" t="s">
        <v>170</v>
      </c>
      <c r="C61" s="2944">
        <v>21330</v>
      </c>
      <c r="D61" s="2944">
        <v>18640</v>
      </c>
      <c r="E61" s="2944">
        <v>21190</v>
      </c>
      <c r="F61" s="2944">
        <v>4180</v>
      </c>
      <c r="G61" s="2944">
        <v>12650</v>
      </c>
      <c r="N61" s="2944" t="s">
        <v>3054</v>
      </c>
    </row>
    <row r="62" spans="1:17" ht="14.25" customHeight="1">
      <c r="A62" s="2944" t="s">
        <v>110</v>
      </c>
      <c r="B62" s="2944" t="s">
        <v>177</v>
      </c>
      <c r="C62" s="2944">
        <v>18710</v>
      </c>
      <c r="D62" s="2944">
        <v>19400</v>
      </c>
      <c r="E62" s="2944">
        <v>23750</v>
      </c>
      <c r="F62" s="2944">
        <v>4860</v>
      </c>
      <c r="G62" s="2944">
        <v>13170</v>
      </c>
      <c r="N62" s="2944" t="s">
        <v>3055</v>
      </c>
    </row>
    <row r="63" spans="1:17" ht="14.25" customHeight="1">
      <c r="A63" s="2944" t="s">
        <v>110</v>
      </c>
      <c r="B63" s="2944" t="s">
        <v>187</v>
      </c>
      <c r="C63" s="2944">
        <v>19480</v>
      </c>
      <c r="D63" s="2944">
        <v>16830</v>
      </c>
      <c r="E63" s="2944">
        <v>21590</v>
      </c>
      <c r="F63" s="2944">
        <v>4560</v>
      </c>
      <c r="G63" s="2944">
        <v>11420</v>
      </c>
      <c r="N63" s="2944" t="s">
        <v>3056</v>
      </c>
    </row>
    <row r="64" spans="1:17" ht="14.25" customHeight="1" thickBot="1">
      <c r="A64" s="2944" t="s">
        <v>110</v>
      </c>
      <c r="B64" s="2944" t="s">
        <v>196</v>
      </c>
      <c r="C64" s="2944">
        <v>16920</v>
      </c>
      <c r="D64" s="2944">
        <v>19190</v>
      </c>
      <c r="E64" s="2944">
        <v>22200</v>
      </c>
      <c r="F64" s="2944">
        <v>4390</v>
      </c>
      <c r="G64" s="2944">
        <v>13030</v>
      </c>
      <c r="N64" s="2951" t="s">
        <v>3057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2928</v>
      </c>
      <c r="C78" s="2944">
        <v>19820</v>
      </c>
      <c r="D78" s="2944">
        <v>19780</v>
      </c>
      <c r="E78" s="2944">
        <v>18560</v>
      </c>
      <c r="F78" s="2944"/>
      <c r="G78" s="2944">
        <v>13430</v>
      </c>
    </row>
    <row r="79" spans="1:7" s="2778" customFormat="1" ht="14.25" customHeight="1">
      <c r="A79" s="2944" t="s">
        <v>110</v>
      </c>
      <c r="B79" s="2944" t="s">
        <v>2931</v>
      </c>
      <c r="C79" s="2944">
        <v>21660</v>
      </c>
      <c r="D79" s="2944">
        <v>18000</v>
      </c>
      <c r="E79" s="2944">
        <v>22570</v>
      </c>
      <c r="F79" s="2944"/>
      <c r="G79" s="2944">
        <v>12220</v>
      </c>
    </row>
    <row r="80" spans="1:7" s="2778" customFormat="1" ht="14.25" customHeight="1">
      <c r="A80" s="2944" t="s">
        <v>110</v>
      </c>
      <c r="B80" s="2944" t="s">
        <v>2935</v>
      </c>
      <c r="C80" s="2944">
        <v>19850</v>
      </c>
      <c r="D80" s="2944"/>
      <c r="E80" s="2944">
        <v>21700</v>
      </c>
      <c r="F80" s="2944"/>
      <c r="G80" s="2944"/>
    </row>
    <row r="81" spans="1:7" s="2778" customFormat="1" ht="14.25" customHeight="1">
      <c r="A81" s="2944" t="s">
        <v>110</v>
      </c>
      <c r="B81" s="2944" t="s">
        <v>2940</v>
      </c>
      <c r="C81" s="2944">
        <v>18080</v>
      </c>
      <c r="D81" s="2944"/>
      <c r="E81" s="2944">
        <v>20900</v>
      </c>
      <c r="F81" s="2944"/>
      <c r="G81" s="2944"/>
    </row>
    <row r="82" spans="1:7" s="2778" customFormat="1" ht="14.25" customHeight="1">
      <c r="A82" s="2944" t="s">
        <v>110</v>
      </c>
      <c r="B82" s="2944" t="s">
        <v>2947</v>
      </c>
      <c r="C82" s="2944"/>
      <c r="D82" s="2944"/>
      <c r="E82" s="2944">
        <v>20840</v>
      </c>
      <c r="F82" s="2944"/>
      <c r="G82" s="2944"/>
    </row>
    <row r="83" spans="1:7" s="2778" customFormat="1" ht="14.25" customHeight="1">
      <c r="A83" s="2944" t="s">
        <v>110</v>
      </c>
      <c r="B83" s="2944" t="s">
        <v>3058</v>
      </c>
      <c r="C83" s="2944"/>
      <c r="D83" s="2944"/>
      <c r="E83" s="2944"/>
      <c r="F83" s="2944">
        <v>4770</v>
      </c>
      <c r="G83" s="2944"/>
    </row>
    <row r="84" spans="1:7" s="2778" customFormat="1" ht="14.25" customHeight="1">
      <c r="A84" s="2944" t="s">
        <v>110</v>
      </c>
      <c r="B84" s="2944" t="s">
        <v>3059</v>
      </c>
      <c r="C84" s="2944"/>
      <c r="D84" s="2944"/>
      <c r="E84" s="2944"/>
      <c r="F84" s="2944">
        <v>4600</v>
      </c>
      <c r="G84" s="2944"/>
    </row>
    <row r="85" spans="1:7" s="2778" customFormat="1" ht="14.25" customHeight="1">
      <c r="A85" s="2944" t="s">
        <v>110</v>
      </c>
      <c r="B85" s="2944" t="s">
        <v>3060</v>
      </c>
      <c r="C85" s="2944"/>
      <c r="D85" s="2944"/>
      <c r="E85" s="2944"/>
      <c r="F85" s="2944">
        <v>4680</v>
      </c>
      <c r="G85" s="2944"/>
    </row>
    <row r="86" spans="1:7" s="2778" customFormat="1" ht="14.25" customHeight="1" thickBot="1">
      <c r="A86" s="2952" t="s">
        <v>110</v>
      </c>
      <c r="B86" s="2954" t="s">
        <v>3061</v>
      </c>
      <c r="C86" s="2955">
        <v>16610</v>
      </c>
      <c r="D86" s="2955">
        <v>16540</v>
      </c>
      <c r="E86" s="2955">
        <v>18850</v>
      </c>
      <c r="F86" s="2955"/>
      <c r="G86" s="2955">
        <v>11220</v>
      </c>
    </row>
    <row r="87" spans="1:7" s="2778" customFormat="1" ht="14.25" customHeight="1">
      <c r="A87" s="2949" t="s">
        <v>303</v>
      </c>
      <c r="B87" s="2940" t="s">
        <v>3062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2941</v>
      </c>
      <c r="C113" s="2944">
        <v>15520</v>
      </c>
      <c r="D113" s="2944">
        <v>15450</v>
      </c>
      <c r="E113" s="2944"/>
      <c r="F113" s="2944"/>
      <c r="G113" s="2957">
        <v>10210</v>
      </c>
    </row>
    <row r="114" spans="1:7" s="2778" customFormat="1" ht="14.25" customHeight="1">
      <c r="A114" s="2944" t="s">
        <v>303</v>
      </c>
      <c r="B114" s="2944" t="s">
        <v>2948</v>
      </c>
      <c r="C114" s="2944">
        <v>13110</v>
      </c>
      <c r="D114" s="2944">
        <v>13050</v>
      </c>
      <c r="E114" s="2944"/>
      <c r="F114" s="2944"/>
      <c r="G114" s="2957">
        <v>8620</v>
      </c>
    </row>
    <row r="115" spans="1:7" s="2778" customFormat="1" ht="14.25" customHeight="1">
      <c r="A115" s="2944" t="s">
        <v>303</v>
      </c>
      <c r="B115" s="2944" t="s">
        <v>2954</v>
      </c>
      <c r="C115" s="2944">
        <v>12460</v>
      </c>
      <c r="D115" s="2944">
        <v>12390</v>
      </c>
      <c r="E115" s="2944"/>
      <c r="F115" s="2944"/>
      <c r="G115" s="2957">
        <v>8190</v>
      </c>
    </row>
    <row r="116" spans="1:7" s="2778" customFormat="1" ht="14.25" customHeight="1">
      <c r="A116" s="2944" t="s">
        <v>303</v>
      </c>
      <c r="B116" s="2944" t="s">
        <v>2961</v>
      </c>
      <c r="C116" s="2944">
        <v>13580</v>
      </c>
      <c r="D116" s="2944">
        <v>13520</v>
      </c>
      <c r="E116" s="2944"/>
      <c r="F116" s="2944"/>
      <c r="G116" s="2957">
        <v>8930</v>
      </c>
    </row>
    <row r="117" spans="1:7" s="2778" customFormat="1" ht="14.25" customHeight="1">
      <c r="A117" s="2944" t="s">
        <v>303</v>
      </c>
      <c r="B117" s="2944" t="s">
        <v>2968</v>
      </c>
      <c r="C117" s="2944">
        <v>17120</v>
      </c>
      <c r="D117" s="2944">
        <v>17040</v>
      </c>
      <c r="E117" s="2944"/>
      <c r="F117" s="2944"/>
      <c r="G117" s="2957">
        <v>11260</v>
      </c>
    </row>
    <row r="118" spans="1:7" s="2778" customFormat="1" ht="14.25" customHeight="1">
      <c r="A118" s="2944" t="s">
        <v>303</v>
      </c>
      <c r="B118" s="2944" t="s">
        <v>2973</v>
      </c>
      <c r="C118" s="2944">
        <v>14860</v>
      </c>
      <c r="D118" s="2944">
        <v>14790</v>
      </c>
      <c r="E118" s="2944"/>
      <c r="F118" s="2944"/>
      <c r="G118" s="2957">
        <v>9780</v>
      </c>
    </row>
    <row r="119" spans="1:7" s="2778" customFormat="1" ht="14.25" customHeight="1">
      <c r="A119" s="2944" t="s">
        <v>303</v>
      </c>
      <c r="B119" s="2944" t="s">
        <v>2977</v>
      </c>
      <c r="C119" s="2944">
        <v>16470</v>
      </c>
      <c r="D119" s="2944">
        <v>16400</v>
      </c>
      <c r="E119" s="2944"/>
      <c r="F119" s="2944"/>
      <c r="G119" s="2957">
        <v>10840</v>
      </c>
    </row>
    <row r="120" spans="1:7" s="2778" customFormat="1" ht="14.25" customHeight="1">
      <c r="A120" s="2944" t="s">
        <v>303</v>
      </c>
      <c r="B120" s="2944" t="s">
        <v>3063</v>
      </c>
      <c r="C120" s="2944"/>
      <c r="D120" s="2944"/>
      <c r="E120" s="2944"/>
      <c r="F120" s="2944">
        <v>4160</v>
      </c>
      <c r="G120" s="2957"/>
    </row>
    <row r="121" spans="1:7" s="2778" customFormat="1" ht="14.25" customHeight="1">
      <c r="A121" s="2944" t="s">
        <v>303</v>
      </c>
      <c r="B121" s="2944" t="s">
        <v>3064</v>
      </c>
      <c r="C121" s="2944"/>
      <c r="D121" s="2944"/>
      <c r="E121" s="2944"/>
      <c r="F121" s="2944">
        <v>3880</v>
      </c>
      <c r="G121" s="2957"/>
    </row>
    <row r="122" spans="1:7" s="2778" customFormat="1" ht="14.25" customHeight="1">
      <c r="A122" s="2944" t="s">
        <v>303</v>
      </c>
      <c r="B122" s="2944" t="s">
        <v>3065</v>
      </c>
      <c r="C122" s="2944">
        <v>13750</v>
      </c>
      <c r="D122" s="2944">
        <v>13680</v>
      </c>
      <c r="E122" s="2944">
        <v>16460</v>
      </c>
      <c r="F122" s="2944">
        <v>2880</v>
      </c>
      <c r="G122" s="2957">
        <v>9040</v>
      </c>
    </row>
    <row r="123" spans="1:7" s="2778" customFormat="1" ht="14.25" customHeight="1">
      <c r="A123" s="2944" t="s">
        <v>303</v>
      </c>
      <c r="B123" s="2944" t="s">
        <v>2996</v>
      </c>
      <c r="C123" s="2944">
        <v>13590</v>
      </c>
      <c r="D123" s="2944">
        <v>13520</v>
      </c>
      <c r="E123" s="2944">
        <v>16290</v>
      </c>
      <c r="F123" s="2944">
        <v>2790</v>
      </c>
      <c r="G123" s="2957">
        <v>8930</v>
      </c>
    </row>
    <row r="124" spans="1:7" s="2778" customFormat="1" ht="14.25" customHeight="1">
      <c r="A124" s="2944" t="s">
        <v>303</v>
      </c>
      <c r="B124" s="2944" t="s">
        <v>3001</v>
      </c>
      <c r="C124" s="2944">
        <v>13400</v>
      </c>
      <c r="D124" s="2944">
        <v>13320</v>
      </c>
      <c r="E124" s="2944">
        <v>16100</v>
      </c>
      <c r="F124" s="2944">
        <v>2320</v>
      </c>
      <c r="G124" s="2957">
        <v>8800</v>
      </c>
    </row>
    <row r="125" spans="1:7" s="2778" customFormat="1" ht="14.25" customHeight="1">
      <c r="A125" s="2944" t="s">
        <v>303</v>
      </c>
      <c r="B125" s="2944" t="s">
        <v>3006</v>
      </c>
      <c r="C125" s="2944">
        <v>12860</v>
      </c>
      <c r="D125" s="2944">
        <v>12790</v>
      </c>
      <c r="E125" s="2944">
        <v>15370</v>
      </c>
      <c r="F125" s="2944">
        <v>2280</v>
      </c>
      <c r="G125" s="2957">
        <v>8450</v>
      </c>
    </row>
    <row r="126" spans="1:7" s="2778" customFormat="1" ht="14.25" customHeight="1" thickBot="1">
      <c r="A126" s="2958" t="s">
        <v>303</v>
      </c>
      <c r="B126" s="2951" t="s">
        <v>3011</v>
      </c>
      <c r="C126" s="2951">
        <v>12960</v>
      </c>
      <c r="D126" s="2951">
        <v>12890</v>
      </c>
      <c r="E126" s="2951">
        <v>15530</v>
      </c>
      <c r="F126" s="2951">
        <v>2910</v>
      </c>
      <c r="G126" s="2959">
        <v>8520</v>
      </c>
    </row>
    <row r="127" spans="1:7" s="2778" customFormat="1" ht="14.25" customHeight="1">
      <c r="A127" s="2949" t="s">
        <v>29</v>
      </c>
      <c r="B127" s="2940" t="s">
        <v>3066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3067</v>
      </c>
      <c r="C148" s="2944">
        <v>10370</v>
      </c>
      <c r="D148" s="2944">
        <v>10310</v>
      </c>
      <c r="E148" s="2944">
        <v>12970</v>
      </c>
      <c r="F148" s="2944"/>
      <c r="G148" s="2944">
        <v>6630</v>
      </c>
    </row>
    <row r="149" spans="1:7" s="2778" customFormat="1" ht="14.25" customHeight="1">
      <c r="A149" s="2944" t="s">
        <v>29</v>
      </c>
      <c r="B149" s="2944" t="s">
        <v>3068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2942</v>
      </c>
      <c r="C153" s="2944">
        <v>10880</v>
      </c>
      <c r="D153" s="2944">
        <v>10820</v>
      </c>
      <c r="E153" s="2944">
        <v>13660</v>
      </c>
      <c r="F153" s="2944">
        <v>2260</v>
      </c>
      <c r="G153" s="2944">
        <v>6970</v>
      </c>
    </row>
    <row r="154" spans="1:7" s="2778" customFormat="1" ht="14.25" customHeight="1">
      <c r="A154" s="2944" t="s">
        <v>29</v>
      </c>
      <c r="B154" s="2944" t="s">
        <v>3069</v>
      </c>
      <c r="C154" s="2944">
        <v>11220</v>
      </c>
      <c r="D154" s="2944">
        <v>11160</v>
      </c>
      <c r="E154" s="2944">
        <v>14130</v>
      </c>
      <c r="F154" s="2944">
        <v>2230</v>
      </c>
      <c r="G154" s="2944">
        <v>7180</v>
      </c>
    </row>
    <row r="155" spans="1:7" s="2778" customFormat="1" ht="14.25" customHeight="1">
      <c r="A155" s="2944" t="s">
        <v>29</v>
      </c>
      <c r="B155" s="2944" t="s">
        <v>2955</v>
      </c>
      <c r="C155" s="2944">
        <v>10430</v>
      </c>
      <c r="D155" s="2944">
        <v>10380</v>
      </c>
      <c r="E155" s="2944">
        <v>13140</v>
      </c>
      <c r="F155" s="2944">
        <v>2080</v>
      </c>
      <c r="G155" s="2944">
        <v>6650</v>
      </c>
    </row>
    <row r="156" spans="1:7" s="2778" customFormat="1" ht="14.25" customHeight="1">
      <c r="A156" s="2944" t="s">
        <v>29</v>
      </c>
      <c r="B156" s="2944" t="s">
        <v>3070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3071</v>
      </c>
      <c r="C160" s="2944">
        <v>11180</v>
      </c>
      <c r="D160" s="2944">
        <v>11140</v>
      </c>
      <c r="E160" s="2944">
        <v>14050</v>
      </c>
      <c r="F160" s="2944">
        <v>2270</v>
      </c>
      <c r="G160" s="2944">
        <v>7170</v>
      </c>
    </row>
    <row r="161" spans="1:7" s="2778" customFormat="1" ht="14.25" customHeight="1">
      <c r="A161" s="2944" t="s">
        <v>29</v>
      </c>
      <c r="B161" s="2944" t="s">
        <v>2987</v>
      </c>
      <c r="C161" s="2944">
        <v>11160</v>
      </c>
      <c r="D161" s="2944">
        <v>11120</v>
      </c>
      <c r="E161" s="2944">
        <v>14020</v>
      </c>
      <c r="F161" s="2944">
        <v>2150</v>
      </c>
      <c r="G161" s="2944">
        <v>7160</v>
      </c>
    </row>
    <row r="162" spans="1:7" s="2778" customFormat="1" ht="14.25" customHeight="1">
      <c r="A162" s="2944" t="s">
        <v>29</v>
      </c>
      <c r="B162" s="2944" t="s">
        <v>2992</v>
      </c>
      <c r="C162" s="2944">
        <v>9620</v>
      </c>
      <c r="D162" s="2944">
        <v>9570</v>
      </c>
      <c r="E162" s="2944">
        <v>12320</v>
      </c>
      <c r="F162" s="2944">
        <v>2010</v>
      </c>
      <c r="G162" s="2944">
        <v>6160</v>
      </c>
    </row>
    <row r="163" spans="1:7" s="2778" customFormat="1" ht="14.25" customHeight="1">
      <c r="A163" s="2944" t="s">
        <v>29</v>
      </c>
      <c r="B163" s="2944" t="s">
        <v>2997</v>
      </c>
      <c r="C163" s="2944">
        <v>9320</v>
      </c>
      <c r="D163" s="2944">
        <v>9270</v>
      </c>
      <c r="E163" s="2944">
        <v>11790</v>
      </c>
      <c r="F163" s="2944">
        <v>1920</v>
      </c>
      <c r="G163" s="2944">
        <v>5960</v>
      </c>
    </row>
    <row r="164" spans="1:7" s="2778" customFormat="1" ht="14.25" customHeight="1">
      <c r="A164" s="2944" t="s">
        <v>29</v>
      </c>
      <c r="B164" s="2944" t="s">
        <v>3002</v>
      </c>
      <c r="C164" s="2944"/>
      <c r="D164" s="2944"/>
      <c r="E164" s="2944"/>
      <c r="F164" s="2944">
        <v>1980</v>
      </c>
      <c r="G164" s="2944"/>
    </row>
    <row r="165" spans="1:7" s="2778" customFormat="1" ht="14.25" customHeight="1">
      <c r="A165" s="2944" t="s">
        <v>29</v>
      </c>
      <c r="B165" s="2944" t="s">
        <v>3072</v>
      </c>
      <c r="C165" s="2944">
        <v>11060</v>
      </c>
      <c r="D165" s="2944">
        <v>11030</v>
      </c>
      <c r="E165" s="2944">
        <v>13850</v>
      </c>
      <c r="F165" s="2944">
        <v>2170</v>
      </c>
      <c r="G165" s="2944">
        <v>7090</v>
      </c>
    </row>
    <row r="166" spans="1:7" s="2778" customFormat="1" ht="14.25" customHeight="1">
      <c r="A166" s="2944" t="s">
        <v>29</v>
      </c>
      <c r="B166" s="2944" t="s">
        <v>3012</v>
      </c>
      <c r="C166" s="2944">
        <v>11050</v>
      </c>
      <c r="D166" s="2944">
        <v>11010</v>
      </c>
      <c r="E166" s="2944">
        <v>13920</v>
      </c>
      <c r="F166" s="2944">
        <v>2140</v>
      </c>
      <c r="G166" s="2944">
        <v>7080</v>
      </c>
    </row>
    <row r="167" spans="1:7" s="2778" customFormat="1" ht="14.25" customHeight="1">
      <c r="A167" s="2944" t="s">
        <v>29</v>
      </c>
      <c r="B167" s="2944" t="s">
        <v>3016</v>
      </c>
      <c r="C167" s="2944">
        <v>10930</v>
      </c>
      <c r="D167" s="2944">
        <v>10890</v>
      </c>
      <c r="E167" s="2944">
        <v>13790</v>
      </c>
      <c r="F167" s="2944">
        <v>2010</v>
      </c>
      <c r="G167" s="2944">
        <v>7000</v>
      </c>
    </row>
    <row r="168" spans="1:7" s="2778" customFormat="1" ht="14.25" customHeight="1">
      <c r="A168" s="2944" t="s">
        <v>29</v>
      </c>
      <c r="B168" s="2944" t="s">
        <v>3021</v>
      </c>
      <c r="C168" s="2944">
        <v>9420</v>
      </c>
      <c r="D168" s="2944">
        <v>9380</v>
      </c>
      <c r="E168" s="2944">
        <v>11970</v>
      </c>
      <c r="F168" s="2944"/>
      <c r="G168" s="2944">
        <v>6040</v>
      </c>
    </row>
    <row r="169" spans="1:7" s="2778" customFormat="1" ht="14.25" customHeight="1">
      <c r="A169" s="2944" t="s">
        <v>29</v>
      </c>
      <c r="B169" s="2944" t="s">
        <v>3073</v>
      </c>
      <c r="C169" s="2944"/>
      <c r="D169" s="2944"/>
      <c r="E169" s="2944"/>
      <c r="F169" s="2944">
        <v>2880</v>
      </c>
      <c r="G169" s="2944"/>
    </row>
    <row r="170" spans="1:7" s="2778" customFormat="1" ht="14.25" customHeight="1">
      <c r="A170" s="2944" t="s">
        <v>29</v>
      </c>
      <c r="B170" s="2944" t="s">
        <v>3029</v>
      </c>
      <c r="C170" s="2944"/>
      <c r="D170" s="2944"/>
      <c r="E170" s="2944"/>
      <c r="F170" s="2944">
        <v>2880</v>
      </c>
      <c r="G170" s="2944"/>
    </row>
    <row r="171" spans="1:7" s="2778" customFormat="1" ht="14.25" customHeight="1">
      <c r="A171" s="2944" t="s">
        <v>29</v>
      </c>
      <c r="B171" s="2944" t="s">
        <v>3032</v>
      </c>
      <c r="C171" s="2944"/>
      <c r="D171" s="2944"/>
      <c r="E171" s="2944"/>
      <c r="F171" s="2944">
        <v>2880</v>
      </c>
      <c r="G171" s="2944"/>
    </row>
    <row r="172" spans="1:7" s="2778" customFormat="1" ht="14.25" customHeight="1">
      <c r="A172" s="2944" t="s">
        <v>29</v>
      </c>
      <c r="B172" s="2944" t="s">
        <v>3034</v>
      </c>
      <c r="C172" s="2944"/>
      <c r="D172" s="2944"/>
      <c r="E172" s="2944"/>
      <c r="F172" s="2944">
        <v>2880</v>
      </c>
      <c r="G172" s="2944"/>
    </row>
    <row r="173" spans="1:7" s="2778" customFormat="1" ht="14.25" customHeight="1">
      <c r="A173" s="2944" t="s">
        <v>29</v>
      </c>
      <c r="B173" s="2944" t="s">
        <v>3036</v>
      </c>
      <c r="C173" s="2944"/>
      <c r="D173" s="2944"/>
      <c r="E173" s="2944"/>
      <c r="F173" s="2944">
        <v>2150</v>
      </c>
      <c r="G173" s="2944"/>
    </row>
    <row r="174" spans="1:7" s="2778" customFormat="1" ht="14.25" customHeight="1">
      <c r="A174" s="2944" t="s">
        <v>29</v>
      </c>
      <c r="B174" s="2944" t="s">
        <v>3038</v>
      </c>
      <c r="C174" s="2944"/>
      <c r="D174" s="2944"/>
      <c r="E174" s="2944"/>
      <c r="F174" s="2944">
        <v>2030</v>
      </c>
      <c r="G174" s="2944"/>
    </row>
    <row r="175" spans="1:7" s="2778" customFormat="1" ht="14.25" customHeight="1">
      <c r="A175" s="2944" t="s">
        <v>29</v>
      </c>
      <c r="B175" s="2944" t="s">
        <v>3040</v>
      </c>
      <c r="C175" s="2944"/>
      <c r="D175" s="2944"/>
      <c r="E175" s="2944"/>
      <c r="F175" s="2944">
        <v>2780</v>
      </c>
      <c r="G175" s="2944"/>
    </row>
    <row r="176" spans="1:7" s="2778" customFormat="1" ht="14.25" customHeight="1">
      <c r="A176" s="2944" t="s">
        <v>29</v>
      </c>
      <c r="B176" s="2944" t="s">
        <v>3042</v>
      </c>
      <c r="C176" s="2944"/>
      <c r="D176" s="2944"/>
      <c r="E176" s="2944"/>
      <c r="F176" s="2944">
        <v>2780</v>
      </c>
      <c r="G176" s="2944"/>
    </row>
    <row r="177" spans="1:7" s="2778" customFormat="1" ht="14.25" customHeight="1">
      <c r="A177" s="2944" t="s">
        <v>29</v>
      </c>
      <c r="B177" s="2944" t="s">
        <v>3074</v>
      </c>
      <c r="C177" s="2944"/>
      <c r="D177" s="2944"/>
      <c r="E177" s="2944"/>
      <c r="F177" s="2944">
        <v>2780</v>
      </c>
      <c r="G177" s="2944"/>
    </row>
    <row r="178" spans="1:7" s="2778" customFormat="1" ht="14.25" customHeight="1">
      <c r="A178" s="2944" t="s">
        <v>29</v>
      </c>
      <c r="B178" s="2944" t="s">
        <v>3075</v>
      </c>
      <c r="C178" s="2944"/>
      <c r="D178" s="2944"/>
      <c r="E178" s="2944"/>
      <c r="F178" s="2944">
        <v>2060</v>
      </c>
      <c r="G178" s="2944"/>
    </row>
    <row r="179" spans="1:7" s="2778" customFormat="1" ht="14.25" customHeight="1">
      <c r="A179" s="2944" t="s">
        <v>29</v>
      </c>
      <c r="B179" s="2944" t="s">
        <v>3076</v>
      </c>
      <c r="C179" s="2944"/>
      <c r="D179" s="2944"/>
      <c r="E179" s="2944"/>
      <c r="F179" s="2944">
        <v>2120</v>
      </c>
      <c r="G179" s="2944"/>
    </row>
    <row r="180" spans="1:7" s="2778" customFormat="1" ht="14.25" customHeight="1">
      <c r="A180" s="2944" t="s">
        <v>29</v>
      </c>
      <c r="B180" s="2944" t="s">
        <v>3048</v>
      </c>
      <c r="C180" s="2944"/>
      <c r="D180" s="2944"/>
      <c r="E180" s="2944"/>
      <c r="F180" s="2944">
        <v>2340</v>
      </c>
      <c r="G180" s="2944"/>
    </row>
    <row r="181" spans="1:7" s="2778" customFormat="1" ht="14.25" customHeight="1">
      <c r="A181" s="2944" t="s">
        <v>29</v>
      </c>
      <c r="B181" s="2944" t="s">
        <v>3049</v>
      </c>
      <c r="C181" s="2944"/>
      <c r="D181" s="2944"/>
      <c r="E181" s="2944"/>
      <c r="F181" s="2944">
        <v>2340</v>
      </c>
      <c r="G181" s="2944"/>
    </row>
    <row r="182" spans="1:7" s="2778" customFormat="1" ht="14.25" customHeight="1">
      <c r="A182" s="2944" t="s">
        <v>29</v>
      </c>
      <c r="B182" s="2944" t="s">
        <v>3050</v>
      </c>
      <c r="C182" s="2944"/>
      <c r="D182" s="2944"/>
      <c r="E182" s="2944"/>
      <c r="F182" s="2944">
        <v>2340</v>
      </c>
      <c r="G182" s="2944"/>
    </row>
    <row r="183" spans="1:7" s="2778" customFormat="1" ht="14.25" customHeight="1">
      <c r="A183" s="2944" t="s">
        <v>29</v>
      </c>
      <c r="B183" s="2944" t="s">
        <v>3051</v>
      </c>
      <c r="C183" s="2944"/>
      <c r="D183" s="2944"/>
      <c r="E183" s="2944"/>
      <c r="F183" s="2944">
        <v>2340</v>
      </c>
      <c r="G183" s="2944"/>
    </row>
    <row r="184" spans="1:7" s="2778" customFormat="1" ht="14.25" customHeight="1">
      <c r="A184" s="2944" t="s">
        <v>29</v>
      </c>
      <c r="B184" s="2944" t="s">
        <v>3052</v>
      </c>
      <c r="C184" s="2944"/>
      <c r="D184" s="2944"/>
      <c r="E184" s="2944"/>
      <c r="F184" s="2944">
        <v>2340</v>
      </c>
      <c r="G184" s="2944"/>
    </row>
    <row r="185" spans="1:7" s="2778" customFormat="1" ht="14.25" customHeight="1">
      <c r="A185" s="2944" t="s">
        <v>29</v>
      </c>
      <c r="B185" s="2944" t="s">
        <v>3053</v>
      </c>
      <c r="C185" s="2944"/>
      <c r="D185" s="2944"/>
      <c r="E185" s="2944"/>
      <c r="F185" s="2944">
        <v>2530</v>
      </c>
      <c r="G185" s="2944"/>
    </row>
    <row r="186" spans="1:7" s="2778" customFormat="1" ht="14.25" customHeight="1">
      <c r="A186" s="2944" t="s">
        <v>29</v>
      </c>
      <c r="B186" s="2944" t="s">
        <v>3054</v>
      </c>
      <c r="C186" s="2944"/>
      <c r="D186" s="2944"/>
      <c r="E186" s="2944"/>
      <c r="F186" s="2944">
        <v>2550</v>
      </c>
      <c r="G186" s="2944"/>
    </row>
    <row r="187" spans="1:7" s="2778" customFormat="1" ht="14.25" customHeight="1">
      <c r="A187" s="2944" t="s">
        <v>29</v>
      </c>
      <c r="B187" s="2944" t="s">
        <v>3055</v>
      </c>
      <c r="C187" s="2944"/>
      <c r="D187" s="2944"/>
      <c r="E187" s="2944"/>
      <c r="F187" s="2944">
        <v>2070</v>
      </c>
      <c r="G187" s="2944"/>
    </row>
    <row r="188" spans="1:7" s="2778" customFormat="1" ht="14.25" customHeight="1">
      <c r="A188" s="2944" t="s">
        <v>29</v>
      </c>
      <c r="B188" s="2944" t="s">
        <v>3056</v>
      </c>
      <c r="C188" s="2944"/>
      <c r="D188" s="2944"/>
      <c r="E188" s="2944"/>
      <c r="F188" s="2944">
        <v>2340</v>
      </c>
      <c r="G188" s="2944"/>
    </row>
    <row r="189" spans="1:7" s="2778" customFormat="1" ht="14.25" customHeight="1" thickBot="1">
      <c r="A189" s="2952" t="s">
        <v>29</v>
      </c>
      <c r="B189" s="2955" t="s">
        <v>3057</v>
      </c>
      <c r="C189" s="2955"/>
      <c r="D189" s="2955"/>
      <c r="E189" s="2955"/>
      <c r="F189" s="2955">
        <v>2050</v>
      </c>
      <c r="G189" s="2955"/>
    </row>
    <row r="190" spans="1:7" s="2778" customFormat="1" ht="14.25" customHeight="1">
      <c r="A190" s="2949" t="s">
        <v>304</v>
      </c>
      <c r="B190" s="2940" t="s">
        <v>3077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3078</v>
      </c>
      <c r="C199" s="2944">
        <v>8690</v>
      </c>
      <c r="D199" s="2944">
        <v>8630</v>
      </c>
      <c r="E199" s="2944">
        <v>11350</v>
      </c>
      <c r="F199" s="2944">
        <v>1600</v>
      </c>
      <c r="G199" s="2957">
        <v>5450</v>
      </c>
    </row>
    <row r="200" spans="1:7" s="2778" customFormat="1" ht="14.25" customHeight="1">
      <c r="A200" s="2944" t="s">
        <v>304</v>
      </c>
      <c r="B200" s="2944" t="s">
        <v>2889</v>
      </c>
      <c r="C200" s="2944"/>
      <c r="D200" s="2944"/>
      <c r="E200" s="2944"/>
      <c r="F200" s="2944">
        <v>1510</v>
      </c>
      <c r="G200" s="2957"/>
    </row>
    <row r="201" spans="1:7" s="2778" customFormat="1" ht="14.25" customHeight="1">
      <c r="A201" s="2944" t="s">
        <v>304</v>
      </c>
      <c r="B201" s="2944" t="s">
        <v>3079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3080</v>
      </c>
      <c r="C203" s="2944">
        <v>8130</v>
      </c>
      <c r="D203" s="2944">
        <v>8070</v>
      </c>
      <c r="E203" s="2944">
        <v>10820</v>
      </c>
      <c r="F203" s="2944">
        <v>1690</v>
      </c>
      <c r="G203" s="2957">
        <v>5100</v>
      </c>
    </row>
    <row r="204" spans="1:7" s="2778" customFormat="1" ht="14.25" customHeight="1">
      <c r="A204" s="2944" t="s">
        <v>304</v>
      </c>
      <c r="B204" s="2944" t="s">
        <v>2900</v>
      </c>
      <c r="C204" s="2944">
        <v>8350</v>
      </c>
      <c r="D204" s="2944">
        <v>8290</v>
      </c>
      <c r="E204" s="2944">
        <v>11080</v>
      </c>
      <c r="F204" s="2944">
        <v>1450</v>
      </c>
      <c r="G204" s="2957">
        <v>5240</v>
      </c>
    </row>
    <row r="205" spans="1:7" s="2778" customFormat="1" ht="14.25" customHeight="1">
      <c r="A205" s="2944" t="s">
        <v>304</v>
      </c>
      <c r="B205" s="2944" t="s">
        <v>2902</v>
      </c>
      <c r="C205" s="2944">
        <v>7190</v>
      </c>
      <c r="D205" s="2944">
        <v>7130</v>
      </c>
      <c r="E205" s="2944">
        <v>9490</v>
      </c>
      <c r="F205" s="2944">
        <v>1470</v>
      </c>
      <c r="G205" s="2957">
        <v>4510</v>
      </c>
    </row>
    <row r="206" spans="1:7" s="2778" customFormat="1" ht="14.25" customHeight="1">
      <c r="A206" s="2944" t="s">
        <v>304</v>
      </c>
      <c r="B206" s="2944" t="s">
        <v>2905</v>
      </c>
      <c r="C206" s="2944">
        <v>7000</v>
      </c>
      <c r="D206" s="2944">
        <v>6950</v>
      </c>
      <c r="E206" s="2944">
        <v>9170</v>
      </c>
      <c r="F206" s="2944">
        <v>1400</v>
      </c>
      <c r="G206" s="2957">
        <v>4380</v>
      </c>
    </row>
    <row r="207" spans="1:7" s="2778" customFormat="1" ht="14.25" customHeight="1">
      <c r="A207" s="2944" t="s">
        <v>304</v>
      </c>
      <c r="B207" s="2944" t="s">
        <v>2907</v>
      </c>
      <c r="C207" s="2944">
        <v>6950</v>
      </c>
      <c r="D207" s="2944">
        <v>6900</v>
      </c>
      <c r="E207" s="2944">
        <v>9110</v>
      </c>
      <c r="F207" s="2944">
        <v>1790</v>
      </c>
      <c r="G207" s="2957">
        <v>4360</v>
      </c>
    </row>
    <row r="208" spans="1:7" s="2778" customFormat="1" ht="14.25" customHeight="1">
      <c r="A208" s="2944" t="s">
        <v>304</v>
      </c>
      <c r="B208" s="2944" t="s">
        <v>3081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2917</v>
      </c>
      <c r="C210" s="2944">
        <v>8710</v>
      </c>
      <c r="D210" s="2944">
        <v>8660</v>
      </c>
      <c r="E210" s="2944">
        <v>11440</v>
      </c>
      <c r="F210" s="2944">
        <v>1740</v>
      </c>
      <c r="G210" s="2957">
        <v>5470</v>
      </c>
    </row>
    <row r="211" spans="1:7" s="2778" customFormat="1" ht="14.25" customHeight="1">
      <c r="A211" s="2944" t="s">
        <v>304</v>
      </c>
      <c r="B211" s="2944" t="s">
        <v>3082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3083</v>
      </c>
      <c r="C214" s="2944">
        <v>8090</v>
      </c>
      <c r="D214" s="2944">
        <v>8030</v>
      </c>
      <c r="E214" s="2944">
        <v>10780</v>
      </c>
      <c r="F214" s="2944">
        <v>1570</v>
      </c>
      <c r="G214" s="2957">
        <v>5070</v>
      </c>
    </row>
    <row r="215" spans="1:7" s="2778" customFormat="1" ht="14.25" customHeight="1">
      <c r="A215" s="2944" t="s">
        <v>304</v>
      </c>
      <c r="B215" s="2944" t="s">
        <v>3084</v>
      </c>
      <c r="C215" s="2944">
        <v>7950</v>
      </c>
      <c r="D215" s="2944">
        <v>7900</v>
      </c>
      <c r="E215" s="2944">
        <v>10560</v>
      </c>
      <c r="F215" s="2944">
        <v>1630</v>
      </c>
      <c r="G215" s="2957">
        <v>4990</v>
      </c>
    </row>
    <row r="216" spans="1:7" s="2778" customFormat="1" ht="14.25" customHeight="1">
      <c r="A216" s="2944" t="s">
        <v>304</v>
      </c>
      <c r="B216" s="2944" t="s">
        <v>3085</v>
      </c>
      <c r="C216" s="2944">
        <v>8490</v>
      </c>
      <c r="D216" s="2944">
        <v>8440</v>
      </c>
      <c r="E216" s="2944">
        <v>11260</v>
      </c>
      <c r="F216" s="2944">
        <v>1690</v>
      </c>
      <c r="G216" s="2957">
        <v>5330</v>
      </c>
    </row>
    <row r="217" spans="1:7" s="2778" customFormat="1" ht="14.25" customHeight="1">
      <c r="A217" s="2944" t="s">
        <v>304</v>
      </c>
      <c r="B217" s="2944" t="s">
        <v>2950</v>
      </c>
      <c r="C217" s="2944">
        <v>8200</v>
      </c>
      <c r="D217" s="2944">
        <v>8150</v>
      </c>
      <c r="E217" s="2944">
        <v>10910</v>
      </c>
      <c r="F217" s="2944">
        <v>1670</v>
      </c>
      <c r="G217" s="2957">
        <v>5150</v>
      </c>
    </row>
    <row r="218" spans="1:7" s="2778" customFormat="1" ht="14.25" customHeight="1">
      <c r="A218" s="2944" t="s">
        <v>304</v>
      </c>
      <c r="B218" s="2944" t="s">
        <v>3086</v>
      </c>
      <c r="C218" s="2944"/>
      <c r="D218" s="2944"/>
      <c r="E218" s="2944"/>
      <c r="F218" s="2944">
        <v>2040</v>
      </c>
      <c r="G218" s="2957"/>
    </row>
    <row r="219" spans="1:7" s="2778" customFormat="1" ht="14.25" customHeight="1">
      <c r="A219" s="2944" t="s">
        <v>304</v>
      </c>
      <c r="B219" s="2944" t="s">
        <v>3087</v>
      </c>
      <c r="C219" s="2944"/>
      <c r="D219" s="2944"/>
      <c r="E219" s="2944"/>
      <c r="F219" s="2944">
        <v>2040</v>
      </c>
      <c r="G219" s="2957"/>
    </row>
    <row r="220" spans="1:7" s="2778" customFormat="1" ht="14.25" customHeight="1">
      <c r="A220" s="2944" t="s">
        <v>304</v>
      </c>
      <c r="B220" s="2944" t="s">
        <v>3088</v>
      </c>
      <c r="C220" s="2944"/>
      <c r="D220" s="2944"/>
      <c r="E220" s="2944"/>
      <c r="F220" s="2944">
        <v>2040</v>
      </c>
      <c r="G220" s="2957"/>
    </row>
    <row r="221" spans="1:7" s="2778" customFormat="1" ht="14.25" customHeight="1">
      <c r="A221" s="2944" t="s">
        <v>304</v>
      </c>
      <c r="B221" s="2944" t="s">
        <v>3089</v>
      </c>
      <c r="C221" s="2944"/>
      <c r="D221" s="2944"/>
      <c r="E221" s="2944"/>
      <c r="F221" s="2944">
        <v>2040</v>
      </c>
      <c r="G221" s="2957"/>
    </row>
    <row r="222" spans="1:7" s="2778" customFormat="1" ht="14.25" customHeight="1">
      <c r="A222" s="2944" t="s">
        <v>304</v>
      </c>
      <c r="B222" s="2944" t="s">
        <v>3090</v>
      </c>
      <c r="C222" s="2944"/>
      <c r="D222" s="2944"/>
      <c r="E222" s="2944"/>
      <c r="F222" s="2944">
        <v>2040</v>
      </c>
      <c r="G222" s="2957"/>
    </row>
    <row r="223" spans="1:7" s="2778" customFormat="1" ht="14.25" customHeight="1">
      <c r="A223" s="2944" t="s">
        <v>304</v>
      </c>
      <c r="B223" s="2944" t="s">
        <v>3091</v>
      </c>
      <c r="C223" s="2944"/>
      <c r="D223" s="2944"/>
      <c r="E223" s="2944"/>
      <c r="F223" s="2944">
        <v>1930</v>
      </c>
      <c r="G223" s="2957"/>
    </row>
    <row r="224" spans="1:7" s="2778" customFormat="1" ht="14.25" customHeight="1">
      <c r="A224" s="2944" t="s">
        <v>304</v>
      </c>
      <c r="B224" s="2944" t="s">
        <v>3092</v>
      </c>
      <c r="C224" s="2944"/>
      <c r="D224" s="2944"/>
      <c r="E224" s="2944"/>
      <c r="F224" s="2944">
        <v>1930</v>
      </c>
      <c r="G224" s="2957"/>
    </row>
    <row r="225" spans="1:7" s="2778" customFormat="1" ht="14.25" customHeight="1">
      <c r="A225" s="2944" t="s">
        <v>304</v>
      </c>
      <c r="B225" s="2944" t="s">
        <v>3093</v>
      </c>
      <c r="C225" s="2944"/>
      <c r="D225" s="2944"/>
      <c r="E225" s="2944"/>
      <c r="F225" s="2944">
        <v>1930</v>
      </c>
      <c r="G225" s="2957"/>
    </row>
    <row r="226" spans="1:7" s="2778" customFormat="1" ht="14.25" customHeight="1">
      <c r="A226" s="2944" t="s">
        <v>304</v>
      </c>
      <c r="B226" s="2944" t="s">
        <v>3094</v>
      </c>
      <c r="C226" s="2944"/>
      <c r="D226" s="2944"/>
      <c r="E226" s="2944"/>
      <c r="F226" s="2944">
        <v>1700</v>
      </c>
      <c r="G226" s="2957"/>
    </row>
    <row r="227" spans="1:7" s="2778" customFormat="1" ht="14.25" customHeight="1">
      <c r="A227" s="2944" t="s">
        <v>304</v>
      </c>
      <c r="B227" s="2944" t="s">
        <v>3095</v>
      </c>
      <c r="C227" s="2944"/>
      <c r="D227" s="2944"/>
      <c r="E227" s="2944"/>
      <c r="F227" s="2944">
        <v>1520</v>
      </c>
      <c r="G227" s="2957"/>
    </row>
    <row r="228" spans="1:7" s="2778" customFormat="1" ht="14.25" customHeight="1">
      <c r="A228" s="2944" t="s">
        <v>304</v>
      </c>
      <c r="B228" s="2944" t="s">
        <v>3096</v>
      </c>
      <c r="C228" s="2944"/>
      <c r="D228" s="2944"/>
      <c r="E228" s="2944"/>
      <c r="F228" s="2944">
        <v>1520</v>
      </c>
      <c r="G228" s="2957"/>
    </row>
    <row r="229" spans="1:7" s="2778" customFormat="1" ht="14.25" customHeight="1">
      <c r="A229" s="2944" t="s">
        <v>304</v>
      </c>
      <c r="B229" s="2944" t="s">
        <v>3013</v>
      </c>
      <c r="C229" s="2944"/>
      <c r="D229" s="2944"/>
      <c r="E229" s="2944"/>
      <c r="F229" s="2944">
        <v>1520</v>
      </c>
      <c r="G229" s="2957"/>
    </row>
    <row r="230" spans="1:7" s="2778" customFormat="1" ht="14.25" customHeight="1">
      <c r="A230" s="2944" t="s">
        <v>304</v>
      </c>
      <c r="B230" s="2944" t="s">
        <v>3097</v>
      </c>
      <c r="C230" s="2944"/>
      <c r="D230" s="2944"/>
      <c r="E230" s="2944"/>
      <c r="F230" s="2944">
        <v>1820</v>
      </c>
      <c r="G230" s="2957"/>
    </row>
    <row r="231" spans="1:7" s="2778" customFormat="1" ht="14.25" customHeight="1">
      <c r="A231" s="2944" t="s">
        <v>304</v>
      </c>
      <c r="B231" s="2944" t="s">
        <v>3098</v>
      </c>
      <c r="C231" s="2944"/>
      <c r="D231" s="2944"/>
      <c r="E231" s="2944"/>
      <c r="F231" s="2944">
        <v>1760</v>
      </c>
      <c r="G231" s="2957"/>
    </row>
    <row r="232" spans="1:7" s="2778" customFormat="1" ht="14.25" customHeight="1">
      <c r="A232" s="2944" t="s">
        <v>304</v>
      </c>
      <c r="B232" s="2944" t="s">
        <v>3099</v>
      </c>
      <c r="C232" s="2944"/>
      <c r="D232" s="2944"/>
      <c r="E232" s="2944"/>
      <c r="F232" s="2944">
        <v>1840</v>
      </c>
      <c r="G232" s="2957"/>
    </row>
    <row r="233" spans="1:7" s="2778" customFormat="1" ht="14.25" customHeight="1" thickBot="1">
      <c r="A233" s="2958" t="s">
        <v>304</v>
      </c>
      <c r="B233" s="2951" t="s">
        <v>3030</v>
      </c>
      <c r="C233" s="2951"/>
      <c r="D233" s="2951"/>
      <c r="E233" s="2951"/>
      <c r="F233" s="2951">
        <v>1770</v>
      </c>
      <c r="G233" s="2959"/>
    </row>
    <row r="234" spans="1:7" s="2778" customFormat="1" ht="14.25" customHeight="1">
      <c r="A234" s="2949" t="s">
        <v>305</v>
      </c>
      <c r="B234" s="2940" t="s">
        <v>3100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2871</v>
      </c>
      <c r="C238" s="2944">
        <v>6920</v>
      </c>
      <c r="D238" s="2944">
        <v>6890</v>
      </c>
      <c r="E238" s="2944">
        <v>8640</v>
      </c>
      <c r="F238" s="2944">
        <v>1310</v>
      </c>
      <c r="G238" s="2944">
        <v>4230</v>
      </c>
    </row>
    <row r="239" spans="1:7" s="2778" customFormat="1" ht="14.25" customHeight="1">
      <c r="A239" s="2944" t="s">
        <v>305</v>
      </c>
      <c r="B239" s="2944" t="s">
        <v>3101</v>
      </c>
      <c r="C239" s="2944">
        <v>6780</v>
      </c>
      <c r="D239" s="2944">
        <v>6750</v>
      </c>
      <c r="E239" s="2944">
        <v>8440</v>
      </c>
      <c r="F239" s="2944">
        <v>1160</v>
      </c>
      <c r="G239" s="2944">
        <v>4140</v>
      </c>
    </row>
    <row r="240" spans="1:7" s="2778" customFormat="1" ht="14.25" customHeight="1">
      <c r="A240" s="2944" t="s">
        <v>305</v>
      </c>
      <c r="B240" s="2944" t="s">
        <v>3102</v>
      </c>
      <c r="C240" s="2944">
        <v>5420</v>
      </c>
      <c r="D240" s="2944">
        <v>5380</v>
      </c>
      <c r="E240" s="2944">
        <v>6640</v>
      </c>
      <c r="F240" s="2944">
        <v>1020</v>
      </c>
      <c r="G240" s="2944">
        <v>3300</v>
      </c>
    </row>
    <row r="241" spans="1:7" s="2778" customFormat="1" ht="14.25" customHeight="1">
      <c r="A241" s="2944" t="s">
        <v>305</v>
      </c>
      <c r="B241" s="2944" t="s">
        <v>3103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2933</v>
      </c>
      <c r="C258" s="2944">
        <v>6190</v>
      </c>
      <c r="D258" s="2944">
        <v>6160</v>
      </c>
      <c r="E258" s="2944">
        <v>7680</v>
      </c>
      <c r="F258" s="2944">
        <v>1170</v>
      </c>
      <c r="G258" s="2944">
        <v>3780</v>
      </c>
    </row>
    <row r="259" spans="1:7" s="2778" customFormat="1" ht="14.25" customHeight="1">
      <c r="A259" s="2944" t="s">
        <v>305</v>
      </c>
      <c r="B259" s="2944" t="s">
        <v>3109</v>
      </c>
      <c r="C259" s="2944">
        <v>7610</v>
      </c>
      <c r="D259" s="2944">
        <v>7570</v>
      </c>
      <c r="E259" s="2944">
        <v>9350</v>
      </c>
      <c r="F259" s="2944">
        <v>1350</v>
      </c>
      <c r="G259" s="2944">
        <v>4650</v>
      </c>
    </row>
    <row r="260" spans="1:7" s="2778" customFormat="1" ht="14.25" customHeight="1">
      <c r="A260" s="2944" t="s">
        <v>305</v>
      </c>
      <c r="B260" s="2944" t="s">
        <v>3110</v>
      </c>
      <c r="C260" s="2944">
        <v>6920</v>
      </c>
      <c r="D260" s="2944">
        <v>6880</v>
      </c>
      <c r="E260" s="2944">
        <v>8380</v>
      </c>
      <c r="F260" s="2944">
        <v>1160</v>
      </c>
      <c r="G260" s="2944">
        <v>4220</v>
      </c>
    </row>
    <row r="261" spans="1:7" s="2778" customFormat="1" ht="14.25" customHeight="1">
      <c r="A261" s="2944" t="s">
        <v>305</v>
      </c>
      <c r="B261" s="2944" t="s">
        <v>3111</v>
      </c>
      <c r="C261" s="2944">
        <v>6850</v>
      </c>
      <c r="D261" s="2944">
        <v>6810</v>
      </c>
      <c r="E261" s="2944">
        <v>8290</v>
      </c>
      <c r="F261" s="2944">
        <v>1130</v>
      </c>
      <c r="G261" s="2944">
        <v>4180</v>
      </c>
    </row>
    <row r="262" spans="1:7" s="2778" customFormat="1" ht="14.25" customHeight="1">
      <c r="A262" s="2944" t="s">
        <v>305</v>
      </c>
      <c r="B262" s="2944" t="s">
        <v>3112</v>
      </c>
      <c r="C262" s="2944">
        <v>5860</v>
      </c>
      <c r="D262" s="2944">
        <v>5820</v>
      </c>
      <c r="E262" s="2944">
        <v>7640</v>
      </c>
      <c r="F262" s="2944">
        <v>1070</v>
      </c>
      <c r="G262" s="2944">
        <v>3570</v>
      </c>
    </row>
    <row r="263" spans="1:7" s="2778" customFormat="1" ht="14.25" customHeight="1">
      <c r="A263" s="2944" t="s">
        <v>305</v>
      </c>
      <c r="B263" s="2944" t="s">
        <v>3113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3114</v>
      </c>
      <c r="C265" s="2944"/>
      <c r="D265" s="2944"/>
      <c r="E265" s="2944"/>
      <c r="F265" s="2944">
        <v>1500</v>
      </c>
      <c r="G265" s="2944"/>
    </row>
    <row r="266" spans="1:7" s="2778" customFormat="1" ht="14.25" customHeight="1">
      <c r="A266" s="2944" t="s">
        <v>305</v>
      </c>
      <c r="B266" s="2944" t="s">
        <v>3115</v>
      </c>
      <c r="C266" s="2944"/>
      <c r="D266" s="2944"/>
      <c r="E266" s="2944"/>
      <c r="F266" s="2944">
        <v>1500</v>
      </c>
      <c r="G266" s="2944"/>
    </row>
    <row r="267" spans="1:7" s="2778" customFormat="1" ht="14.25" customHeight="1">
      <c r="A267" s="2944" t="s">
        <v>305</v>
      </c>
      <c r="B267" s="2944" t="s">
        <v>3116</v>
      </c>
      <c r="C267" s="2944"/>
      <c r="D267" s="2944"/>
      <c r="E267" s="2944"/>
      <c r="F267" s="2944">
        <v>1500</v>
      </c>
      <c r="G267" s="2944"/>
    </row>
    <row r="268" spans="1:7" s="2778" customFormat="1" ht="14.25" customHeight="1">
      <c r="A268" s="2944" t="s">
        <v>305</v>
      </c>
      <c r="B268" s="2944" t="s">
        <v>3117</v>
      </c>
      <c r="C268" s="2944"/>
      <c r="D268" s="2944"/>
      <c r="E268" s="2944"/>
      <c r="F268" s="2944">
        <v>1290</v>
      </c>
      <c r="G268" s="2944"/>
    </row>
    <row r="269" spans="1:7" s="2778" customFormat="1" ht="14.25" customHeight="1">
      <c r="A269" s="2944" t="s">
        <v>305</v>
      </c>
      <c r="B269" s="2944" t="s">
        <v>3118</v>
      </c>
      <c r="C269" s="2944"/>
      <c r="D269" s="2944"/>
      <c r="E269" s="2944"/>
      <c r="F269" s="2944">
        <v>1150</v>
      </c>
      <c r="G269" s="2944"/>
    </row>
    <row r="270" spans="1:7" s="2778" customFormat="1" ht="14.25" customHeight="1">
      <c r="A270" s="2944" t="s">
        <v>305</v>
      </c>
      <c r="B270" s="2944" t="s">
        <v>3119</v>
      </c>
      <c r="C270" s="2944"/>
      <c r="D270" s="2944"/>
      <c r="E270" s="2944"/>
      <c r="F270" s="2944">
        <v>1380</v>
      </c>
      <c r="G270" s="2944"/>
    </row>
    <row r="271" spans="1:7" s="2778" customFormat="1" ht="14.25" customHeight="1">
      <c r="A271" s="2944" t="s">
        <v>305</v>
      </c>
      <c r="B271" s="2944" t="s">
        <v>3120</v>
      </c>
      <c r="C271" s="2944"/>
      <c r="D271" s="2944"/>
      <c r="E271" s="2944"/>
      <c r="F271" s="2944">
        <v>1460</v>
      </c>
      <c r="G271" s="2944"/>
    </row>
    <row r="272" spans="1:7" s="2778" customFormat="1" ht="14.25" customHeight="1">
      <c r="A272" s="2944" t="s">
        <v>305</v>
      </c>
      <c r="B272" s="2944" t="s">
        <v>3121</v>
      </c>
      <c r="C272" s="2944"/>
      <c r="D272" s="2944"/>
      <c r="E272" s="2944"/>
      <c r="F272" s="2944">
        <v>1460</v>
      </c>
      <c r="G272" s="2944"/>
    </row>
    <row r="273" spans="1:7" s="2778" customFormat="1" ht="14.25" customHeight="1">
      <c r="A273" s="2944" t="s">
        <v>305</v>
      </c>
      <c r="B273" s="2944" t="s">
        <v>3014</v>
      </c>
      <c r="C273" s="2944"/>
      <c r="D273" s="2944"/>
      <c r="E273" s="2944"/>
      <c r="F273" s="2944">
        <v>1490</v>
      </c>
      <c r="G273" s="2944"/>
    </row>
    <row r="274" spans="1:7" s="2778" customFormat="1" ht="14.25" customHeight="1">
      <c r="A274" s="2944" t="s">
        <v>305</v>
      </c>
      <c r="B274" s="2944" t="s">
        <v>3122</v>
      </c>
      <c r="C274" s="2944"/>
      <c r="D274" s="2944"/>
      <c r="E274" s="2944"/>
      <c r="F274" s="2944">
        <v>1490</v>
      </c>
      <c r="G274" s="2944"/>
    </row>
    <row r="275" spans="1:7" s="2778" customFormat="1" ht="14.25" customHeight="1">
      <c r="A275" s="2944" t="s">
        <v>305</v>
      </c>
      <c r="B275" s="2944" t="s">
        <v>3123</v>
      </c>
      <c r="C275" s="2944"/>
      <c r="D275" s="2944"/>
      <c r="E275" s="2944"/>
      <c r="F275" s="2944">
        <v>1220</v>
      </c>
      <c r="G275" s="2944"/>
    </row>
    <row r="276" spans="1:7" s="2778" customFormat="1" ht="14.25" customHeight="1" thickBot="1">
      <c r="A276" s="2952" t="s">
        <v>305</v>
      </c>
      <c r="B276" s="2954" t="s">
        <v>3124</v>
      </c>
      <c r="C276" s="2955"/>
      <c r="D276" s="2955"/>
      <c r="E276" s="2955"/>
      <c r="F276" s="2955">
        <v>1380</v>
      </c>
      <c r="G276" s="2955"/>
    </row>
    <row r="277" spans="1:7" s="2778" customFormat="1" ht="14.25" customHeight="1">
      <c r="A277" s="2949" t="s">
        <v>306</v>
      </c>
      <c r="B277" s="2940" t="s">
        <v>3125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3126</v>
      </c>
      <c r="C279" s="2944">
        <v>4760</v>
      </c>
      <c r="D279" s="2944">
        <v>4720</v>
      </c>
      <c r="E279" s="2944">
        <v>5540</v>
      </c>
      <c r="F279" s="2944">
        <v>810</v>
      </c>
      <c r="G279" s="2957">
        <v>2850</v>
      </c>
    </row>
    <row r="280" spans="1:7" s="2778" customFormat="1" ht="14.25" customHeight="1">
      <c r="A280" s="2944" t="s">
        <v>306</v>
      </c>
      <c r="B280" s="2944" t="s">
        <v>3127</v>
      </c>
      <c r="C280" s="2944">
        <v>4010</v>
      </c>
      <c r="D280" s="2944">
        <v>3950</v>
      </c>
      <c r="E280" s="2944">
        <v>4710</v>
      </c>
      <c r="F280" s="2944">
        <v>800</v>
      </c>
      <c r="G280" s="2957">
        <v>2390</v>
      </c>
    </row>
    <row r="281" spans="1:7" s="2778" customFormat="1" ht="14.25" customHeight="1">
      <c r="A281" s="2944" t="s">
        <v>306</v>
      </c>
      <c r="B281" s="2944" t="s">
        <v>3128</v>
      </c>
      <c r="C281" s="2944">
        <v>4480</v>
      </c>
      <c r="D281" s="2944">
        <v>4420</v>
      </c>
      <c r="E281" s="2944">
        <v>5230</v>
      </c>
      <c r="F281" s="2944">
        <v>870</v>
      </c>
      <c r="G281" s="2957">
        <v>2660</v>
      </c>
    </row>
    <row r="282" spans="1:7" s="2778" customFormat="1" ht="14.25" customHeight="1">
      <c r="A282" s="2944" t="s">
        <v>306</v>
      </c>
      <c r="B282" s="2944" t="s">
        <v>3129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2906</v>
      </c>
      <c r="C293" s="2944">
        <v>5320</v>
      </c>
      <c r="D293" s="2944">
        <v>5270</v>
      </c>
      <c r="E293" s="2944">
        <v>6160</v>
      </c>
      <c r="F293" s="2944">
        <v>990</v>
      </c>
      <c r="G293" s="2957">
        <v>3170</v>
      </c>
    </row>
    <row r="294" spans="1:7" s="2778" customFormat="1" ht="14.25" customHeight="1">
      <c r="A294" s="2944" t="s">
        <v>306</v>
      </c>
      <c r="B294" s="2944" t="s">
        <v>3132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3133</v>
      </c>
      <c r="C302" s="2944">
        <v>5520</v>
      </c>
      <c r="D302" s="2944">
        <v>5470</v>
      </c>
      <c r="E302" s="2944">
        <v>6410</v>
      </c>
      <c r="F302" s="2944">
        <v>950</v>
      </c>
      <c r="G302" s="2957">
        <v>3300</v>
      </c>
    </row>
    <row r="303" spans="1:7" s="2778" customFormat="1" ht="14.25" customHeight="1">
      <c r="A303" s="2944" t="s">
        <v>306</v>
      </c>
      <c r="B303" s="2944" t="s">
        <v>2945</v>
      </c>
      <c r="C303" s="2944">
        <v>5630</v>
      </c>
      <c r="D303" s="2944">
        <v>5590</v>
      </c>
      <c r="E303" s="2944">
        <v>6550</v>
      </c>
      <c r="F303" s="2944">
        <v>1010</v>
      </c>
      <c r="G303" s="2957">
        <v>3370</v>
      </c>
    </row>
    <row r="304" spans="1:7" s="2778" customFormat="1" ht="14.25" customHeight="1">
      <c r="A304" s="2944" t="s">
        <v>306</v>
      </c>
      <c r="B304" s="2944" t="s">
        <v>2952</v>
      </c>
      <c r="C304" s="2944">
        <v>5680</v>
      </c>
      <c r="D304" s="2944">
        <v>5620</v>
      </c>
      <c r="E304" s="2944">
        <v>6620</v>
      </c>
      <c r="F304" s="2944">
        <v>1050</v>
      </c>
      <c r="G304" s="2957">
        <v>3390</v>
      </c>
    </row>
    <row r="305" spans="1:7" s="2778" customFormat="1" ht="14.25" customHeight="1">
      <c r="A305" s="2944" t="s">
        <v>306</v>
      </c>
      <c r="B305" s="2944" t="s">
        <v>2958</v>
      </c>
      <c r="C305" s="2944">
        <v>5590</v>
      </c>
      <c r="D305" s="2944">
        <v>5530</v>
      </c>
      <c r="E305" s="2944">
        <v>6460</v>
      </c>
      <c r="F305" s="2944">
        <v>900</v>
      </c>
      <c r="G305" s="2957">
        <v>3340</v>
      </c>
    </row>
    <row r="306" spans="1:7" s="2778" customFormat="1" ht="14.25" customHeight="1">
      <c r="A306" s="2944" t="s">
        <v>306</v>
      </c>
      <c r="B306" s="2944" t="s">
        <v>3134</v>
      </c>
      <c r="C306" s="2944">
        <v>5560</v>
      </c>
      <c r="D306" s="2944">
        <v>5510</v>
      </c>
      <c r="E306" s="2944">
        <v>6440</v>
      </c>
      <c r="F306" s="2944">
        <v>900</v>
      </c>
      <c r="G306" s="2957">
        <v>3320</v>
      </c>
    </row>
    <row r="307" spans="1:7" s="2778" customFormat="1" ht="14.25" customHeight="1">
      <c r="A307" s="2944" t="s">
        <v>306</v>
      </c>
      <c r="B307" s="2944" t="s">
        <v>2970</v>
      </c>
      <c r="C307" s="2944">
        <v>5650</v>
      </c>
      <c r="D307" s="2944">
        <v>5600</v>
      </c>
      <c r="E307" s="2944">
        <v>6590</v>
      </c>
      <c r="F307" s="2944">
        <v>930</v>
      </c>
      <c r="G307" s="2957">
        <v>3380</v>
      </c>
    </row>
    <row r="308" spans="1:7" s="2778" customFormat="1" ht="14.25" customHeight="1">
      <c r="A308" s="2944" t="s">
        <v>306</v>
      </c>
      <c r="B308" s="2944" t="s">
        <v>3135</v>
      </c>
      <c r="C308" s="2944">
        <v>5620</v>
      </c>
      <c r="D308" s="2944">
        <v>5580</v>
      </c>
      <c r="E308" s="2944">
        <v>6540</v>
      </c>
      <c r="F308" s="2944">
        <v>910</v>
      </c>
      <c r="G308" s="2957">
        <v>3370</v>
      </c>
    </row>
    <row r="309" spans="1:7" s="2778" customFormat="1" ht="14.25" customHeight="1">
      <c r="A309" s="2944" t="s">
        <v>306</v>
      </c>
      <c r="B309" s="2944" t="s">
        <v>3136</v>
      </c>
      <c r="C309" s="2944">
        <v>5060</v>
      </c>
      <c r="D309" s="2944">
        <v>5020</v>
      </c>
      <c r="E309" s="2944">
        <v>6370</v>
      </c>
      <c r="F309" s="2944">
        <v>800</v>
      </c>
      <c r="G309" s="2957">
        <v>3020</v>
      </c>
    </row>
    <row r="310" spans="1:7" s="2778" customFormat="1" ht="14.25" customHeight="1">
      <c r="A310" s="2944" t="s">
        <v>306</v>
      </c>
      <c r="B310" s="2944" t="s">
        <v>2985</v>
      </c>
      <c r="C310" s="2944">
        <v>5150</v>
      </c>
      <c r="D310" s="2944">
        <v>5110</v>
      </c>
      <c r="E310" s="2944">
        <v>6500</v>
      </c>
      <c r="F310" s="2944">
        <v>880</v>
      </c>
      <c r="G310" s="2957">
        <v>3080</v>
      </c>
    </row>
    <row r="311" spans="1:7" s="2778" customFormat="1" ht="14.25" customHeight="1">
      <c r="A311" s="2944" t="s">
        <v>306</v>
      </c>
      <c r="B311" s="2944" t="s">
        <v>3137</v>
      </c>
      <c r="C311" s="2944">
        <v>4750</v>
      </c>
      <c r="D311" s="2944">
        <v>4710</v>
      </c>
      <c r="E311" s="2944">
        <v>5510</v>
      </c>
      <c r="F311" s="2944">
        <v>880</v>
      </c>
      <c r="G311" s="2957">
        <v>2840</v>
      </c>
    </row>
    <row r="312" spans="1:7" s="2778" customFormat="1" ht="14.25" customHeight="1">
      <c r="A312" s="2944" t="s">
        <v>306</v>
      </c>
      <c r="B312" s="2944" t="s">
        <v>2995</v>
      </c>
      <c r="C312" s="2944">
        <v>4690</v>
      </c>
      <c r="D312" s="2944">
        <v>4640</v>
      </c>
      <c r="E312" s="2944">
        <v>5420</v>
      </c>
      <c r="F312" s="2944">
        <v>800</v>
      </c>
      <c r="G312" s="2957">
        <v>2800</v>
      </c>
    </row>
    <row r="313" spans="1:7" s="2778" customFormat="1" ht="14.25" customHeight="1">
      <c r="A313" s="2944" t="s">
        <v>306</v>
      </c>
      <c r="B313" s="2944" t="s">
        <v>3000</v>
      </c>
      <c r="C313" s="2944">
        <v>4810</v>
      </c>
      <c r="D313" s="2944">
        <v>4760</v>
      </c>
      <c r="E313" s="2944">
        <v>5550</v>
      </c>
      <c r="F313" s="2944">
        <v>920</v>
      </c>
      <c r="G313" s="2957">
        <v>2870</v>
      </c>
    </row>
    <row r="314" spans="1:7" s="2778" customFormat="1" ht="14.25" customHeight="1">
      <c r="A314" s="2944" t="s">
        <v>306</v>
      </c>
      <c r="B314" s="2944" t="s">
        <v>3138</v>
      </c>
      <c r="C314" s="2944"/>
      <c r="D314" s="2944"/>
      <c r="E314" s="2944"/>
      <c r="F314" s="2944">
        <v>1020</v>
      </c>
      <c r="G314" s="2957"/>
    </row>
    <row r="315" spans="1:7" s="2778" customFormat="1" ht="14.25" customHeight="1">
      <c r="A315" s="2944" t="s">
        <v>306</v>
      </c>
      <c r="B315" s="2944" t="s">
        <v>3139</v>
      </c>
      <c r="C315" s="2944"/>
      <c r="D315" s="2944"/>
      <c r="E315" s="2944"/>
      <c r="F315" s="2944">
        <v>1050</v>
      </c>
      <c r="G315" s="2957"/>
    </row>
    <row r="316" spans="1:7" s="2778" customFormat="1" ht="14.25" customHeight="1">
      <c r="A316" s="2944" t="s">
        <v>306</v>
      </c>
      <c r="B316" s="2944" t="s">
        <v>3015</v>
      </c>
      <c r="C316" s="2944"/>
      <c r="D316" s="2944"/>
      <c r="E316" s="2944"/>
      <c r="F316" s="2944">
        <v>900</v>
      </c>
      <c r="G316" s="2957"/>
    </row>
    <row r="317" spans="1:7" s="2778" customFormat="1" ht="14.25" customHeight="1">
      <c r="A317" s="2944" t="s">
        <v>306</v>
      </c>
      <c r="B317" s="2944" t="s">
        <v>3140</v>
      </c>
      <c r="C317" s="2944"/>
      <c r="D317" s="2944"/>
      <c r="E317" s="2944"/>
      <c r="F317" s="2944">
        <v>920</v>
      </c>
      <c r="G317" s="2957"/>
    </row>
    <row r="318" spans="1:7" s="2778" customFormat="1" ht="14.25" customHeight="1">
      <c r="A318" s="2944" t="s">
        <v>306</v>
      </c>
      <c r="B318" s="2944" t="s">
        <v>3141</v>
      </c>
      <c r="C318" s="2944"/>
      <c r="D318" s="2944"/>
      <c r="E318" s="2944"/>
      <c r="F318" s="2944">
        <v>1080</v>
      </c>
      <c r="G318" s="2957"/>
    </row>
    <row r="319" spans="1:7" s="2778" customFormat="1" ht="14.25" customHeight="1">
      <c r="A319" s="2944" t="s">
        <v>306</v>
      </c>
      <c r="B319" s="2944" t="s">
        <v>3028</v>
      </c>
      <c r="C319" s="2944"/>
      <c r="D319" s="2944"/>
      <c r="E319" s="2944"/>
      <c r="F319" s="2944">
        <v>1020</v>
      </c>
      <c r="G319" s="2957"/>
    </row>
    <row r="320" spans="1:7" s="2778" customFormat="1" ht="14.25" customHeight="1">
      <c r="A320" s="2944" t="s">
        <v>306</v>
      </c>
      <c r="B320" s="2944" t="s">
        <v>3031</v>
      </c>
      <c r="C320" s="2944"/>
      <c r="D320" s="2944"/>
      <c r="E320" s="2944"/>
      <c r="F320" s="2944">
        <v>1050</v>
      </c>
      <c r="G320" s="2957"/>
    </row>
    <row r="321" spans="1:7" s="2778" customFormat="1" ht="14.25" customHeight="1">
      <c r="A321" s="2944" t="s">
        <v>306</v>
      </c>
      <c r="B321" s="2944" t="s">
        <v>3033</v>
      </c>
      <c r="C321" s="2944"/>
      <c r="D321" s="2944"/>
      <c r="E321" s="2944"/>
      <c r="F321" s="2944">
        <v>960</v>
      </c>
      <c r="G321" s="2957"/>
    </row>
    <row r="322" spans="1:7" s="2778" customFormat="1" ht="14.25" customHeight="1">
      <c r="A322" s="2944" t="s">
        <v>306</v>
      </c>
      <c r="B322" s="2944" t="s">
        <v>3035</v>
      </c>
      <c r="C322" s="2944"/>
      <c r="D322" s="2944"/>
      <c r="E322" s="2944"/>
      <c r="F322" s="2944">
        <v>960</v>
      </c>
      <c r="G322" s="2957"/>
    </row>
    <row r="323" spans="1:7" s="2778" customFormat="1" ht="14.25" customHeight="1">
      <c r="A323" s="2944" t="s">
        <v>306</v>
      </c>
      <c r="B323" s="2944" t="s">
        <v>3037</v>
      </c>
      <c r="C323" s="2944"/>
      <c r="D323" s="2944"/>
      <c r="E323" s="2944"/>
      <c r="F323" s="2944">
        <v>880</v>
      </c>
      <c r="G323" s="2957"/>
    </row>
    <row r="324" spans="1:7" s="2778" customFormat="1" ht="14.25" customHeight="1">
      <c r="A324" s="2944" t="s">
        <v>306</v>
      </c>
      <c r="B324" s="2944" t="s">
        <v>3039</v>
      </c>
      <c r="C324" s="2944"/>
      <c r="D324" s="2944"/>
      <c r="E324" s="2944"/>
      <c r="F324" s="2944">
        <v>930</v>
      </c>
      <c r="G324" s="2957"/>
    </row>
    <row r="325" spans="1:7" s="2778" customFormat="1" ht="14.25" customHeight="1">
      <c r="A325" s="2944" t="s">
        <v>306</v>
      </c>
      <c r="B325" s="2945" t="s">
        <v>3041</v>
      </c>
      <c r="C325" s="2944"/>
      <c r="D325" s="2944"/>
      <c r="E325" s="2944"/>
      <c r="F325" s="2944">
        <v>900</v>
      </c>
      <c r="G325" s="2957"/>
    </row>
    <row r="326" spans="1:7" s="2778" customFormat="1" ht="14.25" customHeight="1" thickBot="1">
      <c r="A326" s="2958" t="s">
        <v>306</v>
      </c>
      <c r="B326" s="2951" t="s">
        <v>3043</v>
      </c>
      <c r="C326" s="2951"/>
      <c r="D326" s="2951"/>
      <c r="E326" s="2951"/>
      <c r="F326" s="2951">
        <v>790</v>
      </c>
      <c r="G326" s="2959"/>
    </row>
    <row r="327" spans="1:7" s="2778" customFormat="1" ht="14.25" customHeight="1">
      <c r="A327" s="2949" t="s">
        <v>307</v>
      </c>
      <c r="B327" s="2940" t="s">
        <v>3142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3143</v>
      </c>
      <c r="C329" s="2944">
        <v>2730</v>
      </c>
      <c r="D329" s="2944">
        <v>2690</v>
      </c>
      <c r="E329" s="2944">
        <v>3100</v>
      </c>
      <c r="F329" s="2944">
        <v>660</v>
      </c>
      <c r="G329" s="2944">
        <v>1610</v>
      </c>
    </row>
    <row r="330" spans="1:7" s="2778" customFormat="1" ht="14.25" customHeight="1">
      <c r="A330" s="2944" t="s">
        <v>307</v>
      </c>
      <c r="B330" s="2944" t="s">
        <v>3144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2877</v>
      </c>
      <c r="C332" s="2944">
        <v>3520</v>
      </c>
      <c r="D332" s="2944">
        <v>3480</v>
      </c>
      <c r="E332" s="2944">
        <v>3830</v>
      </c>
      <c r="F332" s="2944">
        <v>720</v>
      </c>
      <c r="G332" s="2944">
        <v>2090</v>
      </c>
    </row>
    <row r="333" spans="1:7" s="2778" customFormat="1" ht="14.25" customHeight="1">
      <c r="A333" s="2944" t="s">
        <v>307</v>
      </c>
      <c r="B333" s="2944" t="s">
        <v>3145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2887</v>
      </c>
      <c r="C336" s="2944">
        <v>3570</v>
      </c>
      <c r="D336" s="2944">
        <v>3530</v>
      </c>
      <c r="E336" s="2944">
        <v>3880</v>
      </c>
      <c r="F336" s="2944">
        <v>770</v>
      </c>
      <c r="G336" s="2944">
        <v>2110</v>
      </c>
    </row>
    <row r="337" spans="1:10" s="2778" customFormat="1" ht="14.25" customHeight="1">
      <c r="A337" s="2944" t="s">
        <v>307</v>
      </c>
      <c r="B337" s="2944" t="s">
        <v>3146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2912</v>
      </c>
      <c r="C345" s="2944">
        <v>3190</v>
      </c>
      <c r="D345" s="2944">
        <v>3140</v>
      </c>
      <c r="E345" s="2944">
        <v>3450</v>
      </c>
      <c r="F345" s="2944">
        <v>720</v>
      </c>
      <c r="G345" s="2944">
        <v>1880</v>
      </c>
      <c r="J345" s="2778"/>
    </row>
    <row r="346" spans="1:10">
      <c r="A346" s="2944" t="s">
        <v>307</v>
      </c>
      <c r="B346" s="2944" t="s">
        <v>3149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2921</v>
      </c>
      <c r="C348" s="2944">
        <v>4000</v>
      </c>
      <c r="D348" s="2944">
        <v>3950</v>
      </c>
      <c r="E348" s="2944">
        <v>4430</v>
      </c>
      <c r="F348" s="2944">
        <v>760</v>
      </c>
      <c r="G348" s="2944">
        <v>2360</v>
      </c>
      <c r="J348" s="2778"/>
    </row>
    <row r="349" spans="1:10">
      <c r="A349" s="2944" t="s">
        <v>307</v>
      </c>
      <c r="B349" s="2944" t="s">
        <v>2926</v>
      </c>
      <c r="C349" s="2944">
        <v>3820</v>
      </c>
      <c r="D349" s="2944">
        <v>3780</v>
      </c>
      <c r="E349" s="2944">
        <v>4170</v>
      </c>
      <c r="F349" s="2944">
        <v>710</v>
      </c>
      <c r="G349" s="2944">
        <v>2260</v>
      </c>
      <c r="J349" s="2778"/>
    </row>
    <row r="350" spans="1:10">
      <c r="A350" s="2944" t="s">
        <v>307</v>
      </c>
      <c r="B350" s="2944" t="s">
        <v>3150</v>
      </c>
      <c r="C350" s="2944">
        <v>3760</v>
      </c>
      <c r="D350" s="2944">
        <v>3730</v>
      </c>
      <c r="E350" s="2944">
        <v>4100</v>
      </c>
      <c r="F350" s="2944">
        <v>800</v>
      </c>
      <c r="G350" s="2944">
        <v>2230</v>
      </c>
      <c r="J350" s="2778"/>
    </row>
    <row r="351" spans="1:10">
      <c r="A351" s="2944" t="s">
        <v>307</v>
      </c>
      <c r="B351" s="2944" t="s">
        <v>2934</v>
      </c>
      <c r="C351" s="2944">
        <v>3610</v>
      </c>
      <c r="D351" s="2944">
        <v>3580</v>
      </c>
      <c r="E351" s="2944">
        <v>3930</v>
      </c>
      <c r="F351" s="2944">
        <v>700</v>
      </c>
      <c r="G351" s="2944">
        <v>2140</v>
      </c>
      <c r="J351" s="2778"/>
    </row>
    <row r="352" spans="1:10">
      <c r="A352" s="2944" t="s">
        <v>307</v>
      </c>
      <c r="B352" s="2944" t="s">
        <v>2939</v>
      </c>
      <c r="C352" s="2944">
        <v>3670</v>
      </c>
      <c r="D352" s="2944">
        <v>3630</v>
      </c>
      <c r="E352" s="2944">
        <v>4000</v>
      </c>
      <c r="F352" s="2944">
        <v>750</v>
      </c>
      <c r="G352" s="2944">
        <v>2180</v>
      </c>
    </row>
    <row r="353" spans="1:7" s="2779" customFormat="1">
      <c r="A353" s="2944" t="s">
        <v>307</v>
      </c>
      <c r="B353" s="2944" t="s">
        <v>3151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2959</v>
      </c>
      <c r="C355" s="2944">
        <v>3650</v>
      </c>
      <c r="D355" s="2944">
        <v>3610</v>
      </c>
      <c r="E355" s="2944">
        <v>4200</v>
      </c>
      <c r="F355" s="2944">
        <v>640</v>
      </c>
      <c r="G355" s="2944">
        <v>2160</v>
      </c>
    </row>
    <row r="356" spans="1:7" s="2779" customFormat="1">
      <c r="A356" s="2944" t="s">
        <v>307</v>
      </c>
      <c r="B356" s="2944" t="s">
        <v>2966</v>
      </c>
      <c r="C356" s="2944">
        <v>3260</v>
      </c>
      <c r="D356" s="2944">
        <v>3230</v>
      </c>
      <c r="E356" s="2944">
        <v>3740</v>
      </c>
      <c r="F356" s="2944">
        <v>600</v>
      </c>
      <c r="G356" s="2944">
        <v>1930</v>
      </c>
    </row>
    <row r="357" spans="1:7" s="2779" customFormat="1" ht="12" thickBot="1">
      <c r="A357" s="2952" t="s">
        <v>307</v>
      </c>
      <c r="B357" s="2955" t="s">
        <v>3152</v>
      </c>
      <c r="C357" s="2955">
        <v>3690</v>
      </c>
      <c r="D357" s="2955">
        <v>3650</v>
      </c>
      <c r="E357" s="2955">
        <v>4020</v>
      </c>
      <c r="F357" s="2955">
        <v>700</v>
      </c>
      <c r="G357" s="2955">
        <v>2190</v>
      </c>
    </row>
    <row r="358" spans="1:7" s="2779" customFormat="1">
      <c r="A358" s="2949" t="s">
        <v>3153</v>
      </c>
      <c r="B358" s="2940" t="s">
        <v>3154</v>
      </c>
      <c r="C358" s="2940">
        <v>2080</v>
      </c>
      <c r="D358" s="2940">
        <v>2040</v>
      </c>
      <c r="E358" s="2940">
        <v>2010</v>
      </c>
      <c r="F358" s="2940">
        <v>530</v>
      </c>
      <c r="G358" s="2956">
        <v>1230</v>
      </c>
    </row>
    <row r="359" spans="1:7" s="2779" customFormat="1">
      <c r="A359" s="2944" t="s">
        <v>3153</v>
      </c>
      <c r="B359" s="2944" t="s">
        <v>3155</v>
      </c>
      <c r="C359" s="2944">
        <v>1850</v>
      </c>
      <c r="D359" s="2944">
        <v>1820</v>
      </c>
      <c r="E359" s="2944">
        <v>1780</v>
      </c>
      <c r="F359" s="2944">
        <v>520</v>
      </c>
      <c r="G359" s="2957">
        <v>1100</v>
      </c>
    </row>
    <row r="360" spans="1:7" s="2779" customFormat="1">
      <c r="A360" s="2944" t="s">
        <v>3153</v>
      </c>
      <c r="B360" s="2944" t="s">
        <v>3156</v>
      </c>
      <c r="C360" s="2944">
        <v>2020</v>
      </c>
      <c r="D360" s="2944">
        <v>1990</v>
      </c>
      <c r="E360" s="2944">
        <v>1950</v>
      </c>
      <c r="F360" s="2944">
        <v>500</v>
      </c>
      <c r="G360" s="2957">
        <v>1200</v>
      </c>
    </row>
    <row r="361" spans="1:7" s="2779" customFormat="1">
      <c r="A361" s="2944" t="s">
        <v>3153</v>
      </c>
      <c r="B361" s="2944" t="s">
        <v>153</v>
      </c>
      <c r="C361" s="2944">
        <v>2260</v>
      </c>
      <c r="D361" s="2944">
        <v>2220</v>
      </c>
      <c r="E361" s="2944">
        <v>2180</v>
      </c>
      <c r="F361" s="2944">
        <v>580</v>
      </c>
      <c r="G361" s="2957">
        <v>1340</v>
      </c>
    </row>
    <row r="362" spans="1:7" s="2779" customFormat="1">
      <c r="A362" s="2944" t="s">
        <v>3153</v>
      </c>
      <c r="B362" s="2944" t="s">
        <v>3157</v>
      </c>
      <c r="C362" s="2944">
        <v>2650</v>
      </c>
      <c r="D362" s="2944">
        <v>2610</v>
      </c>
      <c r="E362" s="2944">
        <v>2570</v>
      </c>
      <c r="F362" s="2944">
        <v>630</v>
      </c>
      <c r="G362" s="2957">
        <v>1570</v>
      </c>
    </row>
    <row r="363" spans="1:7" s="2779" customFormat="1">
      <c r="A363" s="2944" t="s">
        <v>3153</v>
      </c>
      <c r="B363" s="2944" t="s">
        <v>2878</v>
      </c>
      <c r="C363" s="2944">
        <v>2390</v>
      </c>
      <c r="D363" s="2944">
        <v>2360</v>
      </c>
      <c r="E363" s="2944">
        <v>2320</v>
      </c>
      <c r="F363" s="2944">
        <v>600</v>
      </c>
      <c r="G363" s="2957">
        <v>1420</v>
      </c>
    </row>
    <row r="364" spans="1:7" s="2779" customFormat="1">
      <c r="A364" s="2944" t="s">
        <v>3153</v>
      </c>
      <c r="B364" s="2944" t="s">
        <v>3158</v>
      </c>
      <c r="C364" s="2944">
        <v>2050</v>
      </c>
      <c r="D364" s="2944">
        <v>2030</v>
      </c>
      <c r="E364" s="2944">
        <v>1990</v>
      </c>
      <c r="F364" s="2944">
        <v>550</v>
      </c>
      <c r="G364" s="2957">
        <v>1220</v>
      </c>
    </row>
    <row r="365" spans="1:7" s="2779" customFormat="1">
      <c r="A365" s="2944" t="s">
        <v>3153</v>
      </c>
      <c r="B365" s="2944" t="s">
        <v>200</v>
      </c>
      <c r="C365" s="2944">
        <v>2140</v>
      </c>
      <c r="D365" s="2944">
        <v>2100</v>
      </c>
      <c r="E365" s="2944">
        <v>2060</v>
      </c>
      <c r="F365" s="2944">
        <v>540</v>
      </c>
      <c r="G365" s="2957">
        <v>1270</v>
      </c>
    </row>
    <row r="366" spans="1:7" s="2779" customFormat="1">
      <c r="A366" s="2944" t="s">
        <v>3153</v>
      </c>
      <c r="B366" s="2944" t="s">
        <v>2885</v>
      </c>
      <c r="C366" s="2944">
        <v>2410</v>
      </c>
      <c r="D366" s="2944">
        <v>2370</v>
      </c>
      <c r="E366" s="2944">
        <v>2330</v>
      </c>
      <c r="F366" s="2944">
        <v>570</v>
      </c>
      <c r="G366" s="2957">
        <v>1440</v>
      </c>
    </row>
    <row r="367" spans="1:7" s="2779" customFormat="1">
      <c r="A367" s="2944" t="s">
        <v>3153</v>
      </c>
      <c r="B367" s="2944" t="s">
        <v>3159</v>
      </c>
      <c r="C367" s="2944">
        <v>2300</v>
      </c>
      <c r="D367" s="2944">
        <v>2260</v>
      </c>
      <c r="E367" s="2944">
        <v>2220</v>
      </c>
      <c r="F367" s="2944">
        <v>560</v>
      </c>
      <c r="G367" s="2957">
        <v>1370</v>
      </c>
    </row>
    <row r="368" spans="1:7" s="2779" customFormat="1">
      <c r="A368" s="2944" t="s">
        <v>3153</v>
      </c>
      <c r="B368" s="2944" t="s">
        <v>3160</v>
      </c>
      <c r="C368" s="2944">
        <v>2430</v>
      </c>
      <c r="D368" s="2944">
        <v>2390</v>
      </c>
      <c r="E368" s="2944">
        <v>2350</v>
      </c>
      <c r="F368" s="2944">
        <v>570</v>
      </c>
      <c r="G368" s="2957">
        <v>1450</v>
      </c>
    </row>
    <row r="369" spans="1:7" s="2779" customFormat="1">
      <c r="A369" s="2944" t="s">
        <v>3153</v>
      </c>
      <c r="B369" s="2944" t="s">
        <v>214</v>
      </c>
      <c r="C369" s="2944">
        <v>2320</v>
      </c>
      <c r="D369" s="2944">
        <v>2290</v>
      </c>
      <c r="E369" s="2944">
        <v>2250</v>
      </c>
      <c r="F369" s="2944">
        <v>550</v>
      </c>
      <c r="G369" s="2957">
        <v>1380</v>
      </c>
    </row>
    <row r="370" spans="1:7" s="2779" customFormat="1">
      <c r="A370" s="2944" t="s">
        <v>3153</v>
      </c>
      <c r="B370" s="2944" t="s">
        <v>221</v>
      </c>
      <c r="C370" s="2944">
        <v>2190</v>
      </c>
      <c r="D370" s="2944">
        <v>2170</v>
      </c>
      <c r="E370" s="2944">
        <v>2130</v>
      </c>
      <c r="F370" s="2944">
        <v>530</v>
      </c>
      <c r="G370" s="2957">
        <v>1310</v>
      </c>
    </row>
    <row r="371" spans="1:7" s="2779" customFormat="1">
      <c r="A371" s="2944" t="s">
        <v>3153</v>
      </c>
      <c r="B371" s="2944" t="s">
        <v>229</v>
      </c>
      <c r="C371" s="2944">
        <v>2460</v>
      </c>
      <c r="D371" s="2944">
        <v>2420</v>
      </c>
      <c r="E371" s="2944">
        <v>2370</v>
      </c>
      <c r="F371" s="2944">
        <v>560</v>
      </c>
      <c r="G371" s="2957">
        <v>1470</v>
      </c>
    </row>
    <row r="372" spans="1:7" s="2779" customFormat="1">
      <c r="A372" s="2944" t="s">
        <v>3153</v>
      </c>
      <c r="B372" s="2944" t="s">
        <v>3161</v>
      </c>
      <c r="C372" s="2944">
        <v>2250</v>
      </c>
      <c r="D372" s="2944">
        <v>2210</v>
      </c>
      <c r="E372" s="2944">
        <v>2180</v>
      </c>
      <c r="F372" s="2944">
        <v>550</v>
      </c>
      <c r="G372" s="2957">
        <v>1340</v>
      </c>
    </row>
    <row r="373" spans="1:7" s="2779" customFormat="1">
      <c r="A373" s="2944" t="s">
        <v>3153</v>
      </c>
      <c r="B373" s="2944" t="s">
        <v>258</v>
      </c>
      <c r="C373" s="2944">
        <v>2210</v>
      </c>
      <c r="D373" s="2944">
        <v>2190</v>
      </c>
      <c r="E373" s="2944">
        <v>2150</v>
      </c>
      <c r="F373" s="2944">
        <v>530</v>
      </c>
      <c r="G373" s="2957">
        <v>1320</v>
      </c>
    </row>
    <row r="374" spans="1:7" s="2779" customFormat="1">
      <c r="A374" s="2944" t="s">
        <v>3153</v>
      </c>
      <c r="B374" s="2944" t="s">
        <v>266</v>
      </c>
      <c r="C374" s="2944">
        <v>2320</v>
      </c>
      <c r="D374" s="2944">
        <v>2280</v>
      </c>
      <c r="E374" s="2944">
        <v>2230</v>
      </c>
      <c r="F374" s="2944">
        <v>580</v>
      </c>
      <c r="G374" s="2957">
        <v>1380</v>
      </c>
    </row>
    <row r="375" spans="1:7" s="2779" customFormat="1">
      <c r="A375" s="2944" t="s">
        <v>3153</v>
      </c>
      <c r="B375" s="2944" t="s">
        <v>3162</v>
      </c>
      <c r="C375" s="2944">
        <v>2090</v>
      </c>
      <c r="D375" s="2944">
        <v>2050</v>
      </c>
      <c r="E375" s="2944">
        <v>2020</v>
      </c>
      <c r="F375" s="2944">
        <v>520</v>
      </c>
      <c r="G375" s="2957">
        <v>1240</v>
      </c>
    </row>
    <row r="376" spans="1:7" s="2779" customFormat="1">
      <c r="A376" s="2944" t="s">
        <v>3153</v>
      </c>
      <c r="B376" s="2944" t="s">
        <v>277</v>
      </c>
      <c r="C376" s="2944">
        <v>2010</v>
      </c>
      <c r="D376" s="2944">
        <v>1980</v>
      </c>
      <c r="E376" s="2944">
        <v>1940</v>
      </c>
      <c r="F376" s="2944">
        <v>540</v>
      </c>
      <c r="G376" s="2957">
        <v>1190</v>
      </c>
    </row>
    <row r="377" spans="1:7" s="2779" customFormat="1" ht="12" thickBot="1">
      <c r="A377" s="2952" t="s">
        <v>3153</v>
      </c>
      <c r="B377" s="2955" t="s">
        <v>2915</v>
      </c>
      <c r="C377" s="2955">
        <v>1930</v>
      </c>
      <c r="D377" s="2955">
        <v>1890</v>
      </c>
      <c r="E377" s="2955">
        <v>1860</v>
      </c>
      <c r="F377" s="2955">
        <v>530</v>
      </c>
      <c r="G377" s="2960">
        <v>1150</v>
      </c>
    </row>
    <row r="378" spans="1:7" s="2779" customFormat="1">
      <c r="A378" s="2961" t="s">
        <v>3163</v>
      </c>
      <c r="B378" s="2940" t="s">
        <v>3164</v>
      </c>
      <c r="C378" s="2940">
        <v>1520</v>
      </c>
      <c r="D378" s="2940">
        <v>1490</v>
      </c>
      <c r="E378" s="2940">
        <v>1460</v>
      </c>
      <c r="F378" s="2940">
        <v>460</v>
      </c>
      <c r="G378" s="2956">
        <v>940</v>
      </c>
    </row>
    <row r="379" spans="1:7" s="2779" customFormat="1">
      <c r="A379" s="2962" t="s">
        <v>3163</v>
      </c>
      <c r="B379" s="2944" t="s">
        <v>3165</v>
      </c>
      <c r="C379" s="2944">
        <v>1500</v>
      </c>
      <c r="D379" s="2944">
        <v>1470</v>
      </c>
      <c r="E379" s="2944">
        <v>1430</v>
      </c>
      <c r="F379" s="2944">
        <v>460</v>
      </c>
      <c r="G379" s="2957">
        <v>920</v>
      </c>
    </row>
    <row r="380" spans="1:7" s="2779" customFormat="1">
      <c r="A380" s="2962" t="s">
        <v>3163</v>
      </c>
      <c r="B380" s="2944" t="s">
        <v>3166</v>
      </c>
      <c r="C380" s="2944">
        <v>1620</v>
      </c>
      <c r="D380" s="2944">
        <v>1590</v>
      </c>
      <c r="E380" s="2944">
        <v>1560</v>
      </c>
      <c r="F380" s="2944">
        <v>480</v>
      </c>
      <c r="G380" s="2957">
        <v>1000</v>
      </c>
    </row>
    <row r="381" spans="1:7" s="2779" customFormat="1">
      <c r="A381" s="2962" t="s">
        <v>3163</v>
      </c>
      <c r="B381" s="2944" t="s">
        <v>3167</v>
      </c>
      <c r="C381" s="2944">
        <v>1460</v>
      </c>
      <c r="D381" s="2944">
        <v>1430</v>
      </c>
      <c r="E381" s="2944">
        <v>1390</v>
      </c>
      <c r="F381" s="2944">
        <v>450</v>
      </c>
      <c r="G381" s="2957">
        <v>900</v>
      </c>
    </row>
    <row r="382" spans="1:7" s="2779" customFormat="1">
      <c r="A382" s="2962" t="s">
        <v>3163</v>
      </c>
      <c r="B382" s="2944" t="s">
        <v>3168</v>
      </c>
      <c r="C382" s="2944">
        <v>1310</v>
      </c>
      <c r="D382" s="2944">
        <v>1280</v>
      </c>
      <c r="E382" s="2944">
        <v>1250</v>
      </c>
      <c r="F382" s="2944">
        <v>440</v>
      </c>
      <c r="G382" s="2957">
        <v>800</v>
      </c>
    </row>
    <row r="383" spans="1:7" s="2779" customFormat="1">
      <c r="A383" s="2962" t="s">
        <v>3163</v>
      </c>
      <c r="B383" s="2944" t="s">
        <v>3169</v>
      </c>
      <c r="C383" s="2944">
        <v>1260</v>
      </c>
      <c r="D383" s="2944">
        <v>1230</v>
      </c>
      <c r="E383" s="2944">
        <v>1200</v>
      </c>
      <c r="F383" s="2944">
        <v>420</v>
      </c>
      <c r="G383" s="2957">
        <v>770</v>
      </c>
    </row>
    <row r="384" spans="1:7" s="2779" customFormat="1" ht="12" thickBot="1">
      <c r="A384" s="2963" t="s">
        <v>3163</v>
      </c>
      <c r="B384" s="2951" t="s">
        <v>3170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8" sqref="I8:J8"/>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45924</v>
      </c>
      <c r="D1" s="1213" t="s">
        <v>603</v>
      </c>
      <c r="E1" s="1208">
        <f>'数据-取费表'!B22</f>
        <v>3</v>
      </c>
      <c r="F1" s="1213" t="s">
        <v>604</v>
      </c>
      <c r="G1" s="1209">
        <f ca="1">IF(OR(C1&lt;C27,E1&lt;=1),INDIRECT("d"&amp;$K$1)/100,ROUND((D5+(E1-C5)*(D7-D5)/(C7-C5))/100,4))</f>
        <v>3.2500000000000001E-2</v>
      </c>
      <c r="H1" s="1213" t="s">
        <v>634</v>
      </c>
      <c r="I1" s="1209">
        <f ca="1">F4/100</f>
        <v>1.4999999999999999E-2</v>
      </c>
      <c r="J1" s="1214">
        <f>IF(C1&gt;C13,0,MATCH(C1,C$13:C$115,-1))+IF(SUMIF(C13:C115,C1,D13:D115)=0,13,12)</f>
        <v>13</v>
      </c>
      <c r="K1" s="1214">
        <f ca="1">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72">
        <v>45797</v>
      </c>
      <c r="D13" s="1197">
        <v>3</v>
      </c>
      <c r="E13" s="1197">
        <v>3</v>
      </c>
      <c r="F13" s="1197">
        <f t="shared" ref="F13:F18" si="0">D13</f>
        <v>3</v>
      </c>
      <c r="G13" s="1197">
        <f t="shared" ref="G13:G18" si="1">D13</f>
        <v>3</v>
      </c>
      <c r="H13" s="1197">
        <v>3.5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45097</v>
      </c>
      <c r="D18" s="1201">
        <v>3.55</v>
      </c>
      <c r="E18" s="1201">
        <f>D18</f>
        <v>3.55</v>
      </c>
      <c r="F18" s="1201">
        <f t="shared" si="0"/>
        <v>3.55</v>
      </c>
      <c r="G18" s="1201">
        <f t="shared" si="1"/>
        <v>3.55</v>
      </c>
      <c r="H18" s="1201">
        <v>4.2</v>
      </c>
      <c r="I18" s="1197"/>
      <c r="J18" s="1197"/>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73"/>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1196" t="s">
        <v>2299</v>
      </c>
      <c r="C27" s="1203">
        <v>43697</v>
      </c>
      <c r="D27" s="2571">
        <v>4.25</v>
      </c>
      <c r="E27" s="2571">
        <v>4.25</v>
      </c>
      <c r="F27" s="2571">
        <v>4.25</v>
      </c>
      <c r="G27" s="2571">
        <v>4.25</v>
      </c>
      <c r="H27" s="2571">
        <v>4.8499999999999996</v>
      </c>
      <c r="I27" s="2571"/>
      <c r="J27" s="257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4.25">
      <c r="B28" s="2574"/>
      <c r="C28" s="2575">
        <v>42301</v>
      </c>
      <c r="D28" s="2576">
        <v>4.3499999999999996</v>
      </c>
      <c r="E28" s="2576">
        <v>4.3499999999999996</v>
      </c>
      <c r="F28" s="2576">
        <v>4.75</v>
      </c>
      <c r="G28" s="2576">
        <v>4.75</v>
      </c>
      <c r="H28" s="2576">
        <v>4.9000000000000004</v>
      </c>
      <c r="I28" s="2576"/>
      <c r="J28" s="2576"/>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633</v>
      </c>
      <c r="J70" s="1201" t="s">
        <v>633</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5" t="s">
        <v>949</v>
      </c>
      <c r="B1" s="3215"/>
      <c r="C1" s="3215"/>
      <c r="D1" s="3215"/>
    </row>
    <row r="2" spans="1:4" ht="18">
      <c r="A2" s="3216" t="s">
        <v>933</v>
      </c>
      <c r="B2" s="3216"/>
      <c r="C2" s="3216"/>
      <c r="D2" s="3216"/>
    </row>
    <row r="3" spans="1:4" ht="18.75">
      <c r="A3" s="1403" t="s">
        <v>934</v>
      </c>
      <c r="B3" s="1403" t="s">
        <v>935</v>
      </c>
      <c r="C3" s="1403" t="s">
        <v>936</v>
      </c>
      <c r="D3" s="1403" t="s">
        <v>937</v>
      </c>
    </row>
    <row r="4" spans="1:4" ht="56.25" customHeight="1">
      <c r="A4" s="1404">
        <f>项目基本情况!B4</f>
        <v>0</v>
      </c>
      <c r="B4" s="1405">
        <f>项目基本情况!C4</f>
        <v>0</v>
      </c>
      <c r="C4" s="1406"/>
      <c r="D4" s="1407" t="s">
        <v>938</v>
      </c>
    </row>
    <row r="5" spans="1:4" ht="56.25" customHeight="1">
      <c r="A5" s="1404">
        <f>项目基本情况!D4</f>
        <v>0</v>
      </c>
      <c r="B5" s="1405">
        <f>项目基本情况!E4</f>
        <v>0</v>
      </c>
      <c r="C5" s="1408"/>
      <c r="D5" s="1407" t="s">
        <v>938</v>
      </c>
    </row>
    <row r="6" spans="1:4" ht="18">
      <c r="A6" s="3216" t="s">
        <v>939</v>
      </c>
      <c r="B6" s="3216"/>
      <c r="C6" s="3216"/>
      <c r="D6" s="3216"/>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17" t="s">
        <v>942</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09" t="str">
        <f>IF(项目基本情况!B8="抵押","4.本次评估估价师所知悉的法定优先受偿款情况说明如下：","——")</f>
        <v>4.本次评估估价师所知悉的法定优先受偿款情况说明如下：</v>
      </c>
      <c r="B14" s="3214"/>
      <c r="C14" s="3214"/>
      <c r="D14" s="3214"/>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1" t="s">
        <v>943</v>
      </c>
      <c r="B16" s="3211"/>
      <c r="C16" s="3211"/>
      <c r="D16" s="3211"/>
    </row>
    <row r="17" spans="1:4" ht="144" customHeight="1">
      <c r="A17" s="3211" t="s">
        <v>944</v>
      </c>
      <c r="B17" s="3211"/>
      <c r="C17" s="3211"/>
      <c r="D17" s="3211"/>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9"/>
      <c r="C20" s="3209"/>
      <c r="D20" s="3209"/>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2"/>
      <c r="C21" s="3212"/>
      <c r="D21" s="3212"/>
    </row>
    <row r="22" spans="1:4" ht="18.75" customHeight="1">
      <c r="A22" s="3213" t="s">
        <v>945</v>
      </c>
      <c r="B22" s="3213"/>
      <c r="C22" s="3213"/>
      <c r="D22" s="3213"/>
    </row>
    <row r="23" spans="1:4">
      <c r="A23" s="1411"/>
      <c r="B23" s="457"/>
      <c r="C23" s="457"/>
      <c r="D23" s="457"/>
    </row>
    <row r="24" spans="1:4">
      <c r="A24" s="1411"/>
      <c r="B24" s="457"/>
      <c r="C24" s="457"/>
      <c r="D24" s="457"/>
    </row>
    <row r="25" spans="1:4" ht="18.75">
      <c r="A25" s="1412" t="s">
        <v>946</v>
      </c>
    </row>
    <row r="26" spans="1:4" ht="18">
      <c r="A26" s="1383"/>
    </row>
    <row r="27" spans="1:4" ht="18.75">
      <c r="A27" s="1383" t="s">
        <v>947</v>
      </c>
    </row>
    <row r="30" spans="1:4" ht="18.75">
      <c r="D30" s="1412" t="s">
        <v>948</v>
      </c>
    </row>
    <row r="31" spans="1:4" ht="13.5" customHeight="1">
      <c r="C31" s="3210">
        <v>42551</v>
      </c>
      <c r="D31" s="32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223" t="s">
        <v>956</v>
      </c>
      <c r="B15" s="3218" t="s">
        <v>109</v>
      </c>
      <c r="C15" s="3219"/>
    </row>
    <row r="16" spans="1:7" ht="13.5">
      <c r="A16" s="3224"/>
      <c r="B16" s="3218" t="s">
        <v>42</v>
      </c>
      <c r="C16" s="3219"/>
    </row>
    <row r="17" spans="1:3" ht="13.5">
      <c r="A17" s="3224"/>
      <c r="B17" s="3221" t="s">
        <v>957</v>
      </c>
      <c r="C17" s="1425" t="s">
        <v>956</v>
      </c>
    </row>
    <row r="18" spans="1:3" ht="13.5">
      <c r="A18" s="3224"/>
      <c r="B18" s="3221"/>
      <c r="C18" s="1425" t="s">
        <v>958</v>
      </c>
    </row>
    <row r="19" spans="1:3" ht="13.5">
      <c r="A19" s="3224"/>
      <c r="B19" s="3221"/>
      <c r="C19" s="1425" t="s">
        <v>959</v>
      </c>
    </row>
    <row r="20" spans="1:3" ht="13.5">
      <c r="A20" s="3225"/>
      <c r="B20" s="3220" t="s">
        <v>960</v>
      </c>
      <c r="C20" s="3219"/>
    </row>
    <row r="21" spans="1:3" ht="13.5">
      <c r="A21" s="1426" t="s">
        <v>961</v>
      </c>
      <c r="B21" s="1427"/>
      <c r="C21" s="1428"/>
    </row>
    <row r="22" spans="1:3" ht="13.5">
      <c r="A22" s="3222" t="s">
        <v>962</v>
      </c>
      <c r="B22" s="3220" t="s">
        <v>963</v>
      </c>
      <c r="C22" s="3219"/>
    </row>
    <row r="23" spans="1:3" ht="13.5">
      <c r="A23" s="3222"/>
      <c r="B23" s="3220" t="s">
        <v>964</v>
      </c>
      <c r="C23" s="3219"/>
    </row>
    <row r="24" spans="1:3" ht="13.5">
      <c r="A24" s="3222"/>
      <c r="B24" s="3220" t="s">
        <v>965</v>
      </c>
      <c r="C24" s="3219"/>
    </row>
    <row r="25" spans="1:3" ht="13.5">
      <c r="A25" s="3222"/>
      <c r="B25" s="3221" t="s">
        <v>966</v>
      </c>
      <c r="C25" s="1425" t="s">
        <v>967</v>
      </c>
    </row>
    <row r="26" spans="1:3" ht="13.5">
      <c r="A26" s="3222"/>
      <c r="B26" s="3221"/>
      <c r="C26" s="1425" t="s">
        <v>968</v>
      </c>
    </row>
    <row r="27" spans="1:3" ht="13.5">
      <c r="A27" s="3222"/>
      <c r="B27" s="3221"/>
      <c r="C27" s="1425" t="s">
        <v>969</v>
      </c>
    </row>
    <row r="28" spans="1:3" ht="13.5">
      <c r="A28" s="3222"/>
      <c r="B28" s="3221"/>
      <c r="C28" s="1425" t="s">
        <v>970</v>
      </c>
    </row>
    <row r="29" spans="1:3" ht="13.5">
      <c r="A29" s="3222"/>
      <c r="B29" s="3221"/>
      <c r="C29" s="1425" t="s">
        <v>971</v>
      </c>
    </row>
    <row r="30" spans="1:3" ht="13.5">
      <c r="A30" s="3222"/>
      <c r="B30" s="3221"/>
      <c r="C30" s="1425" t="s">
        <v>972</v>
      </c>
    </row>
    <row r="31" spans="1:3" ht="13.5">
      <c r="A31" s="3222"/>
      <c r="B31" s="3221"/>
      <c r="C31" s="1425" t="s">
        <v>973</v>
      </c>
    </row>
    <row r="32" spans="1:3" ht="13.5">
      <c r="A32" s="3222"/>
      <c r="B32" s="3221"/>
      <c r="C32" s="1425" t="s">
        <v>974</v>
      </c>
    </row>
    <row r="33" spans="1:3" ht="13.5">
      <c r="A33" s="3222"/>
      <c r="B33" s="3221"/>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2138</v>
      </c>
      <c r="B2" s="2153">
        <f ca="1">TODAY()</f>
        <v>45925</v>
      </c>
      <c r="C2" s="2154" t="s">
        <v>2139</v>
      </c>
      <c r="D2" s="2154"/>
      <c r="E2" s="2154"/>
      <c r="F2" s="2150"/>
      <c r="G2" s="2150"/>
      <c r="H2" s="2150"/>
    </row>
    <row r="3" spans="1:8" ht="24" customHeight="1">
      <c r="A3" s="2155" t="s">
        <v>2140</v>
      </c>
      <c r="B3" s="1215" t="s">
        <v>2141</v>
      </c>
      <c r="C3" s="1215" t="s">
        <v>2142</v>
      </c>
      <c r="D3" s="2156" t="s">
        <v>2143</v>
      </c>
      <c r="E3" s="2157" t="s">
        <v>2144</v>
      </c>
      <c r="F3" s="1215" t="s">
        <v>2145</v>
      </c>
      <c r="G3" s="1215" t="s">
        <v>2142</v>
      </c>
      <c r="H3" s="2156" t="s">
        <v>2146</v>
      </c>
    </row>
    <row r="4" spans="1:8" ht="24" customHeight="1">
      <c r="A4" s="1215" t="s">
        <v>2147</v>
      </c>
      <c r="B4" s="1215">
        <f ca="1">IF(C4&lt;B2,"已过期",1119970066)</f>
        <v>1119970066</v>
      </c>
      <c r="C4" s="2158">
        <v>45937</v>
      </c>
      <c r="D4" s="2159" t="str">
        <f ca="1">A4&amp;"（注册号："&amp;B4&amp;"）"</f>
        <v>梁津（注册号：1119970066）</v>
      </c>
      <c r="E4" s="2160" t="s">
        <v>2147</v>
      </c>
      <c r="F4" s="1215">
        <f ca="1">IF(G4&lt;B2,"已过期",96010014)</f>
        <v>96010014</v>
      </c>
      <c r="G4" s="2161">
        <v>47118</v>
      </c>
      <c r="H4" s="2162" t="str">
        <f ca="1">E4&amp;"（注册号："&amp;F4&amp;"）"</f>
        <v>梁津（注册号：96010014）</v>
      </c>
    </row>
    <row r="5" spans="1:8" ht="24" customHeight="1">
      <c r="A5" s="1215" t="s">
        <v>2148</v>
      </c>
      <c r="B5" s="1215">
        <f ca="1">IF(C5&lt;B2,"已过期",1119970111)</f>
        <v>1119970111</v>
      </c>
      <c r="C5" s="2158">
        <v>45937</v>
      </c>
      <c r="D5" s="2159" t="str">
        <f t="shared" ref="D5:D15" ca="1" si="0">A5&amp;"（注册号："&amp;B5&amp;"）"</f>
        <v>叶凌（注册号：1119970111）</v>
      </c>
      <c r="E5" s="2160" t="s">
        <v>2148</v>
      </c>
      <c r="F5" s="1215">
        <f ca="1">IF(G5&lt;B2,"已过期",94010078)</f>
        <v>94010078</v>
      </c>
      <c r="G5" s="2161">
        <v>46387</v>
      </c>
      <c r="H5" s="2162" t="str">
        <f t="shared" ref="H5:H16" ca="1" si="1">E5&amp;"（注册号："&amp;F5&amp;"）"</f>
        <v>叶凌（注册号：94010078）</v>
      </c>
    </row>
    <row r="6" spans="1:8" ht="24" customHeight="1">
      <c r="A6" s="1215" t="s">
        <v>2149</v>
      </c>
      <c r="B6" s="1215" t="str">
        <f ca="1">IF(C6&lt;B2,"已过期",1120050019)</f>
        <v>已过期</v>
      </c>
      <c r="C6" s="2158">
        <v>45410</v>
      </c>
      <c r="D6" s="2159" t="str">
        <f t="shared" ca="1" si="0"/>
        <v>王鹏（注册号：已过期）</v>
      </c>
      <c r="E6" s="2160" t="s">
        <v>2149</v>
      </c>
      <c r="F6" s="1215">
        <f ca="1">IF(G6&lt;B2,"已过期",2002110030)</f>
        <v>2002110030</v>
      </c>
      <c r="G6" s="2161">
        <v>46387</v>
      </c>
      <c r="H6" s="2162" t="str">
        <f t="shared" ca="1" si="1"/>
        <v>王鹏（注册号：2002110030）</v>
      </c>
    </row>
    <row r="7" spans="1:8" ht="24" customHeight="1">
      <c r="A7" s="1215" t="s">
        <v>2150</v>
      </c>
      <c r="B7" s="1215">
        <f ca="1">IF(C7&lt;B2,"已过期",1120000080)</f>
        <v>1120000080</v>
      </c>
      <c r="C7" s="2158">
        <v>45937</v>
      </c>
      <c r="D7" s="2159" t="str">
        <f t="shared" ca="1" si="0"/>
        <v>欧红伟（注册号：1120000080）</v>
      </c>
      <c r="E7" s="2160" t="s">
        <v>2150</v>
      </c>
      <c r="F7" s="1215">
        <f ca="1">IF(G7&lt;B2,"已过期",2000110082)</f>
        <v>2000110082</v>
      </c>
      <c r="G7" s="2161">
        <v>46387</v>
      </c>
      <c r="H7" s="2162" t="str">
        <f t="shared" ca="1" si="1"/>
        <v>欧红伟（注册号：2000110082）</v>
      </c>
    </row>
    <row r="8" spans="1:8" ht="24" customHeight="1">
      <c r="A8" s="1215" t="s">
        <v>2151</v>
      </c>
      <c r="B8" s="1215">
        <f ca="1">IF(C8&lt;B2,"已过期",1419970001)</f>
        <v>1419970001</v>
      </c>
      <c r="C8" s="2158">
        <v>45937</v>
      </c>
      <c r="D8" s="2159" t="str">
        <f t="shared" ca="1" si="0"/>
        <v>吴薇（注册号：1419970001）</v>
      </c>
      <c r="E8" s="2160" t="s">
        <v>2151</v>
      </c>
      <c r="F8" s="1215">
        <f ca="1">IF(G8&lt;B2,"已过期",2002110125)</f>
        <v>2002110125</v>
      </c>
      <c r="G8" s="2161">
        <v>47118</v>
      </c>
      <c r="H8" s="2162" t="str">
        <f t="shared" ca="1" si="1"/>
        <v>吴薇（注册号：2002110125）</v>
      </c>
    </row>
    <row r="9" spans="1:8" ht="24" customHeight="1">
      <c r="A9" s="1215" t="s">
        <v>2152</v>
      </c>
      <c r="B9" s="1215" t="str">
        <f ca="1">IF(C9&lt;B2,"已过期",1120060040)</f>
        <v>已过期</v>
      </c>
      <c r="C9" s="2163">
        <v>45592</v>
      </c>
      <c r="D9" s="2159" t="str">
        <f t="shared" ca="1" si="0"/>
        <v>陈颖（注册号：已过期）</v>
      </c>
      <c r="E9" s="2160" t="s">
        <v>2152</v>
      </c>
      <c r="F9" s="1215">
        <f ca="1">IF(G9&lt;B2,"已过期",2004110096)</f>
        <v>2004110096</v>
      </c>
      <c r="G9" s="2161">
        <v>47118</v>
      </c>
      <c r="H9" s="2162" t="str">
        <f t="shared" ca="1" si="1"/>
        <v>陈颖（注册号：2004110096）</v>
      </c>
    </row>
    <row r="10" spans="1:8" ht="24" customHeight="1">
      <c r="A10" s="1215" t="s">
        <v>2153</v>
      </c>
      <c r="B10" s="1215" t="str">
        <f ca="1">IF(C10&lt;B2,"已过期",1120100036)</f>
        <v>已过期</v>
      </c>
      <c r="C10" s="2163">
        <v>45752</v>
      </c>
      <c r="D10" s="2159" t="str">
        <f t="shared" ca="1" si="0"/>
        <v>崔锴（注册号：已过期）</v>
      </c>
      <c r="E10" s="2160" t="s">
        <v>2153</v>
      </c>
      <c r="F10" s="1215">
        <f ca="1">IF(G10&lt;B2,"已过期",2010110070)</f>
        <v>2010110070</v>
      </c>
      <c r="G10" s="2161">
        <v>47907</v>
      </c>
      <c r="H10" s="2162" t="str">
        <f t="shared" ca="1" si="1"/>
        <v>崔锴（注册号：2010110070）</v>
      </c>
    </row>
    <row r="11" spans="1:8" ht="24" customHeight="1">
      <c r="A11" s="1215" t="s">
        <v>2154</v>
      </c>
      <c r="B11" s="1215">
        <f ca="1">IF(C11&lt;B2,"已过期",1120070131)</f>
        <v>1120070131</v>
      </c>
      <c r="C11" s="2158">
        <v>45937</v>
      </c>
      <c r="D11" s="2159" t="str">
        <f t="shared" ca="1" si="0"/>
        <v>郑燚（注册号：1120070131）</v>
      </c>
      <c r="E11" s="2160" t="s">
        <v>2154</v>
      </c>
      <c r="F11" s="1215">
        <f ca="1">IF(G11&lt;B2,"已过期",2014110011)</f>
        <v>2014110011</v>
      </c>
      <c r="G11" s="2161">
        <v>49302</v>
      </c>
      <c r="H11" s="2162" t="str">
        <f t="shared" ca="1" si="1"/>
        <v>郑燚（注册号：2014110011）</v>
      </c>
    </row>
    <row r="12" spans="1:8" ht="24" customHeight="1">
      <c r="A12" s="1215" t="s">
        <v>2155</v>
      </c>
      <c r="B12" s="1215">
        <f ca="1">IF(C12&lt;B2,"已过期",1120040230)</f>
        <v>1120040230</v>
      </c>
      <c r="C12" s="2163">
        <v>45937</v>
      </c>
      <c r="D12" s="2159" t="str">
        <f t="shared" ca="1" si="0"/>
        <v>苏海（注册号：1120040230）</v>
      </c>
      <c r="E12" s="2160" t="s">
        <v>2155</v>
      </c>
      <c r="F12" s="1215">
        <f ca="1">IF(G12&lt;B2,"已过期",98030020)</f>
        <v>98030020</v>
      </c>
      <c r="G12" s="2161">
        <v>47118</v>
      </c>
      <c r="H12" s="2162" t="str">
        <f t="shared" ca="1" si="1"/>
        <v>苏海（注册号：98030020）</v>
      </c>
    </row>
    <row r="13" spans="1:8" ht="24" customHeight="1">
      <c r="A13" s="1215" t="s">
        <v>2156</v>
      </c>
      <c r="B13" s="1215" t="str">
        <f ca="1">IF(C13&lt;B2,"已过期",1120020033)</f>
        <v>已过期</v>
      </c>
      <c r="C13" s="2158">
        <v>45375</v>
      </c>
      <c r="D13" s="2159" t="str">
        <f t="shared" ca="1" si="0"/>
        <v>刘敬东（注册号：已过期）</v>
      </c>
      <c r="E13" s="2160" t="s">
        <v>2156</v>
      </c>
      <c r="F13" s="1215">
        <f ca="1">IF(G13&lt;B2,"已过期",2000110137)</f>
        <v>2000110137</v>
      </c>
      <c r="G13" s="2161">
        <v>46387</v>
      </c>
      <c r="H13" s="2162" t="str">
        <f t="shared" ca="1" si="1"/>
        <v>刘敬东（注册号：2000110137）</v>
      </c>
    </row>
    <row r="14" spans="1:8" ht="24" customHeight="1">
      <c r="A14" s="1215" t="s">
        <v>2157</v>
      </c>
      <c r="B14" s="1215" t="str">
        <f ca="1">IF(C14&lt;B2,"已过期",1119980106)</f>
        <v>已过期</v>
      </c>
      <c r="C14" s="2163">
        <v>44969</v>
      </c>
      <c r="D14" s="2159" t="str">
        <f t="shared" ca="1" si="0"/>
        <v>刘俊财（注册号：已过期）</v>
      </c>
      <c r="E14" s="2160" t="s">
        <v>2157</v>
      </c>
      <c r="F14" s="1215">
        <f ca="1">IF(G14&lt;B2,"已过期",96010063)</f>
        <v>96010063</v>
      </c>
      <c r="G14" s="2161">
        <v>47483</v>
      </c>
      <c r="H14" s="2162" t="str">
        <f t="shared" ca="1" si="1"/>
        <v>刘俊财（注册号：96010063）</v>
      </c>
    </row>
    <row r="15" spans="1:8" ht="24" customHeight="1">
      <c r="A15" s="1215" t="s">
        <v>2427</v>
      </c>
      <c r="B15" s="1215">
        <v>1120210056</v>
      </c>
      <c r="C15" s="2163">
        <v>45410</v>
      </c>
      <c r="D15" s="2159" t="str">
        <f t="shared" si="0"/>
        <v>宁小鳗（注册号：1120210056）</v>
      </c>
      <c r="E15" s="2160" t="s">
        <v>2158</v>
      </c>
      <c r="F15" s="1215">
        <f ca="1">IF(G15&lt;B2,"已过期",2011110090)</f>
        <v>2011110090</v>
      </c>
      <c r="G15" s="2161">
        <v>48302</v>
      </c>
      <c r="H15" s="2162" t="str">
        <f t="shared" ca="1" si="1"/>
        <v>赵雯（注册号：2011110090）</v>
      </c>
    </row>
    <row r="16" spans="1:8" ht="24" customHeight="1">
      <c r="A16" s="1215"/>
      <c r="B16" s="1215"/>
      <c r="C16" s="1215"/>
      <c r="D16" s="2159" t="str">
        <f>A16&amp;"（注册号："&amp;B16&amp;"）"</f>
        <v>（注册号：）</v>
      </c>
      <c r="E16" s="2160"/>
      <c r="F16" s="1215"/>
      <c r="G16" s="1215"/>
      <c r="H16" s="2164" t="str">
        <f t="shared" si="1"/>
        <v>（注册号：）</v>
      </c>
    </row>
    <row r="17" spans="1:8" ht="24" customHeight="1">
      <c r="A17" s="3226" t="s">
        <v>2159</v>
      </c>
      <c r="B17" s="3226"/>
      <c r="C17" s="3226"/>
      <c r="D17" s="3226"/>
      <c r="E17" s="3226"/>
      <c r="F17" s="3226"/>
      <c r="G17" s="3226"/>
      <c r="H17" s="3226"/>
    </row>
    <row r="18" spans="1:8" ht="24" customHeight="1">
      <c r="A18" s="3227" t="s">
        <v>2160</v>
      </c>
      <c r="B18" s="3227"/>
      <c r="C18" s="3227"/>
      <c r="D18" s="2156"/>
      <c r="E18" s="3228" t="s">
        <v>2161</v>
      </c>
      <c r="F18" s="3227"/>
      <c r="G18" s="3227"/>
    </row>
    <row r="19" spans="1:8" s="2166" customFormat="1" ht="24" customHeight="1">
      <c r="A19" s="2165" t="s">
        <v>2162</v>
      </c>
      <c r="B19" s="1215" t="s">
        <v>2163</v>
      </c>
      <c r="C19" s="1215" t="s">
        <v>2142</v>
      </c>
      <c r="D19" s="2156"/>
      <c r="E19" s="2160" t="s">
        <v>2162</v>
      </c>
      <c r="F19" s="1215" t="s">
        <v>2163</v>
      </c>
      <c r="G19" s="1215" t="s">
        <v>2142</v>
      </c>
    </row>
    <row r="20" spans="1:8" s="2166" customFormat="1" ht="24" customHeight="1">
      <c r="A20" s="2167" t="s">
        <v>2164</v>
      </c>
      <c r="B20" s="2167" t="s">
        <v>2165</v>
      </c>
      <c r="C20" s="2161">
        <v>45898</v>
      </c>
      <c r="D20" s="2168"/>
      <c r="E20" s="2169" t="s">
        <v>2166</v>
      </c>
      <c r="F20" s="2172" t="s">
        <v>2428</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土地分摊报告</vt:lpstr>
      <vt:lpstr>位置进度</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地价-分区</vt:lpstr>
      <vt:lpstr>假设开发法</vt:lpstr>
      <vt:lpstr>收益法</vt:lpstr>
      <vt:lpstr>本项目成交</vt:lpstr>
      <vt:lpstr>收益法 (元)</vt:lpstr>
      <vt:lpstr>收益法-酒店模型</vt:lpstr>
      <vt:lpstr>收益法（汇总）</vt:lpstr>
      <vt:lpstr>比较法-住宅</vt:lpstr>
      <vt:lpstr>比较法-商业</vt:lpstr>
      <vt:lpstr>比较法-办公</vt:lpstr>
      <vt:lpstr>比较法-工业</vt:lpstr>
      <vt:lpstr>住宅</vt:lpstr>
      <vt:lpstr>比较法-车位</vt:lpstr>
      <vt:lpstr>车位</vt:lpstr>
      <vt:lpstr>比较法-仓储</vt:lpstr>
      <vt:lpstr>土地比较法-工业</vt:lpstr>
      <vt:lpstr>仓储</vt:lpstr>
      <vt:lpstr>典型户型修正</vt:lpstr>
      <vt:lpstr>基准地价（汇总）</vt:lpstr>
      <vt:lpstr>基准地价修正</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2025-09-24T02:47:55Z</cp:lastPrinted>
  <dcterms:created xsi:type="dcterms:W3CDTF">2015-07-13T07:17:23Z</dcterms:created>
  <dcterms:modified xsi:type="dcterms:W3CDTF">2025-09-25T01:59:45Z</dcterms:modified>
</cp:coreProperties>
</file>