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G44" i="43"/>
  <c r="I47" i="33"/>
  <c r="G47" i="33"/>
  <c r="N6" i="1"/>
  <c r="F19" i="6"/>
  <c r="B14" i="74" l="1"/>
  <c r="C36" i="33"/>
  <c r="I36" i="33" s="1"/>
  <c r="Y6" i="1"/>
  <c r="U2" i="43"/>
  <c r="B3" i="4"/>
  <c r="G36" i="33" l="1"/>
  <c r="E36" i="33"/>
  <c r="U3" i="43"/>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0" i="31"/>
  <c r="S276" i="31"/>
  <c r="S272" i="31"/>
  <c r="S268" i="31"/>
  <c r="S264" i="31"/>
  <c r="S260" i="31"/>
  <c r="S256" i="31"/>
  <c r="S251" i="31"/>
  <c r="S247" i="31"/>
  <c r="S243" i="31"/>
  <c r="S239" i="31"/>
  <c r="S235" i="31"/>
  <c r="S231" i="31"/>
  <c r="S227"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19" i="31"/>
  <c r="S115" i="31"/>
  <c r="S506" i="31"/>
  <c r="S504" i="31"/>
  <c r="S502" i="31"/>
  <c r="S500" i="31"/>
  <c r="S498" i="31"/>
  <c r="S466" i="31"/>
  <c r="S464" i="31"/>
  <c r="S462" i="31"/>
  <c r="S460" i="31"/>
  <c r="S458" i="31"/>
  <c r="S456" i="31"/>
  <c r="S454" i="31"/>
  <c r="S452" i="31"/>
  <c r="S450" i="31"/>
  <c r="S53" i="31"/>
  <c r="S49" i="31"/>
  <c r="S45" i="31"/>
  <c r="S41" i="31"/>
  <c r="S37" i="31"/>
  <c r="S33" i="31"/>
  <c r="S75" i="31"/>
  <c r="S71" i="31"/>
  <c r="S67" i="31"/>
  <c r="S63" i="31"/>
  <c r="S59" i="31"/>
  <c r="S55" i="31"/>
  <c r="S95" i="31"/>
  <c r="S91" i="31"/>
  <c r="S87" i="31"/>
  <c r="S83" i="31"/>
  <c r="S79" i="31"/>
  <c r="S29" i="31"/>
  <c r="S101"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16"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16" i="3"/>
  <c r="E564" i="3"/>
  <c r="E507" i="3"/>
  <c r="E376" i="3"/>
  <c r="E419" i="3"/>
  <c r="E40" i="3"/>
  <c r="E119" i="3"/>
  <c r="E276" i="3"/>
  <c r="L6" i="3"/>
  <c r="E473" i="3"/>
  <c r="E79" i="3"/>
  <c r="E100" i="3"/>
  <c r="E137" i="3"/>
  <c r="E234" i="3"/>
  <c r="E299" i="3"/>
  <c r="E325" i="3"/>
  <c r="AQ6" i="3"/>
  <c r="E36" i="3"/>
  <c r="E123" i="3"/>
  <c r="E289" i="3"/>
  <c r="E364"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F38" i="67"/>
  <c r="B11" i="76"/>
  <c r="B7" i="76"/>
  <c r="F42" i="67"/>
  <c r="M9" i="67"/>
  <c r="F36" i="15"/>
  <c r="E2" i="68"/>
  <c r="F7" i="67"/>
  <c r="L47" i="67"/>
  <c r="M22" i="15"/>
  <c r="L48" i="67"/>
  <c r="F42" i="15"/>
  <c r="D35" i="9"/>
  <c r="E2" i="69"/>
  <c r="M29" i="15"/>
  <c r="F8" i="15"/>
  <c r="F26" i="15"/>
  <c r="M8" i="67"/>
  <c r="M26" i="67"/>
  <c r="E12" i="76"/>
  <c r="F6" i="73"/>
  <c r="J15" i="15"/>
  <c r="L48" i="15"/>
  <c r="F40" i="67"/>
  <c r="F37" i="15"/>
  <c r="F13" i="15"/>
  <c r="M8" i="15"/>
  <c r="M24" i="67"/>
  <c r="B8" i="76"/>
  <c r="F9" i="15"/>
  <c r="M28" i="67"/>
  <c r="B13" i="76"/>
  <c r="B9" i="76"/>
  <c r="F6" i="67"/>
  <c r="D34" i="9"/>
  <c r="F40" i="15"/>
  <c r="M23" i="15"/>
  <c r="B10" i="76"/>
  <c r="M9" i="15"/>
  <c r="F36" i="67"/>
  <c r="B12" i="76"/>
  <c r="C76" i="15"/>
  <c r="F8" i="67"/>
  <c r="M29" i="67"/>
  <c r="E10" i="76"/>
  <c r="F9" i="67"/>
  <c r="AO13" i="1"/>
  <c r="F7" i="15"/>
  <c r="D7" i="73"/>
  <c r="E11" i="76"/>
  <c r="M6" i="67"/>
  <c r="F43" i="67"/>
  <c r="F3" i="73"/>
  <c r="F7" i="73"/>
  <c r="M6" i="15"/>
  <c r="E7" i="76"/>
  <c r="F26" i="67"/>
  <c r="F38" i="15"/>
  <c r="M26" i="15"/>
  <c r="J15" i="67"/>
  <c r="L47" i="15"/>
  <c r="M24" i="15"/>
  <c r="C76" i="67"/>
  <c r="F16" i="67"/>
  <c r="F16" i="15"/>
  <c r="D3" i="73"/>
  <c r="D6" i="73"/>
  <c r="E13" i="76"/>
  <c r="F4" i="73"/>
  <c r="F43" i="15"/>
  <c r="F13" i="67"/>
  <c r="M23" i="67"/>
  <c r="F6" i="15"/>
  <c r="H50" i="43" l="1"/>
  <c r="G50" i="43" s="1"/>
  <c r="K50" i="43" s="1"/>
  <c r="J50" i="43" s="1"/>
  <c r="M54" i="43"/>
  <c r="N54" i="43" s="1"/>
  <c r="AZ15" i="3"/>
  <c r="BL5" i="3"/>
  <c r="E82" i="3"/>
  <c r="E373" i="3"/>
  <c r="E323" i="3"/>
  <c r="E222" i="3"/>
  <c r="E179" i="3"/>
  <c r="E154" i="3"/>
  <c r="E19" i="3"/>
  <c r="E51" i="3"/>
  <c r="Y6" i="3"/>
  <c r="E340" i="3"/>
  <c r="E147" i="3"/>
  <c r="E112" i="3"/>
  <c r="E52" i="3"/>
  <c r="E392" i="3"/>
  <c r="E339" i="3"/>
  <c r="E219" i="3"/>
  <c r="E194" i="3"/>
  <c r="E170" i="3"/>
  <c r="E38" i="3"/>
  <c r="E455" i="3"/>
  <c r="E43" i="3"/>
  <c r="E333" i="3"/>
  <c r="E242" i="3"/>
  <c r="E108" i="3"/>
  <c r="E401" i="3"/>
  <c r="J6" i="3"/>
  <c r="E440" i="3"/>
  <c r="E427" i="3"/>
  <c r="E393" i="3"/>
  <c r="E188" i="3"/>
  <c r="E83" i="3"/>
  <c r="E101" i="3"/>
  <c r="E22" i="3"/>
  <c r="E524" i="3"/>
  <c r="E326" i="3"/>
  <c r="E365" i="3"/>
  <c r="E308" i="3"/>
  <c r="E265" i="3"/>
  <c r="E287" i="3"/>
  <c r="E218" i="3"/>
  <c r="E158" i="3"/>
  <c r="E176" i="3"/>
  <c r="E113" i="3"/>
  <c r="E62" i="3"/>
  <c r="E80" i="3"/>
  <c r="E20" i="3"/>
  <c r="E102" i="3"/>
  <c r="E50" i="3"/>
  <c r="AF6" i="3"/>
  <c r="E370" i="3"/>
  <c r="E251" i="3"/>
  <c r="E232" i="3"/>
  <c r="E206" i="3"/>
  <c r="E49" i="3"/>
  <c r="E34" i="3"/>
  <c r="E86" i="3"/>
  <c r="E35" i="3"/>
  <c r="E522" i="3"/>
  <c r="E342" i="3"/>
  <c r="E383" i="3"/>
  <c r="E324" i="3"/>
  <c r="E235" i="3"/>
  <c r="E275" i="3"/>
  <c r="E220" i="3"/>
  <c r="E174" i="3"/>
  <c r="E190" i="3"/>
  <c r="E129" i="3"/>
  <c r="E78" i="3"/>
  <c r="E96" i="3"/>
  <c r="E18" i="3"/>
  <c r="E15" i="3"/>
  <c r="E540" i="3"/>
  <c r="E60" i="3"/>
  <c r="E372" i="3"/>
  <c r="E346" i="3"/>
  <c r="E226" i="3"/>
  <c r="E202" i="3"/>
  <c r="E178" i="3"/>
  <c r="E25" i="3"/>
  <c r="E463" i="3"/>
  <c r="E483" i="3"/>
  <c r="E498" i="3"/>
  <c r="AH6" i="3"/>
  <c r="E490" i="3"/>
  <c r="E422" i="3"/>
  <c r="E486" i="3"/>
  <c r="E543" i="3"/>
  <c r="E493" i="3"/>
  <c r="E105" i="3"/>
  <c r="E223"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1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G6" i="1"/>
  <c r="I24" i="43"/>
  <c r="G7" i="33"/>
  <c r="I7" i="33"/>
  <c r="E7" i="33"/>
  <c r="J51" i="15"/>
  <c r="S28" i="33"/>
  <c r="D54" i="43"/>
  <c r="D50" i="43"/>
  <c r="C28" i="67"/>
  <c r="C21" i="68"/>
  <c r="C40" i="69"/>
  <c r="G28" i="6"/>
  <c r="F29" i="6"/>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U25"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M50" i="43" l="1"/>
  <c r="N50" i="43" s="1"/>
  <c r="K57" i="43"/>
  <c r="J57" i="43" s="1"/>
  <c r="D57" i="43" s="1"/>
  <c r="M57" i="43"/>
  <c r="N57" i="43" s="1"/>
  <c r="K52" i="43"/>
  <c r="M52" i="43"/>
  <c r="N52" i="43" s="1"/>
  <c r="K56" i="43"/>
  <c r="M56" i="43"/>
  <c r="N56" i="43" s="1"/>
  <c r="M58" i="43"/>
  <c r="N58" i="43" s="1"/>
  <c r="K58" i="43"/>
  <c r="K53" i="43"/>
  <c r="M53" i="43"/>
  <c r="N53" i="43" s="1"/>
  <c r="M55" i="43"/>
  <c r="N55" i="43" s="1"/>
  <c r="K55" i="43"/>
  <c r="M51" i="43"/>
  <c r="N51" i="43" s="1"/>
  <c r="K51" i="43"/>
  <c r="D18" i="53"/>
  <c r="B35" i="72" s="1"/>
  <c r="C7" i="74"/>
  <c r="F7" i="36"/>
  <c r="J7" i="37"/>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J51" i="43" l="1"/>
  <c r="D51" i="43"/>
  <c r="J55" i="43"/>
  <c r="D55" i="43"/>
  <c r="J58" i="43"/>
  <c r="D58" i="43"/>
  <c r="D53" i="43"/>
  <c r="J53" i="43"/>
  <c r="J56" i="43"/>
  <c r="D56" i="43"/>
  <c r="J52" i="43"/>
  <c r="D52" i="4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E50" i="43" l="1"/>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T13" i="43" l="1"/>
  <c r="V13" i="43" s="1"/>
  <c r="T9" i="43"/>
  <c r="V9" i="43" s="1"/>
  <c r="T16" i="43"/>
  <c r="V16" i="43" s="1"/>
  <c r="T12" i="43"/>
  <c r="V12" i="43" s="1"/>
  <c r="T8" i="43"/>
  <c r="V8" i="43" s="1"/>
  <c r="T3" i="43"/>
  <c r="V3" i="43" s="1"/>
  <c r="T6" i="43"/>
  <c r="V6" i="43" s="1"/>
  <c r="C33" i="43"/>
  <c r="E33" i="43" s="1"/>
  <c r="C37" i="43"/>
  <c r="T15" i="43"/>
  <c r="V15" i="43" s="1"/>
  <c r="T11" i="43"/>
  <c r="V11" i="43" s="1"/>
  <c r="T7" i="43"/>
  <c r="V7" i="43" s="1"/>
  <c r="T14" i="43"/>
  <c r="V14" i="43" s="1"/>
  <c r="T10" i="43"/>
  <c r="V10" i="43" s="1"/>
  <c r="T4" i="43"/>
  <c r="V4" i="43" s="1"/>
  <c r="T2" i="43"/>
  <c r="V2" i="43" s="1"/>
  <c r="T5" i="43"/>
  <c r="V5" i="43" s="1"/>
  <c r="C40" i="43"/>
  <c r="C41" i="43"/>
  <c r="C42" i="43"/>
  <c r="C39" i="43"/>
  <c r="C38"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8" i="43" l="1"/>
  <c r="G38" i="43"/>
  <c r="I38" i="43" s="1"/>
  <c r="E42" i="43"/>
  <c r="G42" i="43"/>
  <c r="I42" i="43" s="1"/>
  <c r="G40" i="43"/>
  <c r="I40" i="43" s="1"/>
  <c r="E40" i="43"/>
  <c r="C7" i="68"/>
  <c r="C34" i="43"/>
  <c r="E34" i="43" s="1"/>
  <c r="C5" i="68"/>
  <c r="C23" i="68" s="1"/>
  <c r="G39" i="43"/>
  <c r="I39" i="43" s="1"/>
  <c r="E39" i="43"/>
  <c r="G41" i="43"/>
  <c r="I41" i="43" s="1"/>
  <c r="E41" i="43"/>
  <c r="G37" i="43"/>
  <c r="I37" i="43" s="1"/>
  <c r="E37" i="43"/>
  <c r="S24" i="31"/>
  <c r="R25" i="31"/>
  <c r="S25" i="31"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C30" i="43" l="1"/>
  <c r="B2" i="43" s="1"/>
  <c r="C31" i="43"/>
  <c r="S22" i="31"/>
  <c r="R22" i="31" s="1"/>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E2" i="76" l="1"/>
  <c r="B2" i="76"/>
  <c r="B3" i="43"/>
  <c r="B20" i="3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B3" i="76" l="1"/>
  <c r="B21" i="3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C19" i="9"/>
  <c r="D2" i="34"/>
  <c r="D2" i="35"/>
  <c r="L51" i="15"/>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C20" i="9"/>
  <c r="AO12" i="1"/>
  <c r="AO11" i="1"/>
  <c r="AO10" i="1"/>
  <c r="AO8"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G20" i="9"/>
  <c r="C32" i="9" s="1"/>
  <c r="D103" i="9"/>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4" i="52" s="1"/>
  <c r="B51" i="72" s="1"/>
  <c r="D118" i="9"/>
  <c r="D4" i="52" s="1"/>
  <c r="B47" i="72" s="1"/>
  <c r="H118" i="9"/>
  <c r="C104" i="9" s="1"/>
  <c r="H101" i="9" l="1"/>
  <c r="M48" i="9" s="1"/>
  <c r="I118" i="9"/>
  <c r="C105" i="9" s="1"/>
  <c r="F119" i="9"/>
  <c r="F5" i="52" s="1"/>
  <c r="B53" i="72" s="1"/>
  <c r="G118" i="9"/>
  <c r="G4" i="52" s="1"/>
  <c r="B52" i="72" s="1"/>
  <c r="H107" i="9"/>
  <c r="D119" i="9"/>
  <c r="D5" i="52" s="1"/>
  <c r="B49" i="72" s="1"/>
  <c r="H119" i="9"/>
  <c r="H5" i="52" s="1"/>
  <c r="H102" i="9"/>
  <c r="H4" i="52"/>
  <c r="I4" i="52" l="1"/>
  <c r="E118" i="9"/>
  <c r="E4" i="52" s="1"/>
  <c r="B48" i="72" s="1"/>
  <c r="D5" i="53"/>
  <c r="B20" i="72" s="1"/>
  <c r="D45" i="9"/>
  <c r="D52" i="9" s="1"/>
  <c r="C5" i="74"/>
  <c r="D7" i="53"/>
  <c r="B21" i="72" s="1"/>
  <c r="D6" i="53"/>
  <c r="B22" i="72" s="1"/>
  <c r="D13" i="53"/>
  <c r="H108" i="9"/>
  <c r="D122" i="9"/>
  <c r="M49" i="9"/>
  <c r="C64" i="9" l="1"/>
  <c r="C63" i="9" s="1"/>
  <c r="C67" i="9" s="1"/>
  <c r="C68" i="9" s="1"/>
  <c r="D54" i="9" s="1"/>
  <c r="D48" i="9" s="1"/>
  <c r="M52" i="9" s="1"/>
  <c r="D53" i="9"/>
  <c r="C93" i="9"/>
  <c r="C86" i="9" s="1"/>
  <c r="D55" i="9"/>
  <c r="M53" i="9" s="1"/>
  <c r="C72" i="9"/>
  <c r="C78" i="9"/>
  <c r="C73" i="9" s="1"/>
  <c r="C85" i="9"/>
  <c r="C95" i="9" s="1"/>
  <c r="D8" i="52"/>
  <c r="D123" i="9"/>
  <c r="D9" i="52" s="1"/>
  <c r="D14" i="53"/>
  <c r="B32" i="72" s="1"/>
  <c r="B30" i="72"/>
  <c r="L67" i="9"/>
  <c r="M67" i="9" s="1"/>
  <c r="L65" i="9"/>
  <c r="M65" i="9" s="1"/>
  <c r="L64" i="9"/>
  <c r="M64" i="9" s="1"/>
  <c r="L66" i="9"/>
  <c r="M66" i="9" s="1"/>
  <c r="L63" i="9"/>
  <c r="M63" i="9" s="1"/>
  <c r="L68" i="9"/>
  <c r="M68" i="9" s="1"/>
  <c r="C6" i="74"/>
  <c r="D15" i="53"/>
  <c r="B31" i="72" s="1"/>
  <c r="D59" i="9" l="1"/>
  <c r="M55" i="9" s="1"/>
  <c r="C79" i="9"/>
  <c r="C80" i="9" s="1"/>
  <c r="E80" i="9" s="1"/>
  <c r="E81" i="9" s="1"/>
  <c r="M69" i="9"/>
  <c r="N69" i="9" s="1"/>
  <c r="C96" i="9"/>
  <c r="E96" i="9" s="1"/>
  <c r="E97" i="9" s="1"/>
  <c r="C81" i="9" l="1"/>
  <c r="C97" i="9"/>
  <c r="D58" i="9" l="1"/>
  <c r="D56" i="9" s="1"/>
  <c r="M54" i="9" s="1"/>
  <c r="N57" i="9" s="1"/>
  <c r="P57" i="9" s="1"/>
  <c r="N59" i="9" l="1"/>
  <c r="N58" i="9"/>
  <c r="N61" i="9"/>
  <c r="H112" i="9" s="1"/>
  <c r="N60" i="9"/>
  <c r="H111" i="9" l="1"/>
  <c r="I14" i="74"/>
  <c r="B8" i="74" s="1"/>
  <c r="D8" i="74" s="1"/>
  <c r="C8" i="74"/>
  <c r="D21" i="53"/>
  <c r="B39" i="72" s="1"/>
  <c r="D126" i="9" l="1"/>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<sst xmlns="http://schemas.openxmlformats.org/spreadsheetml/2006/main" count="7843" uniqueCount="3429">
  <si>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</si>
  <si>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</si>
  <si>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</si>
  <si>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</si>
  <si>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</si>
  <si>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</si>
  <si>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</si>
  <si>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</si>
  <si>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</si>
  <si>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</si>
  <si>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</si>
  <si>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</si>
  <si>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</si>
  <si>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</si>
  <si>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</si>
  <si>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</si>
  <si>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</si>
  <si>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</si>
  <si>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</si>
  <si>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</si>
  <si>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</si>
  <si>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</si>
  <si>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</si>
  <si>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</si>
  <si>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</si>
  <si>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</si>
  <si>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</si>
  <si>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</si>
  <si>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</si>
  <si>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</si>
  <si>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</si>
  <si>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</si>
  <si>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</si>
  <si>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</si>
  <si>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</si>
  <si>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</si>
  <si>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</si>
  <si>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</si>
  <si>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</si>
  <si>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</si>
  <si>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</si>
  <si>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</si>
  <si>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</si>
  <si>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</si>
  <si>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</si>
  <si>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</si>
  <si>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</si>
  <si>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</si>
  <si>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</si>
  <si>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</si>
  <si>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</si>
  <si>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</si>
  <si>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</si>
  <si>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</si>
  <si>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</si>
  <si>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</si>
  <si>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</si>
  <si>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</si>
  <si>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</si>
  <si>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</si>
  <si>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</si>
  <si>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</si>
  <si>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</si>
  <si>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</si>
  <si>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</si>
  <si>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</si>
  <si>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</si>
  <si>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</si>
  <si>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</si>
  <si>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</si>
  <si>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</si>
  <si>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</si>
  <si>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</si>
  <si>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</si>
  <si>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</si>
  <si>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</si>
  <si>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</si>
  <si>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</si>
  <si>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</si>
  <si>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</si>
  <si>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</si>
  <si>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</si>
  <si>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</si>
  <si>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</si>
  <si>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</si>
  <si>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</si>
  <si>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</si>
  <si>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</si>
  <si>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</si>
  <si>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</si>
  <si>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</si>
  <si>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</si>
  <si>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</si>
  <si>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</si>
  <si>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</si>
  <si>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</si>
  <si>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</si>
  <si>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</si>
  <si>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</si>
  <si>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</si>
  <si>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</si>
  <si>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</si>
  <si>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</si>
  <si>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</si>
  <si>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</si>
  <si>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</si>
  <si>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</si>
  <si>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</si>
  <si>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</si>
  <si>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</si>
  <si>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</si>
  <si>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</si>
  <si>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</si>
  <si>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</si>
  <si>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</si>
  <si>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</si>
  <si>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</si>
  <si>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</si>
  <si>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</si>
  <si>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</si>
  <si>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</si>
  <si>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</si>
  <si>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</si>
  <si>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</si>
  <si>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</si>
  <si>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</si>
  <si>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</si>
  <si>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</si>
  <si>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</si>
  <si>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</si>
  <si>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</si>
  <si>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</si>
  <si>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</si>
  <si>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</si>
  <si>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</si>
  <si>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</si>
  <si>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</si>
  <si>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</si>
  <si>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</si>
  <si>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</si>
  <si>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</si>
  <si>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</si>
  <si>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</si>
  <si>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</si>
  <si>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</si>
  <si>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</si>
  <si>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</si>
  <si>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</si>
  <si>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</si>
  <si>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</si>
  <si>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</si>
  <si>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</si>
  <si>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</si>
  <si>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</si>
  <si>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</si>
  <si>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</si>
  <si>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</si>
  <si>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</si>
  <si>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</si>
  <si>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</si>
  <si>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</si>
  <si>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</si>
  <si>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</si>
  <si>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</si>
  <si>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</si>
  <si>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</si>
  <si>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</si>
  <si>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</si>
  <si>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</si>
  <si>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</si>
  <si>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</si>
  <si>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</si>
  <si>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</si>
  <si>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</si>
  <si>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</si>
  <si>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</si>
  <si>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</si>
  <si>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</si>
  <si>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</si>
  <si>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</si>
  <si>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</si>
  <si>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</si>
  <si>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</si>
  <si>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</si>
  <si>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</si>
  <si>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</si>
  <si>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</si>
  <si>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</si>
  <si>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</si>
  <si>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</si>
  <si>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</si>
  <si>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</si>
  <si>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</si>
  <si>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</si>
  <si>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</si>
  <si>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</si>
  <si>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</si>
  <si>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</si>
  <si>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</si>
  <si>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</si>
  <si>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</si>
  <si>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</si>
  <si>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</si>
  <si>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</si>
  <si>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</si>
  <si>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</si>
  <si>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</si>
  <si>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</si>
  <si>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</si>
  <si>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</si>
  <si>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</si>
  <si>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</si>
  <si>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</si>
  <si>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</si>
  <si>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</si>
  <si>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</si>
  <si>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</si>
  <si>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</si>
  <si>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</si>
  <si>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</si>
  <si>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</si>
  <si>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</si>
  <si>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</si>
  <si>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</si>
  <si>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</si>
  <si>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</si>
  <si>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</si>
  <si>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</si>
  <si>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</si>
  <si>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</si>
  <si>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</si>
  <si>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</si>
  <si>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</si>
  <si>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</si>
  <si>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</si>
  <si>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</si>
  <si>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</si>
  <si>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</si>
  <si>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</si>
  <si>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</si>
  <si>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</si>
  <si>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</si>
  <si>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</si>
  <si>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</si>
  <si>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</si>
  <si>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</si>
  <si>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</si>
  <si>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</si>
  <si>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</si>
  <si>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</si>
  <si>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</si>
  <si>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</si>
  <si>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</si>
  <si>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</si>
  <si>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</si>
  <si>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</si>
  <si>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</si>
  <si>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</si>
  <si>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</si>
  <si>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</si>
  <si>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</si>
  <si>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</si>
  <si>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</si>
  <si>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</si>
  <si>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</si>
  <si>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</si>
  <si>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</si>
  <si>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</si>
  <si>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</si>
  <si>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</si>
  <si>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</si>
  <si>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</si>
  <si>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</si>
  <si>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</si>
  <si>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</si>
  <si>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</si>
  <si>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</si>
  <si>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</si>
  <si>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</si>
  <si>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</si>
  <si>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</si>
  <si>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</si>
  <si>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</si>
  <si>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</si>
  <si>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</si>
  <si>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</si>
  <si>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</si>
  <si>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</si>
  <si>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</si>
  <si>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</si>
  <si>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</si>
  <si>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</si>
  <si>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</si>
  <si>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</si>
  <si>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</si>
  <si>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</si>
  <si>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</si>
  <si>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</si>
  <si>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</si>
  <si>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</si>
  <si>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</si>
  <si>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</si>
  <si>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</si>
  <si>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</si>
  <si>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</si>
  <si>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</si>
  <si>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</si>
  <si>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</si>
  <si>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</si>
  <si>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</si>
  <si>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</si>
  <si>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</si>
  <si>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</si>
  <si>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</si>
  <si>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</si>
  <si>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</si>
  <si>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</si>
  <si>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</si>
  <si>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</si>
  <si>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</si>
  <si>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</si>
  <si>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</si>
  <si>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</si>
  <si>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</si>
  <si>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</si>
  <si>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</si>
  <si>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</si>
  <si>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</si>
  <si>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</si>
  <si>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</si>
  <si>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</si>
  <si>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</si>
  <si>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</si>
  <si>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</si>
  <si>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</si>
  <si>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</si>
  <si>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</si>
  <si>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</si>
  <si>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</si>
  <si>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</si>
  <si>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</si>
  <si>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</si>
  <si>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</si>
  <si>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</si>
  <si>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</si>
  <si>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</si>
  <si>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</si>
  <si>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</si>
  <si>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</si>
  <si>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</si>
  <si>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</si>
  <si>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</si>
  <si>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</si>
  <si>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</si>
  <si>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</si>
  <si>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</si>
  <si>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</si>
  <si>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</si>
  <si>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</si>
  <si>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</si>
  <si>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</si>
  <si>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</si>
  <si>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</si>
  <si>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</si>
  <si>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</si>
  <si>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</si>
  <si>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</si>
  <si>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</si>
  <si>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</si>
  <si>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</si>
  <si>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</si>
  <si>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</si>
  <si>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</si>
  <si>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</si>
  <si>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</si>
  <si>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</si>
  <si>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</si>
  <si>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</si>
  <si>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</si>
  <si>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</si>
  <si>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</si>
  <si>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</si>
  <si>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</si>
  <si>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</si>
  <si>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</si>
  <si>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</si>
  <si>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</si>
  <si>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</si>
  <si>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</si>
  <si>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</si>
  <si>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</si>
  <si>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</si>
  <si>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</si>
  <si>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</si>
  <si>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</si>
  <si>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</si>
  <si>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</si>
  <si>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</si>
  <si>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</si>
  <si>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</si>
  <si>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</si>
  <si>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</si>
  <si>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</si>
  <si>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</si>
  <si>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</si>
  <si>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</si>
  <si>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</si>
  <si>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</si>
  <si>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</si>
  <si>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</si>
  <si>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</si>
  <si>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</si>
  <si>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</si>
  <si>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</si>
  <si>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</si>
  <si>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</si>
  <si>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</si>
  <si>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</si>
  <si>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</si>
  <si>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</si>
  <si>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</si>
  <si>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</si>
  <si>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</si>
  <si>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</si>
  <si>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</si>
  <si>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</si>
  <si>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</si>
  <si>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</si>
  <si>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</si>
  <si>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</si>
  <si>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</si>
  <si>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</si>
  <si>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</si>
  <si>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</si>
  <si>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</si>
  <si>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</si>
  <si>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</si>
  <si>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</si>
  <si>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</si>
  <si>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</si>
  <si>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</si>
  <si>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</si>
  <si>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</si>
  <si>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</si>
  <si>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</si>
  <si>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</si>
  <si>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</si>
  <si>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</si>
  <si>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</si>
  <si>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</si>
  <si>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</si>
  <si>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</si>
  <si>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</si>
  <si>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</si>
  <si>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</si>
  <si>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</si>
  <si>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</si>
  <si>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</si>
  <si>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</si>
  <si>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</si>
  <si>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</si>
  <si>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</si>
  <si>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</si>
  <si>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</si>
  <si>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</si>
  <si>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</si>
  <si>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</si>
  <si>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</si>
  <si>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</si>
  <si>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</si>
  <si>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</si>
  <si>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</si>
  <si>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</si>
  <si>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</si>
  <si>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</si>
  <si>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</si>
  <si>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</si>
  <si>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</si>
  <si>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</si>
  <si>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</si>
  <si>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</si>
  <si>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</si>
  <si>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</si>
  <si>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</si>
  <si>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</si>
  <si>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</si>
  <si>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</si>
  <si>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</si>
  <si>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</si>
  <si>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</si>
  <si>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</si>
  <si>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</si>
  <si>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</si>
  <si>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</si>
  <si>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</si>
  <si>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</si>
  <si>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</si>
  <si>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</si>
  <si>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</si>
  <si>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</si>
  <si>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</si>
  <si>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</si>
  <si>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</si>
  <si>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</si>
  <si>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</si>
  <si>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</si>
  <si>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</si>
  <si>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</si>
  <si>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</si>
  <si>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</si>
  <si>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</si>
  <si>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</si>
  <si>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</si>
  <si>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</si>
  <si>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</si>
  <si>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</si>
  <si>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</si>
  <si>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</si>
  <si>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</si>
  <si>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</si>
  <si>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</si>
  <si>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</si>
  <si>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</si>
  <si>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</si>
  <si>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</si>
  <si>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</si>
  <si>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</si>
  <si>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</si>
  <si>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</si>
  <si>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</si>
  <si>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</si>
  <si>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</si>
  <si>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</si>
  <si>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</si>
  <si>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</si>
  <si>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</si>
  <si>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</si>
  <si>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</si>
  <si>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</si>
  <si>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</si>
  <si>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</si>
  <si>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</si>
  <si>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</si>
  <si>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</si>
  <si>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</si>
  <si>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</si>
  <si>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</si>
  <si>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</si>
  <si>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</si>
  <si>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</si>
  <si>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</si>
  <si>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</si>
  <si>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</si>
  <si>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</si>
  <si>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</si>
  <si>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</si>
  <si>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</si>
  <si>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</si>
  <si>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</si>
  <si>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</si>
  <si>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</si>
  <si>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</si>
  <si>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</si>
  <si>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</si>
  <si>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</si>
  <si>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</si>
  <si>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</si>
  <si>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</si>
  <si>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</si>
  <si>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</si>
  <si>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</si>
  <si>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</si>
  <si>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</si>
  <si>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</si>
  <si>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</si>
  <si>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</si>
  <si>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</si>
  <si>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</si>
  <si>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</si>
  <si>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</si>
  <si>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</si>
  <si>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</si>
  <si>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</si>
  <si>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</si>
  <si>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</si>
  <si>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</si>
  <si>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</si>
  <si>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</si>
  <si>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</si>
  <si>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</si>
  <si>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</si>
  <si>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</si>
  <si>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</si>
  <si>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</si>
  <si>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</si>
  <si>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</si>
  <si>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</si>
  <si>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</si>
  <si>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</si>
  <si>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</si>
  <si>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</si>
  <si>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</si>
  <si>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</si>
  <si>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</si>
  <si>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</si>
  <si>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</si>
  <si>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</si>
  <si>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</si>
  <si>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</si>
  <si>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</si>
  <si>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</si>
  <si>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</si>
  <si>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</si>
  <si>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</si>
  <si>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</si>
  <si>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</si>
  <si>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</si>
  <si>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</si>
  <si>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</si>
  <si>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</si>
  <si>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</si>
  <si>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</si>
  <si>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</si>
  <si>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</si>
  <si>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</si>
  <si>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</si>
  <si>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</si>
  <si>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</si>
  <si>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</si>
  <si>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</si>
  <si>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</si>
  <si>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</si>
  <si>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</si>
  <si>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</si>
  <si>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</si>
  <si>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</si>
  <si>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</si>
  <si>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</si>
  <si>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</si>
  <si>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</si>
  <si>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</si>
  <si>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</si>
  <si>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</si>
  <si>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</si>
  <si>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</si>
  <si>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</si>
  <si>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</si>
  <si>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</si>
  <si>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</si>
  <si>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</si>
  <si>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</si>
  <si>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</si>
  <si>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</si>
  <si>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</si>
  <si>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</si>
  <si>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</si>
  <si>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</si>
  <si>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</si>
  <si>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</si>
  <si>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</si>
  <si>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</si>
  <si>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</si>
  <si>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</si>
  <si>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</si>
  <si>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</si>
  <si>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</si>
  <si>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</si>
  <si>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</si>
  <si>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</si>
  <si>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</si>
  <si>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</si>
  <si>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</si>
  <si>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</si>
  <si>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</si>
  <si>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</si>
  <si>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</si>
  <si>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</si>
  <si>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</si>
  <si>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</si>
  <si>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</si>
  <si>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</si>
  <si>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</si>
  <si>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</si>
  <si>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</si>
  <si>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</si>
  <si>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</si>
  <si>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</si>
  <si>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</si>
  <si>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</si>
  <si>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</si>
  <si>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</si>
  <si>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</si>
  <si>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</si>
  <si>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</si>
  <si>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</si>
  <si>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</si>
  <si>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</si>
  <si>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</si>
  <si>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</si>
  <si>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</si>
  <si>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</si>
  <si>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</si>
  <si>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</si>
  <si>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</si>
  <si>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</si>
  <si>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</si>
  <si>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</si>
  <si>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</si>
  <si>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</si>
  <si>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</si>
  <si>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</si>
  <si>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</si>
  <si>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</si>
  <si>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</si>
  <si>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</si>
  <si>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</si>
  <si>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</si>
  <si>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</si>
  <si>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</si>
  <si>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</si>
  <si>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</si>
  <si>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</si>
  <si>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</si>
  <si>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</si>
  <si>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</si>
  <si>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</si>
  <si>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</si>
  <si>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</si>
  <si>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</si>
  <si>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</si>
  <si>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</si>
  <si>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</si>
  <si>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</si>
  <si>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</si>
  <si>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</si>
  <si>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</si>
  <si>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</si>
  <si>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</si>
  <si>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</si>
  <si>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</si>
  <si>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</si>
  <si>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</si>
  <si>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</si>
  <si>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</si>
  <si>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</si>
  <si>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</si>
  <si>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</si>
  <si>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</si>
  <si>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</si>
  <si>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</si>
  <si>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</si>
  <si>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</si>
  <si>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</si>
  <si>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</si>
  <si>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</si>
  <si>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</si>
  <si>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</si>
  <si>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</si>
  <si>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</si>
  <si>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</si>
  <si>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</si>
  <si>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</si>
  <si>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</si>
  <si>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</si>
  <si>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</si>
  <si>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</si>
  <si>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</si>
  <si>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</si>
  <si>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</si>
  <si>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</si>
  <si>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</si>
  <si>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</si>
  <si>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</si>
  <si>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</si>
  <si>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</si>
  <si>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</si>
  <si>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</si>
  <si>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</si>
  <si>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</si>
  <si>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</si>
  <si>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</si>
  <si>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</si>
  <si>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</si>
  <si>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</si>
  <si>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</si>
  <si>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</si>
  <si>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</si>
  <si>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</si>
  <si>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</si>
  <si>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</si>
  <si>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</si>
  <si>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</si>
  <si>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</si>
  <si>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</si>
  <si>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</si>
  <si>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</si>
  <si>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</si>
  <si>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</si>
  <si>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</si>
  <si>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</si>
  <si>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</si>
  <si>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</si>
  <si>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</si>
  <si>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</si>
  <si>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</si>
  <si>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</si>
  <si>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</si>
  <si>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</si>
  <si>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</si>
  <si>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</si>
  <si>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</si>
  <si>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</si>
  <si>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</si>
  <si>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</si>
  <si>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</si>
  <si>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</si>
  <si>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</si>
  <si>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</si>
  <si>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</si>
  <si>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</si>
  <si>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</si>
  <si>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</si>
  <si>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</si>
  <si>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</si>
  <si>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</si>
  <si>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</si>
  <si>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</si>
  <si>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</si>
  <si>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</si>
  <si>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</si>
  <si>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</si>
  <si>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</si>
  <si>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</si>
  <si>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</si>
  <si>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</si>
  <si>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</si>
  <si>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</si>
  <si>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</si>
  <si>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</si>
  <si>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</si>
  <si>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</si>
  <si>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</si>
  <si>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</si>
  <si>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</si>
  <si>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</si>
  <si>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</si>
  <si>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</si>
  <si>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</si>
  <si>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</si>
  <si>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</si>
  <si>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</si>
  <si>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</si>
  <si>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</si>
  <si>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</si>
  <si>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</si>
  <si>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</si>
  <si>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</si>
  <si>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</si>
  <si>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</si>
  <si>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</si>
  <si>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</si>
  <si>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</si>
  <si>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</si>
  <si>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</si>
  <si>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</si>
  <si>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</si>
  <si>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</si>
  <si>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</si>
  <si>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</si>
  <si>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</si>
  <si>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</si>
  <si>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</si>
  <si>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</si>
  <si>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</si>
  <si>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</si>
  <si>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</si>
  <si>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</si>
  <si>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</si>
  <si>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</si>
  <si>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</si>
  <si>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</si>
  <si>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</si>
  <si>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</si>
  <si>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</si>
  <si>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</si>
  <si>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</si>
  <si>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</si>
  <si>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</si>
  <si>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</si>
  <si>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</si>
  <si>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</si>
  <si>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</si>
  <si>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</si>
  <si>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</si>
  <si>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</si>
  <si>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</si>
  <si>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</si>
  <si>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</si>
  <si>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</si>
  <si>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</si>
  <si>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</si>
  <si>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</si>
  <si>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</si>
  <si>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</si>
  <si>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</si>
  <si>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</si>
  <si>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</si>
  <si>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</si>
  <si>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</si>
  <si>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</si>
  <si>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</si>
  <si>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</si>
  <si>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</si>
  <si>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</si>
  <si>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</si>
  <si>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</si>
  <si>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</si>
  <si>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</si>
  <si>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</si>
  <si>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</si>
  <si>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</si>
  <si>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</si>
  <si>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</si>
  <si>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</si>
  <si>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</si>
  <si>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</si>
  <si>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</si>
  <si>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</si>
  <si>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</si>
  <si>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</si>
  <si>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</si>
  <si>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</si>
  <si>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</si>
  <si>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</si>
  <si>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</si>
  <si>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</si>
  <si>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</si>
  <si>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</si>
  <si>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</si>
  <si>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</si>
  <si>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</si>
  <si>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</si>
  <si>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</si>
  <si>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</si>
  <si>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</si>
  <si>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</si>
  <si>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</si>
  <si>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</si>
  <si>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</si>
  <si>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</si>
  <si>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</si>
  <si>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</si>
  <si>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</si>
  <si>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</si>
  <si>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</si>
  <si>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</si>
  <si>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</si>
  <si>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</si>
  <si>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</si>
  <si>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</si>
  <si>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</si>
  <si>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</si>
  <si>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</si>
  <si>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</si>
  <si>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</si>
  <si>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</si>
  <si>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</si>
  <si>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</si>
  <si>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</si>
  <si>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</si>
  <si>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</si>
  <si>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</si>
  <si>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</si>
  <si>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</si>
  <si>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</si>
  <si>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</si>
  <si>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</si>
  <si>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</si>
  <si>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</si>
  <si>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</si>
  <si>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</si>
  <si>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</si>
  <si>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</si>
  <si>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</si>
  <si>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</si>
  <si>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</si>
  <si>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</si>
  <si>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</si>
  <si>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</si>
  <si>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</si>
  <si>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</si>
  <si>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</si>
  <si>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</si>
  <si>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</si>
  <si>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</si>
  <si>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</si>
  <si>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</si>
  <si>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</si>
  <si>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</si>
  <si>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</si>
  <si>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</si>
  <si>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</si>
  <si>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</si>
  <si>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</si>
  <si>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</si>
  <si>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</si>
  <si>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</si>
  <si>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</si>
  <si>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</si>
  <si>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</si>
  <si>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</si>
  <si>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</si>
  <si>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</si>
  <si>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</si>
  <si>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</si>
  <si>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</si>
  <si>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</si>
  <si>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</si>
  <si>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</si>
  <si>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</si>
  <si>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</si>
  <si>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</si>
  <si>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</si>
  <si>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</si>
  <si>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</si>
  <si>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</si>
  <si>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</si>
  <si>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</si>
  <si>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</si>
  <si>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</si>
  <si>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</si>
  <si>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</si>
  <si>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</si>
  <si>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</si>
  <si>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</si>
  <si>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</si>
  <si>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</si>
  <si>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</si>
  <si>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</si>
  <si>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</si>
  <si>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</si>
  <si>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</si>
  <si>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</si>
  <si>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</si>
  <si>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</si>
  <si>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</si>
  <si>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</si>
  <si>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</si>
  <si>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</si>
  <si>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</si>
  <si>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</si>
  <si>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</si>
  <si>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</si>
  <si>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</si>
  <si>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</si>
  <si>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</si>
  <si>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</si>
  <si>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</si>
  <si>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</si>
  <si>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</si>
  <si>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</si>
  <si>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</si>
  <si>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</si>
  <si>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</si>
  <si>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</si>
  <si>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</si>
  <si>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</si>
  <si>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</si>
  <si>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</si>
  <si>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</si>
  <si>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</si>
  <si>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</si>
  <si>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</si>
  <si>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</si>
  <si>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</si>
  <si>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</si>
  <si>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</si>
  <si>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</si>
  <si>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</si>
  <si>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</si>
  <si>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</si>
  <si>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</si>
  <si>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</si>
  <si>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</si>
  <si>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</si>
  <si>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</si>
  <si>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</si>
  <si>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</si>
  <si>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</si>
  <si>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</si>
  <si>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</si>
  <si>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</si>
  <si>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</si>
  <si>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</si>
  <si>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</si>
  <si>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</si>
  <si>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</si>
  <si>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</si>
  <si>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</si>
  <si>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</si>
  <si>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</si>
  <si>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</si>
  <si>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</si>
  <si>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</si>
  <si>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</si>
  <si>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</si>
  <si>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</si>
  <si>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</si>
  <si>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</si>
  <si>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</si>
  <si>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</si>
  <si>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</si>
  <si>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</si>
  <si>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</si>
  <si>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</si>
  <si>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</si>
  <si>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</si>
  <si>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</si>
  <si>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</si>
  <si>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</si>
  <si>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</si>
  <si>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</si>
  <si>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</si>
  <si>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</si>
  <si>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</si>
  <si>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</si>
  <si>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</si>
  <si>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</si>
  <si>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</si>
  <si>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</si>
  <si>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</si>
  <si>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</si>
  <si>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</si>
  <si>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</si>
  <si>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</si>
  <si>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</si>
  <si>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</si>
  <si>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</si>
  <si>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</si>
  <si>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</si>
  <si>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</si>
  <si>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</si>
  <si>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</si>
  <si>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</si>
  <si>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</si>
  <si>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</si>
  <si>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</si>
  <si>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</si>
  <si>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</si>
  <si>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</si>
  <si>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</si>
  <si>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</si>
  <si>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</si>
  <si>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</si>
  <si>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</si>
  <si>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</si>
  <si>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</si>
  <si>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</si>
  <si>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</si>
  <si>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</si>
  <si>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</si>
  <si>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</si>
  <si>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</si>
  <si>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</si>
  <si>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</si>
  <si>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</si>
  <si>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</si>
  <si>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</si>
  <si>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</si>
  <si>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</si>
  <si>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</si>
  <si>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</si>
  <si>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</si>
  <si>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</si>
  <si>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</si>
  <si>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</si>
  <si>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</si>
  <si>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</si>
  <si>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</si>
  <si>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</si>
  <si>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</si>
  <si>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</si>
  <si>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</si>
  <si>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</si>
  <si>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</si>
  <si>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</si>
  <si>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</si>
  <si>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</si>
  <si>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</si>
  <si>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</si>
  <si>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</si>
  <si>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</si>
  <si>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</si>
  <si>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</si>
  <si>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</si>
  <si>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</si>
  <si>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</si>
  <si>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</si>
  <si>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</si>
  <si>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</si>
  <si>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</si>
  <si>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</si>
  <si>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</si>
  <si>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</si>
  <si>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</si>
  <si>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</si>
  <si>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</si>
  <si>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</si>
  <si>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</si>
  <si>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</si>
  <si>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</si>
  <si>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</si>
  <si>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</si>
  <si>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</si>
  <si>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</si>
  <si>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</si>
  <si>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</si>
  <si>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</si>
  <si>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</si>
  <si>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</si>
  <si>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</si>
  <si>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</si>
  <si>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</si>
  <si>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</si>
  <si>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</si>
  <si>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</si>
  <si>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</si>
  <si>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</si>
  <si>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</si>
  <si>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</si>
  <si>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</si>
  <si>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</si>
  <si>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</si>
  <si>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</si>
  <si>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</si>
  <si>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</si>
  <si>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</si>
  <si>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</si>
  <si>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</si>
  <si>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</si>
  <si>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</si>
  <si>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</si>
  <si>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</si>
  <si>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</si>
  <si>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</si>
  <si>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</si>
  <si>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</si>
  <si>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</si>
  <si>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</si>
  <si>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</si>
  <si>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</si>
  <si>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</si>
  <si>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</si>
  <si>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</si>
  <si>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</si>
  <si>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</si>
  <si>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</si>
  <si>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</si>
  <si>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</si>
  <si>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</si>
  <si>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</si>
  <si>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</si>
  <si>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</si>
  <si>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</si>
  <si>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</si>
  <si>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</si>
  <si>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</si>
  <si>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</si>
  <si>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</si>
  <si>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</si>
  <si>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</si>
  <si>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</si>
  <si>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</si>
  <si>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</si>
  <si>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</si>
  <si>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</si>
  <si>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</si>
  <si>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</si>
  <si>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</si>
  <si>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</si>
  <si>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</si>
  <si>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</si>
  <si>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</si>
  <si>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</si>
  <si>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</si>
  <si>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</si>
  <si>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</si>
  <si>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</si>
  <si>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</si>
  <si>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</si>
  <si>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</si>
  <si>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</si>
  <si>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</si>
  <si>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</si>
  <si>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</si>
  <si>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</si>
  <si>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</si>
  <si>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</si>
  <si>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</si>
  <si>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</si>
  <si>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</si>
  <si>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</si>
  <si>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</si>
  <si>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</si>
  <si>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</si>
  <si>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</si>
  <si>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</si>
  <si>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</si>
  <si>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</si>
  <si>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</si>
  <si>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</si>
  <si>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</si>
  <si>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</si>
  <si>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</si>
  <si>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</si>
  <si>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</si>
  <si>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</si>
  <si>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</si>
  <si>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</si>
  <si>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</si>
  <si>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</si>
  <si>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</si>
  <si>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</si>
  <si>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</si>
  <si>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</si>
  <si>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</si>
  <si>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</si>
  <si>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</si>
  <si>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</si>
  <si>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</si>
  <si>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</si>
  <si>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</si>
  <si>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</si>
  <si>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</si>
  <si>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</si>
  <si>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</si>
  <si>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</si>
  <si>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</si>
  <si>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</si>
  <si>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</si>
  <si>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</si>
  <si>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</si>
  <si>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</si>
  <si>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</si>
  <si>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</si>
  <si>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</si>
  <si>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</si>
  <si>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</si>
  <si>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</si>
  <si>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</si>
  <si>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</si>
  <si>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</si>
  <si>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</si>
  <si>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</si>
  <si>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</si>
  <si>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</si>
  <si>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</si>
  <si>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</si>
  <si>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</si>
  <si>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</si>
  <si>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</si>
  <si>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</si>
  <si>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</si>
  <si>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</si>
  <si>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</si>
  <si>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</si>
  <si>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</si>
  <si>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</si>
  <si>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</si>
  <si>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</si>
  <si>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</si>
  <si>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</si>
  <si>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</si>
  <si>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</si>
  <si>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</si>
  <si>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</si>
  <si>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</si>
  <si>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</si>
  <si>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</si>
  <si>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</si>
  <si>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</si>
  <si>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</si>
  <si>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</si>
  <si>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</si>
  <si>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</si>
  <si>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</si>
  <si>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</si>
  <si>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</si>
  <si>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</si>
  <si>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</si>
  <si>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</si>
  <si>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</si>
  <si>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</si>
  <si>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</si>
  <si>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</si>
  <si>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</si>
  <si>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</si>
  <si>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</si>
  <si>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</si>
  <si>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</si>
  <si>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</si>
  <si>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</si>
  <si>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</si>
  <si>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</si>
  <si>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</si>
  <si>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</si>
  <si>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</si>
  <si>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</si>
  <si>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</si>
  <si>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</si>
  <si>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</si>
  <si>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</si>
  <si>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</si>
  <si>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</si>
  <si>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</si>
  <si>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</si>
  <si>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</si>
  <si>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</si>
  <si>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</si>
  <si>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</si>
  <si>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</si>
  <si>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</si>
  <si>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</si>
  <si>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</si>
  <si>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</si>
  <si>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</si>
  <si>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</si>
  <si>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</si>
  <si>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</si>
  <si>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</si>
  <si>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</si>
  <si>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</si>
  <si>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</si>
  <si>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</si>
  <si>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</si>
  <si>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</si>
  <si>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</si>
  <si>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</si>
  <si>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</si>
  <si>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</si>
  <si>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</si>
  <si>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</si>
  <si>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</si>
  <si>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</si>
  <si>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</si>
  <si>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</si>
  <si>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</si>
  <si>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</si>
  <si>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</si>
  <si>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</si>
  <si>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</si>
  <si>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</si>
  <si>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</si>
  <si>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</si>
  <si>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</si>
  <si>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</si>
  <si>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</si>
  <si>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</si>
  <si>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</si>
  <si>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</si>
  <si>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</si>
  <si>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</si>
  <si>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</si>
  <si>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</si>
  <si>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</si>
  <si>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</si>
  <si>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</si>
  <si>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</si>
  <si>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</si>
  <si>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</si>
  <si>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</si>
  <si>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</si>
  <si>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</si>
  <si>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</si>
  <si>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</si>
  <si>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</si>
  <si>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</si>
  <si>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</si>
  <si>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</si>
  <si>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</si>
  <si>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</si>
  <si>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</si>
  <si>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</si>
  <si>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</si>
  <si>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</si>
  <si>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</si>
  <si>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</si>
  <si>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</si>
  <si>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</si>
  <si>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</si>
  <si>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</si>
  <si>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</si>
  <si>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</si>
  <si>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</si>
  <si>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</si>
  <si>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</si>
  <si>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</si>
  <si>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</si>
  <si>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</si>
  <si>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</si>
  <si>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</si>
  <si>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</si>
  <si>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</si>
  <si>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</si>
  <si>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</si>
  <si>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</si>
  <si>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</si>
  <si>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</si>
  <si>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</si>
  <si>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</si>
  <si>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</si>
  <si>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</si>
  <si>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</si>
  <si>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</si>
  <si>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</si>
  <si>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</si>
  <si>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</si>
  <si>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</si>
  <si>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</si>
  <si>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</si>
  <si>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</si>
  <si>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</si>
  <si>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</si>
  <si>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</si>
  <si>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</si>
  <si>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</si>
  <si>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</si>
  <si>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</si>
  <si>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</si>
  <si>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</si>
  <si>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</si>
  <si>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</si>
  <si>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</si>
  <si>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</si>
  <si>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</si>
  <si>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</si>
  <si>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</si>
  <si>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</si>
  <si>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</si>
  <si>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</si>
  <si>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</si>
  <si>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</si>
  <si>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</si>
  <si>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</si>
  <si>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</si>
  <si>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</si>
  <si>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</si>
  <si>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</si>
  <si>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</si>
  <si>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</si>
  <si>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</si>
  <si>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</si>
  <si>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</si>
  <si>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</si>
  <si>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</si>
  <si>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</si>
  <si>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</si>
  <si>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</si>
  <si>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</si>
  <si>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</si>
  <si>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</si>
  <si>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</si>
  <si>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</si>
  <si>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</si>
  <si>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</si>
  <si>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</si>
  <si>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</si>
  <si>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</si>
  <si>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</si>
  <si>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</si>
  <si>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</si>
  <si>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</si>
  <si>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</si>
  <si>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</si>
  <si>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</si>
  <si>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</si>
  <si>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</si>
  <si>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</si>
  <si>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</si>
  <si>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</si>
  <si>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</si>
  <si>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</si>
  <si>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</si>
  <si>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</si>
  <si>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</si>
  <si>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</si>
  <si>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</si>
  <si>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</si>
  <si>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</si>
  <si>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</si>
  <si>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</si>
  <si>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</si>
  <si>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</si>
  <si>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</si>
  <si>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</si>
  <si>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</si>
  <si>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</si>
  <si>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</si>
  <si>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</si>
  <si>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</si>
  <si>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</si>
  <si>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</si>
  <si>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</si>
  <si>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</si>
  <si>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</si>
  <si>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</si>
  <si>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</si>
  <si>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</si>
  <si>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</si>
  <si>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</si>
  <si>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</si>
  <si>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</si>
  <si>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</si>
  <si>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</si>
  <si>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</si>
  <si>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</si>
  <si>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</si>
  <si>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</si>
  <si>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</si>
  <si>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</si>
  <si>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</si>
  <si>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</si>
  <si>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</si>
  <si>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</si>
  <si>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</si>
  <si>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</si>
  <si>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</si>
  <si>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</si>
  <si>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</si>
  <si>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</si>
  <si>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</si>
  <si>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</si>
  <si>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</si>
  <si>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</si>
  <si>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</si>
  <si>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</si>
  <si>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</si>
  <si>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</si>
  <si>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</si>
  <si>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</si>
  <si>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</si>
  <si>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</si>
  <si>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</si>
  <si>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</si>
  <si>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</si>
  <si>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</si>
  <si>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</si>
  <si>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</si>
  <si>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</si>
  <si>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</si>
  <si>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</si>
  <si>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</si>
  <si>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</si>
  <si>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</si>
  <si>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</si>
  <si>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</si>
  <si>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</si>
  <si>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</si>
  <si>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</si>
  <si>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</si>
  <si>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</si>
  <si>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</si>
  <si>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</si>
  <si>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</si>
  <si>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</si>
  <si>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</si>
  <si>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</si>
  <si>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</si>
  <si>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</si>
  <si>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</si>
  <si>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</si>
  <si>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</si>
  <si>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</si>
  <si>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</si>
  <si>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</si>
  <si>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</si>
  <si>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</si>
  <si>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</si>
  <si>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</si>
  <si>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</si>
  <si>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</si>
  <si>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</si>
  <si>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</si>
  <si>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</si>
  <si>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</si>
  <si>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</si>
  <si>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</si>
  <si>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</si>
  <si>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</si>
  <si>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</si>
  <si>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</si>
  <si>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</si>
  <si>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</si>
  <si>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</si>
  <si>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</si>
  <si>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</si>
  <si>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</si>
  <si>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</si>
  <si>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</si>
  <si>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</si>
  <si>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</si>
  <si>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</si>
  <si>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</si>
  <si>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</si>
  <si>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</si>
  <si>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</si>
  <si>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</si>
  <si>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</si>
  <si>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</si>
  <si>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</si>
  <si>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</si>
  <si>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</si>
  <si>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</si>
  <si>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</si>
  <si>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</si>
  <si>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</si>
  <si>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</si>
  <si>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</si>
  <si>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</si>
  <si>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</si>
  <si>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</si>
  <si>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</si>
  <si>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</si>
  <si>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</si>
  <si>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</si>
  <si>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</si>
  <si>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</si>
  <si>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</si>
  <si>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</si>
  <si>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</si>
  <si>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</si>
  <si>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</si>
  <si>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</si>
  <si>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</si>
  <si>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</si>
  <si>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</si>
  <si>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</si>
  <si>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</si>
  <si>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</si>
  <si>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</si>
  <si>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</si>
  <si>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</si>
  <si>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</si>
  <si>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</si>
  <si>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</si>
  <si>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</si>
  <si>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</si>
  <si>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</si>
  <si>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</si>
  <si>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</si>
  <si>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</si>
  <si>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</si>
  <si>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</si>
  <si>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</si>
  <si>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</si>
  <si>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</si>
  <si>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</si>
  <si>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</si>
  <si>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</si>
  <si>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</si>
  <si>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</si>
  <si>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</si>
  <si>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</si>
  <si>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</si>
  <si>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</si>
  <si>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</si>
  <si>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</si>
  <si>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</si>
  <si>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</si>
  <si>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</si>
  <si>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</si>
  <si>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</si>
  <si>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</si>
  <si>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</si>
  <si>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</si>
  <si>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</si>
  <si>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</si>
  <si>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</si>
  <si>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</si>
  <si>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</si>
  <si>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</si>
  <si>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</si>
  <si>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</si>
  <si>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</si>
  <si>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</si>
  <si>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</si>
  <si>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</si>
  <si>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</si>
  <si>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</si>
  <si>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</si>
  <si>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</si>
  <si>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</si>
  <si>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</si>
  <si>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</si>
  <si>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</si>
  <si>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</si>
  <si>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</si>
  <si>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</si>
  <si>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</si>
  <si>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</si>
  <si>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</si>
  <si>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</si>
  <si>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</si>
  <si>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</si>
  <si>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</si>
  <si>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</si>
  <si>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</si>
  <si>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</si>
  <si>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</si>
  <si>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</si>
  <si>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</si>
  <si>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</si>
  <si>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</si>
  <si>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</si>
  <si>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</si>
  <si>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</si>
  <si>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</si>
  <si>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</si>
  <si>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</si>
  <si>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</si>
  <si>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</si>
  <si>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</si>
  <si>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</si>
  <si>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</si>
  <si>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</si>
  <si>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</si>
  <si>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</si>
  <si>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</si>
  <si>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</si>
  <si>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</si>
  <si>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</si>
  <si>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</si>
  <si>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</si>
  <si>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</si>
  <si>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</si>
  <si>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</si>
  <si>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</si>
  <si>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</si>
  <si>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</si>
  <si>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</si>
  <si>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</si>
  <si>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</si>
  <si>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</si>
  <si>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</si>
  <si>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</si>
  <si>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</si>
  <si>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</si>
  <si>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</si>
  <si>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</si>
  <si>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</si>
  <si>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</si>
  <si>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</si>
  <si>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</si>
  <si>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</si>
  <si>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</si>
  <si>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</si>
  <si>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</si>
  <si>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</si>
  <si>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</si>
  <si>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</si>
  <si>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</si>
  <si>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</si>
  <si>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</si>
  <si>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</si>
  <si>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</si>
  <si>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</si>
  <si>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</si>
  <si>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</si>
  <si>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</si>
  <si>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</si>
  <si>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</si>
  <si>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</si>
  <si>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</si>
  <si>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</si>
  <si>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</si>
  <si>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</si>
  <si>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</si>
  <si>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</si>
  <si>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</si>
  <si>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</si>
  <si>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</si>
  <si>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</si>
  <si>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</si>
  <si>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</si>
  <si>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</si>
  <si>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</si>
  <si>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</si>
  <si>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</si>
  <si>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</si>
  <si>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</si>
  <si>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</si>
  <si>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</si>
  <si>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</si>
  <si>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</si>
  <si>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</si>
  <si>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</si>
  <si>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</si>
  <si>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</si>
  <si>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</si>
  <si>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</si>
  <si>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</si>
  <si>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</si>
  <si>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</si>
  <si>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</si>
  <si>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</si>
  <si>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</si>
  <si>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</si>
  <si>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</si>
  <si>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</si>
  <si>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</si>
  <si>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</si>
  <si>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</si>
  <si>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</si>
  <si>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</si>
  <si>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</si>
  <si>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</si>
  <si>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</si>
  <si>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</si>
  <si>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</si>
  <si>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</si>
  <si>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</si>
  <si>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</si>
  <si>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</si>
  <si>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</si>
  <si>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</si>
  <si>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</si>
  <si>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</si>
  <si>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</si>
  <si>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</si>
  <si>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</si>
  <si>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</si>
  <si>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</si>
  <si>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</si>
  <si>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</si>
  <si>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</si>
  <si>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</si>
  <si>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</si>
  <si>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</si>
  <si>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</si>
  <si>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</si>
  <si>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</si>
  <si>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</si>
  <si>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</si>
  <si>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</si>
  <si>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</si>
  <si>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</si>
  <si>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</si>
  <si>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</si>
  <si>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</si>
  <si>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</si>
  <si>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</si>
  <si>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</si>
  <si>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</si>
  <si>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</si>
  <si>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</si>
  <si>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</si>
  <si>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</si>
  <si>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</si>
  <si>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</si>
  <si>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</si>
  <si>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</si>
  <si>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</si>
  <si>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</si>
  <si>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</si>
  <si>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</si>
  <si>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</si>
  <si>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</si>
  <si>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</si>
  <si>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</si>
  <si>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</si>
  <si>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</si>
  <si>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</si>
  <si>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</si>
  <si>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</si>
  <si>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</si>
  <si>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</si>
  <si>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</si>
  <si>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</si>
  <si>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</si>
  <si>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</si>
  <si>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</si>
  <si>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</si>
  <si>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</si>
  <si>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</si>
  <si>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</si>
  <si>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</si>
  <si>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</si>
  <si>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</si>
  <si>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</si>
  <si>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</si>
  <si>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</si>
  <si>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</si>
  <si>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</si>
  <si>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</si>
  <si>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</si>
  <si>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</si>
  <si>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</si>
  <si>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</si>
  <si>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</si>
  <si>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</si>
  <si>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</si>
  <si>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</si>
  <si>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</si>
  <si>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</si>
  <si>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</si>
  <si>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</si>
  <si>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</si>
  <si>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</si>
  <si>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</si>
  <si>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</si>
  <si>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</si>
  <si>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</si>
  <si>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</si>
  <si>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</si>
  <si>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</si>
  <si>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</si>
  <si>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</si>
  <si>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</si>
  <si>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</si>
  <si>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</si>
  <si>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</si>
  <si>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</si>
  <si>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</si>
  <si>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</si>
  <si>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</si>
  <si>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</si>
  <si>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</si>
  <si>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</si>
  <si>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</si>
  <si>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</si>
  <si>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</si>
  <si>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</si>
  <si>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</si>
  <si>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</si>
  <si>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</si>
  <si>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</si>
  <si>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</si>
  <si>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</si>
  <si>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</si>
  <si>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</si>
  <si>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</si>
  <si>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</si>
  <si>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</si>
  <si>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</si>
  <si>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</si>
  <si>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</si>
  <si>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</si>
  <si>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</si>
  <si>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</si>
  <si>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</si>
  <si>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</si>
  <si>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</si>
  <si>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</si>
  <si>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</si>
  <si>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</si>
  <si>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</si>
  <si>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</si>
  <si>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</si>
  <si>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</si>
  <si>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</si>
  <si>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</si>
  <si>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</si>
  <si>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</si>
  <si>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</si>
  <si>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</si>
  <si>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</si>
  <si>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</si>
  <si>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</si>
  <si>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</si>
  <si>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</si>
  <si>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</si>
  <si>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</si>
  <si>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</si>
  <si>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</si>
  <si>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</si>
  <si>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</si>
  <si>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</si>
  <si>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</si>
  <si>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</si>
  <si>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</si>
  <si>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</si>
  <si>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</si>
  <si>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</si>
  <si>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</si>
  <si>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</si>
  <si>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</si>
  <si>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</si>
  <si>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</si>
  <si>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</si>
  <si>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</si>
  <si>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</si>
  <si>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</si>
  <si>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</si>
  <si>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</si>
  <si>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</si>
  <si>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</si>
  <si>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</si>
  <si>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</si>
  <si>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</si>
  <si>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</si>
  <si>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</si>
  <si>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</si>
  <si>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</si>
  <si>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</si>
  <si>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</si>
  <si>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</si>
  <si>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</si>
  <si>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</si>
  <si>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</si>
  <si>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</si>
  <si>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</si>
  <si>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</si>
  <si>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</si>
  <si>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</si>
  <si>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</si>
  <si>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</si>
  <si>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</si>
  <si>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</si>
  <si>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</si>
  <si>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</si>
  <si>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</si>
  <si>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</si>
  <si>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</si>
  <si>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</si>
  <si>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</si>
  <si>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</si>
  <si>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</si>
  <si>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</si>
  <si>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</si>
  <si>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</si>
  <si>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</si>
  <si>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</si>
  <si>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</si>
  <si>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</si>
  <si>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</si>
  <si>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</si>
  <si>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</si>
  <si>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</si>
  <si>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</si>
  <si>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</si>
  <si>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</si>
  <si>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</si>
  <si>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</si>
  <si>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</si>
  <si>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</si>
  <si>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</si>
  <si>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</si>
  <si>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</si>
  <si>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</si>
  <si>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</si>
  <si>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</si>
  <si>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</si>
  <si>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</si>
  <si>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</si>
  <si>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</si>
  <si>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</si>
  <si>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</si>
  <si>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</si>
  <si>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</si>
  <si>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</si>
  <si>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</si>
  <si>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</si>
  <si>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</si>
  <si>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</si>
  <si>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</si>
  <si>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</si>
  <si>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</si>
  <si>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</si>
  <si>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</si>
  <si>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</si>
  <si>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</si>
  <si>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</si>
  <si>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</si>
  <si>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</si>
  <si>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</si>
  <si>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</si>
  <si>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</si>
  <si>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</si>
  <si>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</si>
  <si>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</si>
  <si>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</si>
  <si>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</si>
  <si>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</si>
  <si>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</si>
  <si>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</si>
  <si>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</si>
  <si>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</si>
  <si>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</si>
  <si>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</si>
  <si>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</si>
  <si>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</si>
  <si>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</si>
  <si>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</si>
  <si>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</si>
  <si>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</si>
  <si>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</si>
  <si>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</si>
  <si>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</si>
  <si>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</si>
  <si>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</si>
  <si>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</si>
  <si>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</si>
  <si>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</si>
  <si>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</si>
  <si>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</si>
  <si>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</si>
  <si>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</si>
  <si>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</si>
  <si>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</si>
  <si>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</si>
  <si>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</si>
  <si>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</si>
  <si>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</si>
  <si>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</si>
  <si>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</si>
  <si>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</si>
  <si>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</si>
  <si>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</si>
  <si>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</si>
  <si>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</si>
  <si>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</si>
  <si>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</si>
  <si>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</si>
  <si>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</si>
  <si>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</si>
  <si>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</si>
  <si>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</si>
  <si>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</si>
  <si>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</si>
  <si>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</si>
  <si>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</si>
  <si>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</si>
  <si>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</si>
  <si>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</si>
  <si>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</si>
  <si>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</si>
  <si>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</si>
  <si>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</si>
  <si>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</si>
  <si>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</si>
  <si>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</si>
  <si>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</si>
  <si>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</si>
  <si>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</si>
  <si>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</si>
  <si>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</si>
  <si>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</si>
  <si>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</si>
  <si>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</si>
  <si>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</si>
  <si>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</si>
  <si>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</si>
  <si>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</si>
  <si>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</si>
  <si>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</si>
  <si>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</si>
  <si>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</si>
  <si>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</si>
  <si>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</si>
  <si>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</si>
  <si>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</si>
  <si>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</si>
  <si>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</si>
  <si>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</si>
  <si>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</si>
  <si>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</si>
  <si>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</si>
  <si>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</si>
  <si>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</si>
  <si>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</si>
  <si>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</si>
  <si>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</si>
  <si>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</si>
  <si>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</si>
  <si>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</si>
  <si>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</si>
  <si>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</si>
  <si>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</si>
  <si>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</si>
  <si>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</si>
  <si>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</si>
  <si>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</si>
  <si>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</si>
  <si>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</si>
  <si>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</si>
  <si>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</si>
  <si>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</si>
  <si>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</si>
  <si>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</si>
  <si>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</si>
  <si>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</si>
  <si>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</si>
  <si>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</si>
  <si>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</si>
  <si>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</si>
  <si>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</si>
  <si>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</si>
  <si>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</si>
  <si>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</si>
  <si>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</si>
  <si>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</si>
  <si>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</si>
  <si>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</si>
  <si>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</si>
  <si>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</si>
  <si>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</si>
  <si>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</si>
  <si>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</si>
  <si>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</si>
  <si>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</si>
  <si>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</si>
  <si>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</si>
  <si>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</si>
  <si>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</si>
  <si>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</si>
  <si>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</si>
  <si>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</si>
  <si>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</si>
  <si>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</si>
  <si>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</si>
  <si>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</si>
  <si>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</si>
  <si>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</si>
  <si>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</si>
  <si>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</si>
  <si>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</si>
  <si>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</si>
  <si>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</si>
  <si>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</si>
  <si>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</si>
  <si>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</si>
  <si>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</si>
  <si>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</si>
  <si>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</si>
  <si>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</si>
  <si>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</si>
  <si>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</si>
  <si>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</si>
  <si>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</si>
  <si>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</si>
  <si>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</si>
  <si>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</si>
  <si>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</si>
  <si>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</si>
  <si>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</si>
  <si>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</si>
  <si>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</si>
  <si>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</si>
  <si>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</si>
  <si>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</si>
  <si>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</si>
  <si>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</si>
  <si>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</si>
  <si>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</si>
  <si>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</si>
  <si>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</si>
  <si>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</si>
  <si>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</si>
  <si>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</si>
  <si>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</si>
  <si>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</si>
  <si>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</si>
  <si>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</si>
  <si>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</si>
  <si>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</si>
  <si>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</si>
  <si>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</si>
  <si>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</si>
  <si>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</si>
  <si>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</si>
  <si>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</si>
  <si>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</si>
  <si>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</si>
  <si>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</si>
  <si>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</si>
  <si>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</si>
  <si>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</si>
  <si>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</si>
  <si>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</si>
  <si>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</si>
  <si>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</si>
  <si>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</si>
  <si>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</si>
  <si>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</si>
  <si>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</si>
  <si>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</si>
  <si>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</si>
  <si>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</si>
  <si>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</si>
  <si>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</si>
  <si>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</si>
  <si>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</si>
  <si>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</si>
  <si>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</si>
  <si>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</si>
  <si>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</si>
  <si>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</si>
  <si>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</si>
  <si>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</si>
  <si>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</si>
  <si>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</si>
  <si>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</si>
  <si>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</si>
  <si>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</si>
  <si>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</si>
  <si>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</si>
  <si>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</si>
  <si>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</si>
  <si>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</si>
  <si>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</si>
  <si>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</si>
  <si>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</si>
  <si>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</si>
  <si>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</si>
  <si>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</si>
  <si>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</si>
  <si>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</si>
  <si>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</si>
  <si>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</si>
  <si>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</si>
  <si>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</si>
  <si>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</si>
  <si>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</si>
  <si>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</si>
  <si>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</si>
  <si>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</si>
  <si>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</si>
  <si>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</si>
  <si>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</si>
  <si>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</si>
  <si>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</si>
  <si>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</si>
  <si>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</si>
  <si>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</si>
  <si>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</si>
  <si>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</si>
  <si>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</si>
  <si>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</si>
  <si>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</si>
  <si>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</si>
  <si>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</si>
  <si>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</si>
  <si>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</si>
  <si>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</si>
  <si>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</si>
  <si>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</si>
  <si>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</si>
  <si>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</si>
  <si>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</si>
  <si>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</si>
  <si>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</si>
  <si>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</si>
  <si>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</si>
  <si>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</si>
  <si>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</si>
  <si>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</si>
  <si>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</si>
  <si>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</si>
  <si>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</si>
  <si>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</si>
  <si>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</si>
  <si>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</si>
  <si>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</si>
  <si>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</si>
  <si>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</si>
  <si>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</si>
  <si>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</si>
  <si>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</si>
  <si>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</si>
  <si>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</si>
  <si>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</si>
  <si>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</si>
  <si>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</si>
  <si>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</si>
  <si>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</si>
  <si>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</si>
  <si>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</si>
  <si>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</si>
  <si>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</si>
  <si>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</si>
  <si>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</si>
  <si>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</si>
  <si>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</si>
  <si>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</si>
  <si>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</si>
  <si>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</si>
  <si>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</si>
  <si>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</si>
  <si>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</si>
  <si>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</si>
  <si>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</si>
  <si>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</si>
  <si>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</si>
  <si>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</si>
  <si>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</si>
  <si>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</si>
  <si>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</si>
  <si>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</si>
  <si>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</si>
  <si>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</si>
  <si>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</si>
  <si>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</si>
  <si>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</si>
  <si>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</si>
  <si>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</si>
  <si>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</si>
  <si>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</si>
  <si>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</si>
  <si>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</si>
  <si>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</si>
  <si>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</si>
  <si>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</si>
  <si>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</si>
  <si>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</si>
  <si>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</si>
  <si>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</si>
  <si>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</si>
  <si>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</si>
  <si>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</si>
  <si>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</si>
  <si>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</si>
  <si>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</si>
  <si>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</si>
  <si>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</si>
  <si>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</si>
  <si>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</si>
  <si>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</si>
  <si>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</si>
  <si>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</si>
  <si>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</si>
  <si>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</si>
  <si>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</si>
  <si>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</si>
  <si>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</si>
  <si>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</si>
  <si>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</si>
  <si>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</si>
  <si>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</si>
  <si>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</si>
  <si>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</si>
  <si>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</si>
  <si>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</si>
  <si>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</si>
  <si>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</si>
  <si>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</si>
  <si>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</si>
  <si>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</si>
  <si>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</si>
  <si>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</si>
  <si>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</si>
  <si>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</si>
  <si>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</si>
  <si>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</si>
  <si>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</si>
  <si>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</si>
  <si>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</si>
  <si>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</si>
  <si>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</si>
  <si>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</si>
  <si>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</si>
  <si>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</si>
  <si>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</si>
  <si>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</si>
  <si>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</si>
  <si>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</si>
  <si>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</si>
  <si>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</si>
  <si>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</si>
  <si>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</si>
  <si>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</si>
  <si>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</si>
  <si>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</si>
  <si>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</si>
  <si>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</si>
  <si>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</si>
  <si>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</si>
  <si>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</si>
  <si>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</si>
  <si>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</si>
  <si>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</si>
  <si>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</si>
  <si>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</si>
  <si>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</si>
  <si>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</si>
  <si>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</si>
  <si>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</si>
  <si>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</si>
  <si>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</si>
  <si>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</si>
  <si>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</si>
  <si>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</si>
  <si>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</si>
  <si>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</si>
  <si>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</si>
  <si>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</si>
  <si>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</si>
  <si>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</si>
  <si>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</si>
  <si>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</si>
  <si>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</si>
  <si>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</si>
  <si>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</si>
  <si>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</si>
  <si>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</si>
  <si>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</si>
  <si>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</si>
  <si>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</si>
  <si>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</si>
  <si>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</si>
  <si>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</si>
  <si>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</si>
  <si>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</si>
  <si>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</si>
  <si>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</si>
  <si>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</si>
  <si>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</si>
  <si>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</si>
  <si>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</si>
  <si>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</si>
  <si>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</si>
  <si>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</si>
  <si>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</si>
  <si>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</si>
  <si>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</si>
  <si>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</si>
  <si>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</si>
  <si>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</si>
  <si>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</si>
  <si>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</si>
  <si>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</si>
  <si>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</si>
  <si>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</si>
  <si>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</si>
  <si>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</si>
  <si>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</si>
  <si>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</si>
  <si>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</si>
  <si>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</si>
  <si>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</si>
  <si>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</si>
  <si>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</si>
  <si>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</si>
  <si>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</si>
  <si>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</si>
  <si>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</si>
  <si>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</si>
  <si>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</si>
  <si>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</si>
  <si>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</si>
  <si>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</si>
  <si>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</si>
  <si>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</si>
  <si>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</si>
  <si>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</si>
  <si>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</si>
  <si>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</si>
  <si>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</si>
  <si>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</si>
  <si>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</si>
  <si>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</si>
  <si>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</si>
  <si>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</si>
  <si>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</si>
  <si>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</si>
  <si>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</si>
  <si>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</si>
  <si>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</si>
  <si>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</si>
  <si>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</si>
  <si>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</si>
  <si>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</si>
  <si>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</si>
  <si>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</si>
  <si>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</si>
  <si>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</si>
  <si>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</si>
  <si>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</si>
  <si>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</si>
  <si>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</si>
  <si>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</si>
  <si>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</si>
  <si>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</si>
  <si>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</si>
  <si>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</si>
  <si>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</si>
  <si>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</si>
  <si>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</si>
  <si>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</si>
  <si>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</si>
  <si>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</si>
  <si>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</si>
  <si>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</si>
  <si>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</si>
  <si>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</si>
  <si>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</si>
  <si>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</si>
  <si>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</si>
  <si>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</si>
  <si>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</si>
  <si>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</si>
  <si>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</si>
  <si>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</si>
  <si>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</si>
  <si>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</si>
  <si>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</si>
  <si>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</si>
  <si>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</si>
  <si>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</si>
  <si>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</si>
  <si>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</si>
  <si>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</si>
  <si>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</si>
  <si>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</si>
  <si>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</si>
  <si>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</si>
  <si>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</si>
  <si>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</si>
  <si>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</si>
  <si>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</si>
  <si>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</si>
  <si>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</si>
  <si>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</si>
  <si>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</si>
  <si>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</si>
  <si>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</si>
  <si>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</si>
  <si>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</si>
  <si>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</si>
  <si>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</si>
  <si>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</si>
  <si>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</si>
  <si>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</si>
  <si>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</si>
  <si>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</si>
  <si>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</si>
  <si>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</si>
  <si>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</si>
  <si>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</si>
  <si>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</si>
  <si>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</si>
  <si>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</si>
  <si>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</si>
  <si>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</si>
  <si>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</si>
  <si>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</si>
  <si>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</si>
  <si>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</si>
  <si>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</si>
  <si>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</si>
  <si>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</si>
  <si>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</si>
  <si>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</si>
  <si>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</si>
  <si>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</si>
  <si>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</si>
  <si>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</si>
  <si>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</si>
  <si>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</si>
  <si>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</si>
  <si>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</si>
  <si>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</si>
  <si>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</si>
  <si>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</si>
  <si>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</si>
  <si>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</si>
  <si>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</si>
  <si>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</si>
  <si>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</si>
  <si>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</si>
  <si>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</si>
  <si>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</si>
  <si>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</si>
  <si>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</si>
  <si>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</si>
  <si>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</si>
  <si>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</si>
  <si>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</si>
  <si>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</si>
  <si>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</si>
  <si>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</si>
  <si>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</si>
  <si>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</si>
  <si>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</si>
  <si>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</si>
  <si>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</si>
  <si>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</si>
  <si>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</si>
  <si>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</si>
  <si>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</si>
  <si>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</si>
  <si>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</si>
  <si>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</si>
  <si>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</si>
  <si>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</si>
  <si>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</si>
  <si>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</si>
  <si>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</si>
  <si>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</si>
  <si>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</si>
  <si>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</si>
  <si>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</si>
  <si>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</si>
  <si>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</si>
  <si>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</si>
  <si>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</si>
  <si>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</si>
  <si>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</si>
  <si>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</si>
  <si>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</si>
  <si>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</si>
  <si>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</si>
  <si>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</si>
  <si>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</si>
  <si>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</si>
  <si>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</si>
  <si>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</si>
  <si>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</si>
  <si>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</si>
  <si>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</si>
  <si>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</si>
  <si>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</si>
  <si>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</si>
  <si>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</si>
  <si>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</si>
  <si>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</si>
  <si>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</si>
  <si>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</si>
  <si>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</si>
  <si>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</si>
  <si>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</si>
  <si>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</si>
  <si>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</si>
  <si>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</si>
  <si>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</si>
  <si>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</si>
  <si>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</si>
  <si>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</si>
  <si>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</si>
  <si>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</si>
  <si>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</si>
  <si>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</si>
  <si>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</si>
  <si>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</si>
  <si>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</si>
  <si>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</si>
  <si>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</si>
  <si>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</si>
  <si>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</si>
  <si>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</si>
  <si>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</si>
  <si>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</si>
  <si>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</si>
  <si>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</si>
  <si>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</si>
  <si>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</si>
  <si>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</si>
  <si>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</si>
  <si>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</si>
  <si>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</si>
  <si>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</si>
  <si>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</si>
  <si>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</si>
  <si>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</si>
  <si>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</si>
  <si>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</si>
  <si>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</si>
  <si>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</si>
  <si>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</si>
  <si>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</si>
  <si>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</si>
  <si>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</si>
  <si>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</si>
  <si>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</si>
  <si>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</si>
  <si>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</si>
  <si>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</si>
  <si>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</si>
  <si>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</si>
  <si>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</si>
  <si>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</si>
  <si>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</si>
  <si>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</si>
  <si>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</si>
  <si>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</si>
  <si>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</si>
  <si>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</si>
  <si>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</si>
  <si>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</si>
  <si>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</si>
  <si>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</si>
  <si>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</si>
  <si>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</si>
  <si>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</si>
  <si>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</si>
  <si>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</si>
  <si>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</si>
  <si>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</si>
  <si>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</si>
  <si>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</si>
  <si>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</si>
  <si>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</si>
  <si>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</si>
  <si>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</si>
  <si>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</si>
  <si>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</si>
  <si>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</si>
  <si>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</si>
  <si>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</si>
  <si>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</si>
  <si>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</si>
  <si>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</si>
  <si>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</si>
  <si>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</si>
  <si>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</si>
  <si>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</si>
  <si>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</si>
  <si>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</si>
  <si>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</si>
  <si>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</si>
  <si>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</si>
  <si>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</si>
  <si>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</si>
  <si>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</si>
  <si>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</si>
  <si>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</si>
  <si>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</si>
  <si>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</si>
  <si>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</si>
  <si>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</si>
  <si>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</si>
  <si>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</si>
  <si>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</si>
  <si>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</si>
  <si>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</si>
  <si>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</si>
  <si>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</si>
  <si>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</si>
  <si>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</si>
  <si>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</si>
  <si>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</si>
  <si>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</si>
  <si>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</si>
  <si>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</si>
  <si>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</si>
  <si>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</si>
  <si>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</si>
  <si>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</si>
  <si>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</si>
  <si>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</si>
  <si>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</si>
  <si>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</si>
  <si>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</si>
  <si>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</si>
  <si>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</si>
  <si>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</si>
  <si>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</si>
  <si>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</si>
  <si>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</si>
  <si>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</si>
  <si>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</si>
  <si>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</si>
  <si>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</si>
  <si>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</si>
  <si>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</si>
  <si>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</si>
  <si>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</si>
  <si>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</si>
  <si>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</si>
  <si>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</si>
  <si>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</si>
  <si>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</si>
  <si>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</si>
  <si>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</si>
  <si>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</si>
  <si>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</si>
  <si>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</si>
  <si>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</si>
  <si>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</si>
  <si>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</si>
  <si>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</si>
  <si>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</si>
  <si>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</si>
  <si>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</si>
  <si>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</si>
  <si>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</si>
  <si>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</si>
  <si>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</si>
  <si>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</si>
  <si>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</si>
  <si>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</si>
  <si>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</si>
  <si>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</si>
  <si>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</si>
  <si>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</si>
  <si>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</si>
  <si>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</si>
  <si>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</si>
  <si>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</si>
  <si>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</si>
  <si>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</si>
  <si>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</si>
  <si>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</si>
  <si>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</si>
  <si>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</si>
  <si>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</si>
  <si>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</si>
  <si>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</si>
  <si>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</si>
  <si>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</si>
  <si>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</si>
  <si>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</si>
  <si>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</si>
  <si>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</si>
  <si>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</si>
  <si>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</si>
  <si>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</si>
  <si>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</si>
  <si>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</si>
  <si>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</si>
  <si>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</si>
  <si>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</si>
  <si>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</si>
  <si>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</si>
  <si>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</si>
  <si>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</si>
  <si>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</si>
  <si>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</si>
  <si>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</si>
  <si>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</si>
  <si>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</si>
  <si>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</si>
  <si>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</si>
  <si>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</si>
  <si>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</si>
  <si>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</si>
  <si>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</si>
  <si>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</si>
  <si>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</si>
  <si>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</si>
  <si>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</si>
  <si>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</si>
  <si>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</si>
  <si>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</si>
  <si>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</si>
  <si>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</si>
  <si>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</si>
  <si>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</si>
  <si>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</si>
  <si>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</si>
  <si>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</si>
  <si>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</si>
  <si>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</si>
  <si>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</si>
  <si>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</si>
  <si>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</si>
  <si>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</si>
  <si>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</si>
  <si>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</si>
  <si>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</si>
  <si>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</si>
  <si>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</si>
  <si>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</si>
  <si>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</si>
  <si>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</si>
  <si>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</si>
  <si>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</si>
  <si>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</si>
  <si>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</si>
  <si>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</si>
  <si>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</si>
  <si>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</si>
  <si>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</si>
  <si>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</si>
  <si>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</si>
  <si>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</si>
  <si>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</si>
  <si>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</si>
  <si>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</si>
  <si>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</si>
  <si>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</si>
  <si>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</si>
  <si>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</si>
  <si>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</si>
  <si>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</si>
  <si>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</si>
  <si>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</si>
  <si>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</si>
  <si>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</si>
  <si>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</si>
  <si>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</si>
  <si>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</si>
  <si>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</si>
  <si>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</si>
  <si>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</si>
  <si>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</si>
  <si>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</si>
  <si>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</si>
  <si>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</si>
  <si>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</si>
  <si>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</si>
  <si>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</si>
  <si>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</si>
  <si>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</si>
  <si>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</si>
  <si>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</si>
  <si>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</si>
  <si>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</si>
  <si>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</si>
  <si>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</si>
  <si>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</si>
  <si>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</si>
  <si>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</si>
  <si>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</si>
  <si>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</si>
  <si>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</si>
  <si>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</si>
  <si>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</si>
  <si>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</si>
  <si>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</si>
  <si>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</si>
  <si>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</si>
  <si>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</si>
  <si>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</si>
  <si>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</si>
  <si>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</si>
  <si>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</si>
  <si>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</si>
  <si>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</si>
  <si>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</si>
  <si>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</si>
  <si>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</si>
  <si>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</si>
  <si>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</si>
  <si>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</si>
  <si>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</si>
  <si>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</si>
  <si>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</si>
  <si>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</si>
  <si>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</si>
  <si>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</si>
  <si>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</si>
  <si>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</si>
  <si>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</si>
  <si>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</si>
  <si>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</si>
  <si>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</si>
  <si>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</si>
  <si>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</si>
  <si>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</si>
  <si>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</si>
  <si>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</si>
  <si>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</si>
  <si>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</si>
  <si>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</si>
  <si>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</si>
  <si>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</si>
  <si>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</si>
  <si>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</si>
  <si>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</si>
  <si>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</si>
  <si>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</si>
  <si>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</si>
  <si>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</si>
  <si>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</si>
  <si>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</si>
  <si>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</si>
  <si>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</si>
  <si>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</si>
  <si>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</si>
  <si>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</si>
  <si>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</si>
  <si>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</si>
  <si>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</si>
  <si>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</si>
  <si>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</si>
  <si>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</si>
  <si>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</si>
  <si>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</si>
  <si>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</si>
  <si>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</si>
  <si>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</si>
  <si>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</si>
  <si>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</si>
  <si>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</si>
  <si>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</si>
  <si>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</si>
  <si>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</si>
  <si>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</si>
  <si>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</si>
  <si>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</si>
  <si>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</si>
  <si>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</si>
  <si>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</si>
  <si>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</si>
  <si>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</si>
  <si>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</si>
  <si>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</si>
  <si>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</si>
  <si>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</si>
  <si>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</si>
  <si>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</si>
  <si>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</si>
  <si>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</si>
  <si>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</si>
  <si>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</si>
  <si>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</si>
  <si>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</si>
  <si>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</si>
  <si>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</si>
  <si>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</si>
  <si>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</si>
  <si>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</si>
  <si>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</si>
  <si>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</si>
  <si>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</si>
  <si>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</si>
  <si>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</si>
  <si>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</si>
  <si>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</si>
  <si>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</si>
  <si>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</si>
  <si>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</si>
  <si>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</si>
  <si>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</si>
  <si>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</si>
  <si>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</si>
  <si>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</si>
  <si>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</si>
  <si>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</si>
  <si>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</si>
  <si>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</si>
  <si>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</si>
  <si>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</si>
  <si>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</si>
  <si>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</si>
  <si>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</si>
  <si>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</si>
  <si>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</si>
  <si>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</si>
  <si>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</si>
  <si>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</si>
  <si>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</si>
  <si>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</si>
  <si>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</si>
  <si>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</si>
  <si>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</si>
  <si>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</si>
  <si>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</si>
  <si>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</si>
  <si>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</si>
  <si>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</si>
  <si>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</si>
  <si>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</si>
  <si>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</si>
  <si>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</si>
  <si>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</si>
  <si>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</si>
  <si>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</si>
  <si>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</si>
  <si>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</si>
  <si>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</si>
  <si>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</si>
  <si>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</si>
  <si>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</si>
  <si>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</si>
  <si>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</si>
  <si>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</si>
  <si>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</si>
  <si>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</si>
  <si>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</si>
  <si>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</si>
  <si>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</si>
  <si>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</si>
  <si>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</si>
  <si>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</si>
  <si>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</si>
  <si>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</si>
  <si>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</si>
  <si>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</si>
  <si>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</si>
  <si>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</si>
  <si>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</si>
  <si>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</si>
  <si>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</si>
  <si>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</si>
  <si>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</si>
  <si>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</si>
  <si>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</si>
  <si>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</si>
  <si>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</si>
  <si>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</si>
  <si>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</si>
  <si>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</si>
  <si>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</si>
  <si>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</si>
  <si>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</si>
  <si>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</si>
  <si>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</si>
  <si>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</si>
  <si>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</si>
  <si>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</si>
  <si>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</si>
  <si>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</si>
  <si>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</si>
  <si>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</si>
  <si>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</si>
  <si>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</si>
  <si>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</si>
  <si>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</si>
  <si>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</si>
  <si>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</si>
  <si>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</si>
  <si>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</si>
  <si>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</si>
  <si>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</si>
  <si>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</si>
  <si>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</si>
  <si>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</si>
  <si>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</si>
  <si>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</si>
  <si>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</si>
  <si>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</si>
  <si>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</si>
  <si>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</si>
  <si>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</si>
  <si>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</si>
  <si>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</si>
  <si>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</si>
  <si>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</si>
  <si>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</si>
  <si>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</si>
  <si>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</si>
  <si>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</si>
  <si>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</si>
  <si>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</si>
  <si>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</si>
  <si>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</si>
  <si>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</si>
  <si>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</si>
  <si>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</si>
  <si>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</si>
  <si>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</si>
  <si>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</si>
  <si>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</si>
  <si>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</si>
  <si>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</si>
  <si>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</si>
  <si>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</si>
  <si>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</si>
  <si>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</si>
  <si>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</si>
  <si>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</si>
  <si>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</si>
  <si>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</si>
  <si>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</si>
  <si>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</si>
  <si>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</si>
  <si>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</si>
  <si>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</si>
  <si>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</si>
  <si>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</si>
  <si>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</si>
  <si>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</si>
  <si>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</si>
  <si>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</si>
  <si>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</si>
  <si>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</si>
  <si>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</si>
  <si>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</si>
  <si>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</si>
  <si>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</si>
  <si>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</si>
  <si>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</si>
  <si>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</si>
  <si>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</si>
  <si>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</si>
  <si>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</si>
  <si>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</si>
  <si>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北京市</t>
  </si>
  <si>
    <t>是</t>
  </si>
  <si>
    <t>地上</t>
  </si>
  <si>
    <t>成新度</t>
  </si>
  <si>
    <t>收益法</t>
  </si>
  <si>
    <t>自定义容积率</t>
  </si>
  <si>
    <t>不临65条商业街</t>
  </si>
  <si>
    <t>与级别开发程度不一致</t>
  </si>
  <si>
    <t>通路</t>
  </si>
  <si>
    <t>通电</t>
  </si>
  <si>
    <t>通讯</t>
  </si>
  <si>
    <t>通上水</t>
  </si>
  <si>
    <t>通下水</t>
  </si>
  <si>
    <t>通热</t>
  </si>
  <si>
    <t>平整</t>
  </si>
  <si>
    <t>较好</t>
  </si>
  <si>
    <t>未包含在土地购买价格中</t>
  </si>
  <si>
    <t>全部缴纳</t>
  </si>
  <si>
    <t>已包含在土地取得成本中</t>
  </si>
  <si>
    <t>钢混</t>
  </si>
  <si>
    <t>非生产用房</t>
  </si>
  <si>
    <t>否</t>
  </si>
  <si>
    <t>押一</t>
  </si>
  <si>
    <t>租约</t>
    <phoneticPr fontId="3" type="noConversion"/>
  </si>
  <si>
    <t>年·平方米</t>
    <phoneticPr fontId="3" type="noConversion"/>
  </si>
  <si>
    <t>天·平方米</t>
    <phoneticPr fontId="3" type="noConversion"/>
  </si>
  <si>
    <t>底商</t>
    <phoneticPr fontId="30" type="noConversion"/>
  </si>
  <si>
    <r>
      <t>1</t>
    </r>
    <r>
      <rPr>
        <sz val="11"/>
        <color indexed="8"/>
        <rFont val="宋体"/>
        <family val="3"/>
        <charset val="134"/>
      </rPr>
      <t>层</t>
    </r>
    <phoneticPr fontId="30" type="noConversion"/>
  </si>
  <si>
    <t>1层</t>
  </si>
  <si>
    <t>单套模式</t>
  </si>
  <si>
    <t>售价</t>
  </si>
  <si>
    <t>挂牌</t>
  </si>
  <si>
    <t>挂牌</t>
    <phoneticPr fontId="30" type="noConversion"/>
  </si>
  <si>
    <t>正常</t>
  </si>
  <si>
    <t>1层</t>
    <phoneticPr fontId="24" type="noConversion"/>
  </si>
  <si>
    <r>
      <t>2</t>
    </r>
    <r>
      <rPr>
        <sz val="10"/>
        <color indexed="8"/>
        <rFont val="宋体"/>
        <family val="3"/>
        <charset val="134"/>
      </rPr>
      <t>层</t>
    </r>
    <phoneticPr fontId="24" type="noConversion"/>
  </si>
  <si>
    <r>
      <t>1</t>
    </r>
    <r>
      <rPr>
        <sz val="10"/>
        <color indexed="8"/>
        <rFont val="宋体"/>
        <family val="3"/>
        <charset val="134"/>
      </rPr>
      <t>层</t>
    </r>
    <phoneticPr fontId="24" type="noConversion"/>
  </si>
  <si>
    <t>2层</t>
  </si>
  <si>
    <t>房地产抵押价值</t>
  </si>
  <si>
    <t>抵押</t>
  </si>
  <si>
    <t>办公</t>
    <phoneticPr fontId="7" type="noConversion"/>
  </si>
  <si>
    <t>比较法-商业</t>
  </si>
  <si>
    <t>总价</t>
  </si>
  <si>
    <t>企业</t>
  </si>
  <si>
    <t>商务金融用地</t>
  </si>
  <si>
    <t>容积率修正</t>
  </si>
  <si>
    <t>购房发票</t>
  </si>
  <si>
    <t>2016年5月1日前购买</t>
  </si>
  <si>
    <t>情况4</t>
  </si>
  <si>
    <t>转让取得</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</si>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</sst>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46167</xdr:colOff>
      <xdr:row>42</xdr:row>
      <xdr:rowOff>121247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11666667" cy="7180953"/>
        </a:xfrm>
        <a:prstGeom prst="rect">
          <a:avLst/>
        </a:prstGeom>
      </xdr:spPr>
    </xdr:pic>
    <xdr:clientData/>
  </xdr:twoCellAnchor>
  <xdr:twoCellAnchor editAs="oneCell">
    <xdr:from>
      <xdr:col>0</xdr:col>
      <xdr:colOff>0</xdr:colOff>
      <xdr:row>44</xdr:row>
      <xdr:rowOff>11207</xdr:rowOff>
    </xdr:from>
    <xdr:to>
      <xdr:col>8</xdr:col>
      <xdr:colOff>341053</xdr:colOff>
      <xdr:row>90</xdr:row>
      <xdr:rowOff>164863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7407089"/>
          <a:ext cx="5809524" cy="7885715"/>
        </a:xfrm>
        <a:prstGeom prst="rect">
          <a:avLst/>
        </a:prstGeom>
      </xdr:spPr>
    </xdr:pic>
    <xdr:clientData/>
  </xdr:twoCellAnchor>
  <xdr:twoCellAnchor editAs="oneCell">
    <xdr:from>
      <xdr:col>9</xdr:col>
      <xdr:colOff>0</xdr:colOff>
      <xdr:row>45</xdr:row>
      <xdr:rowOff>0</xdr:rowOff>
    </xdr:from>
    <xdr:to>
      <xdr:col>17</xdr:col>
      <xdr:colOff>255339</xdr:colOff>
      <xdr:row>81</xdr:row>
      <xdr:rowOff>120253</xdr:rowOff>
    </xdr:to>
    <xdr:pic>
      <xdr:nvPicPr>
        <xdr:cNvPr id="9" name="图片 8"/>
        <xdr:cNvPicPr>
          <a:picLocks noChangeAspect="1"/>
        </xdr:cNvPicPr>
      </xdr:nvPicPr>
      <xdr:blipFill>
        <a:blip xmlns:r="http://schemas.openxmlformats.org/officeDocument/2006/relationships" r:embed="rId3"/>
        <a:stretch>
          <a:fillRect/>
        </a:stretch>
      </xdr:blipFill>
      <xdr:spPr>
        <a:xfrm>
          <a:off x="6152029" y="7563971"/>
          <a:ext cx="5723810" cy="6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估价对象为北京市房地产，为所有。根据《国有土地使用证》[]，估价对象（分摊）出让国有建设用地使用权面积为0平方米，建筑面积为862.53平方米。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估价对象为北京市房地产,属开发建设的，该项目尚在开发建设中。根据《国有土地使用证》[]，估价对象（分摊）出让国有建设用地使用权面积为0平方米，规划建筑面积为862.53平方米。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2023年8月8日（评估专业人员实地查勘之日）</v>
      </c>
    </row>
    <row r="13" spans="1:2" s="1203" customFormat="1">
      <c r="A13" s="1201" t="s">
        <v>529</v>
      </c>
      <c r="B13" s="1202"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2734</v>
      </c>
    </row>
    <row r="21" spans="1:2" s="1203" customFormat="1">
      <c r="A21" s="1201" t="s">
        <v>537</v>
      </c>
      <c r="B21" s="1202">
        <f ca="1">'预评函-2'!D7</f>
        <v>31697</v>
      </c>
    </row>
    <row r="22" spans="1:2" s="1203" customFormat="1">
      <c r="A22" s="1201" t="s">
        <v>538</v>
      </c>
      <c r="B22" s="1202" t="str">
        <f ca="1">'预评函-2'!D6</f>
        <v>贰仟柒佰叁拾肆万元整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2734</v>
      </c>
    </row>
    <row r="31" spans="1:2" s="1203" customFormat="1">
      <c r="A31" s="1201" t="s">
        <v>576</v>
      </c>
      <c r="B31" s="1202">
        <f ca="1">'预评函-2'!D15</f>
        <v>31697</v>
      </c>
    </row>
    <row r="32" spans="1:2" s="1203" customFormat="1">
      <c r="A32" s="1201" t="s">
        <v>543</v>
      </c>
      <c r="B32" s="1202" t="str">
        <f ca="1">'预评函-2'!D14</f>
        <v>贰仟柒佰叁拾肆万元整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1699</v>
      </c>
    </row>
    <row r="39" spans="1:2" s="1203" customFormat="1">
      <c r="A39" s="1201" t="s">
        <v>545</v>
      </c>
      <c r="B39" s="1202">
        <f ca="1">'预评函-2'!D21</f>
        <v>19698</v>
      </c>
    </row>
    <row r="40" spans="1:2" s="1203" customFormat="1">
      <c r="A40" s="1201" t="s">
        <v>546</v>
      </c>
      <c r="B40" s="1202" t="str">
        <f ca="1">'预评函-2'!D20</f>
        <v>壹仟陆佰玖拾玖万元整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862.53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7" t="s">
        <v>2583</v>
      </c>
      <c r="J2" s="3497"/>
      <c r="K2" s="3497"/>
      <c r="L2" s="3497"/>
      <c r="M2" s="3497"/>
      <c r="N2" s="3497"/>
      <c r="O2" s="3497"/>
      <c r="P2" s="3497"/>
      <c r="Q2" s="3497"/>
      <c r="R2" s="3497"/>
    </row>
    <row r="3" spans="1:18">
      <c r="A3" s="3020" t="s">
        <v>2504</v>
      </c>
      <c r="B3" s="3021">
        <f>项目基本情况!D3</f>
        <v>45146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3.36</v>
      </c>
      <c r="D5" s="3025">
        <f>IF(ISERROR(ROUND(POWER(1+E5,A5-C5)*(POWER(1+E5,C5)-1)/(POWER(1+E5,A5)-1),3)),0,ROUND(POWER(1+E5,A5-C5)*(POWER(1+E5,C5)-1)/(POWER(1+E5,A5)-1),4))</f>
        <v>0.156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13.37</v>
      </c>
      <c r="D6" s="3025">
        <f>IF(ISERROR(ROUND(POWER(1+E6,A6-C6)*(POWER(1+E6,C6)-1)/(POWER(1+E6,A6)-1),3)),0,ROUND(POWER(1+E6,A6-C6)*(POWER(1+E6,C6)-1)/(POWER(1+E6,A6)-1),4))</f>
        <v>0.47489999999999999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33.380000000000003</v>
      </c>
      <c r="D7" s="3025">
        <f>IF(ISERROR(ROUND(POWER(1+E7,A7-C7)*(POWER(1+E7,C7)-1)/(POWER(1+E7,A7)-1),3)),0,ROUND(POWER(1+E7,A7-C7)*(POWER(1+E7,C7)-1)/(POWER(1+E7,A7)-1),4))</f>
        <v>0.78010000000000002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H37" sqref="H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45146</v>
      </c>
      <c r="C3" s="2374" t="s">
        <v>2170</v>
      </c>
      <c r="D3" s="2373">
        <v>45146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3417</v>
      </c>
      <c r="C8" s="2390"/>
      <c r="D8" s="3509" t="s">
        <v>2176</v>
      </c>
      <c r="E8" s="2391" t="s">
        <v>3416</v>
      </c>
      <c r="F8" s="2392"/>
      <c r="G8" s="2663"/>
      <c r="H8" s="2663"/>
      <c r="I8" s="2663"/>
      <c r="J8" s="2439"/>
      <c r="K8" s="2614"/>
      <c r="L8" s="2613"/>
      <c r="M8" s="2613"/>
      <c r="N8" s="2439"/>
      <c r="O8" s="2450"/>
      <c r="P8" s="2439"/>
      <c r="Q8" s="2439"/>
      <c r="R8" s="2439"/>
    </row>
    <row r="9" spans="1:30" ht="13.5" thickBot="1">
      <c r="A9" s="2393" t="s">
        <v>2177</v>
      </c>
      <c r="B9" s="2394" t="s">
        <v>3416</v>
      </c>
      <c r="C9" s="2395"/>
      <c r="D9" s="3510"/>
      <c r="E9" s="2394" t="s">
        <v>587</v>
      </c>
      <c r="F9" s="2396"/>
      <c r="G9" s="2665"/>
      <c r="H9" s="2665"/>
      <c r="I9" s="2665"/>
      <c r="J9" s="2439"/>
      <c r="K9" s="2616"/>
      <c r="L9" s="2613"/>
      <c r="M9" s="2613"/>
      <c r="N9" s="2439"/>
      <c r="O9" s="2450"/>
      <c r="P9" s="2439"/>
      <c r="Q9" s="2439"/>
      <c r="R9" s="2439"/>
    </row>
    <row r="10" spans="1:30" ht="13.5" thickTop="1">
      <c r="A10" s="2397" t="s">
        <v>2178</v>
      </c>
      <c r="B10" s="2398" t="s">
        <v>3378</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3421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c r="E13" s="856">
        <v>55366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6"/>
      <c r="C16" s="3517"/>
      <c r="D16" s="3518"/>
      <c r="E16" s="2413" t="s">
        <v>2193</v>
      </c>
      <c r="F16" s="3519"/>
      <c r="G16" s="3520"/>
      <c r="H16" s="3520"/>
      <c r="I16" s="3521"/>
      <c r="J16" s="2439"/>
      <c r="K16" s="2617"/>
      <c r="L16" s="2451"/>
      <c r="M16" s="2451"/>
      <c r="N16" s="2509"/>
      <c r="O16" s="2451"/>
      <c r="P16" s="2509"/>
      <c r="Q16" s="2439"/>
      <c r="R16" s="2439"/>
    </row>
    <row r="17" spans="1:28">
      <c r="A17" s="313" t="s">
        <v>2194</v>
      </c>
      <c r="B17" s="302" t="s">
        <v>2195</v>
      </c>
      <c r="C17" s="8">
        <f>'数据-汇总表'!E3</f>
        <v>862.53</v>
      </c>
      <c r="D17" s="2322" t="s">
        <v>2196</v>
      </c>
      <c r="E17" s="3522" t="s">
        <v>2197</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5" t="s">
        <v>2201</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2" t="s">
        <v>2205</v>
      </c>
      <c r="C20" s="3513"/>
      <c r="D20" s="3514" t="s">
        <v>2206</v>
      </c>
      <c r="E20" s="3515"/>
      <c r="F20" s="2647" t="s">
        <v>1056</v>
      </c>
      <c r="G20" s="2664"/>
      <c r="H20" s="2664"/>
      <c r="I20" s="2664"/>
      <c r="J20" s="2439"/>
      <c r="K20" s="351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2217</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8" t="s">
        <v>2227</v>
      </c>
      <c r="T34" s="2428" t="str">
        <f>NUMBERSTRING(7-K34,1)&amp;"通"</f>
        <v>七通</v>
      </c>
      <c r="U34" s="2439"/>
      <c r="V34" s="2439"/>
    </row>
    <row r="35" spans="1:30">
      <c r="A35" s="2429"/>
      <c r="B35" s="3505" t="s">
        <v>2228</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148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862.53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862.53</v>
      </c>
      <c r="H5" s="13">
        <f t="shared" ref="H5:AT5" si="0">SUM(H13:H656)</f>
        <v>862.53</v>
      </c>
      <c r="I5" s="13">
        <f t="shared" si="0"/>
        <v>862.53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862.53</v>
      </c>
      <c r="BA5" s="15">
        <f t="shared" si="1"/>
        <v>862.53</v>
      </c>
      <c r="BB5" s="15">
        <f t="shared" si="1"/>
        <v>862.53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v>1101</v>
      </c>
      <c r="D13" s="1625" t="s">
        <v>3379</v>
      </c>
      <c r="E13" s="13">
        <f>IF($C$3="是",ROUND($A$3*G13/$B$3,2),ROUND($A$3*(G13-AT13)/$B$3,2))</f>
        <v>0</v>
      </c>
      <c r="F13" s="29"/>
      <c r="G13" s="30">
        <f>H13+AC13+AT13</f>
        <v>260.49</v>
      </c>
      <c r="H13" s="17">
        <f>SUMIF(I$12:AB$12,"总值",I13:AB13)</f>
        <v>260.49</v>
      </c>
      <c r="I13" s="1626">
        <v>260.49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1101</v>
      </c>
      <c r="AY13" s="1349">
        <f>ROUND($AY$6*AZ13/$AZ$5,2)</f>
        <v>0</v>
      </c>
      <c r="AZ13" s="13">
        <f>BA13+BL13</f>
        <v>260.49</v>
      </c>
      <c r="BA13" s="13">
        <f>SUM(BB13:BK13)</f>
        <v>260.49</v>
      </c>
      <c r="BB13" s="13">
        <f>IF($D13="是",I13-J13,0)</f>
        <v>260.49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1102</v>
      </c>
      <c r="D14" s="1625" t="s">
        <v>3379</v>
      </c>
      <c r="E14" s="13">
        <f>IF($C$3="是",ROUND($A$3*G14/$B$3,2),ROUND($A$3*(G14-AT14)/$B$3,2))</f>
        <v>0</v>
      </c>
      <c r="F14" s="29"/>
      <c r="G14" s="30">
        <f>H14+AC14+AT14</f>
        <v>169.94</v>
      </c>
      <c r="H14" s="17">
        <f>SUMIF(I$12:AB$12,"总值",I14:AB14)</f>
        <v>169.94</v>
      </c>
      <c r="I14" s="1626">
        <v>169.94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1102</v>
      </c>
      <c r="AY14" s="1349">
        <f>ROUND($AY$6*AZ14/$AZ$5,2)</f>
        <v>0</v>
      </c>
      <c r="AZ14" s="13">
        <f>BA14+BL14</f>
        <v>169.94</v>
      </c>
      <c r="BA14" s="13">
        <f>SUM(BB14:BK14)</f>
        <v>169.94</v>
      </c>
      <c r="BB14" s="13">
        <f>IF($D14="是",I14-J14,0)</f>
        <v>169.94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1123</v>
      </c>
      <c r="D15" s="1625" t="s">
        <v>3379</v>
      </c>
      <c r="E15" s="13">
        <f>IF($C$3="是",ROUND($A$3*G15/$B$3,2),ROUND($A$3*(G15-AT15)/$B$3,2))</f>
        <v>0</v>
      </c>
      <c r="F15" s="29"/>
      <c r="G15" s="30">
        <f>H15+AC15+AT15</f>
        <v>92.22</v>
      </c>
      <c r="H15" s="17">
        <f>SUMIF(I$12:AB$12,"总值",I15:AB15)</f>
        <v>92.22</v>
      </c>
      <c r="I15" s="1626">
        <v>92.22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1123</v>
      </c>
      <c r="AY15" s="1349">
        <f>ROUND($AY$6*AZ15/$AZ$5,2)</f>
        <v>0</v>
      </c>
      <c r="AZ15" s="13">
        <f>BA15+BL15</f>
        <v>92.22</v>
      </c>
      <c r="BA15" s="13">
        <f>SUM(BB15:BK15)</f>
        <v>92.22</v>
      </c>
      <c r="BB15" s="13">
        <f>IF($D15="是",I15-J15,0)</f>
        <v>92.22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1104</v>
      </c>
      <c r="D16" s="1625" t="s">
        <v>3379</v>
      </c>
      <c r="E16" s="13">
        <f>IF($C$3="是",ROUND($A$3*G16/$B$3,2),ROUND($A$3*(G16-AT16)/$B$3,2))</f>
        <v>0</v>
      </c>
      <c r="F16" s="29"/>
      <c r="G16" s="30">
        <f>H16+AC16+AT16</f>
        <v>169.94</v>
      </c>
      <c r="H16" s="17">
        <f>SUMIF(I$12:AB$12,"总值",I16:AB16)</f>
        <v>169.94</v>
      </c>
      <c r="I16" s="1626">
        <v>169.94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1104</v>
      </c>
      <c r="AY16" s="1349">
        <f>ROUND($AY$6*AZ16/$AZ$5,2)</f>
        <v>0</v>
      </c>
      <c r="AZ16" s="13">
        <f>BA16+BL16</f>
        <v>169.94</v>
      </c>
      <c r="BA16" s="13">
        <f>SUM(BB16:BK16)</f>
        <v>169.94</v>
      </c>
      <c r="BB16" s="13">
        <f>IF($D16="是",I16-J16,0)</f>
        <v>169.94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1103</v>
      </c>
      <c r="D17" s="1625" t="s">
        <v>3379</v>
      </c>
      <c r="E17" s="13">
        <f>IF($C$3="是",ROUND($A$3*G17/$B$3,2),ROUND($A$3*(G17-AT17)/$B$3,2))</f>
        <v>0</v>
      </c>
      <c r="F17" s="29"/>
      <c r="G17" s="30">
        <f>H17+AC17+AT17</f>
        <v>169.94</v>
      </c>
      <c r="H17" s="17">
        <f>SUMIF(I$12:AB$12,"总值",I17:AB17)</f>
        <v>169.94</v>
      </c>
      <c r="I17" s="1626">
        <v>169.94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1103</v>
      </c>
      <c r="AY17" s="1349">
        <f>ROUND($AY$6*AZ17/$AZ$5,2)</f>
        <v>0</v>
      </c>
      <c r="AZ17" s="13">
        <f>BA17+BL17</f>
        <v>169.94</v>
      </c>
      <c r="BA17" s="13">
        <f>SUM(BB17:BK17)</f>
        <v>169.94</v>
      </c>
      <c r="BB17" s="13">
        <f>IF($D17="是",I17-J17,0)</f>
        <v>169.94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862.53</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862.53</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v>6.68</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862.53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862.53</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3418</v>
      </c>
      <c r="D19" s="45">
        <f>ROUND($D$3*E19/$E$3,2)</f>
        <v>0</v>
      </c>
      <c r="E19" s="53">
        <f t="shared" ref="E19:E26" si="1">SUM(F19:G19)</f>
        <v>862.53</v>
      </c>
      <c r="F19" s="2795">
        <f>'数据-基础表'!I5</f>
        <v>862.53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862.53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862.53</v>
      </c>
      <c r="F27" s="1140">
        <f>IF(SUM(F19:F26)=E8,SUM(F19:F26),"地上面积有误")</f>
        <v>862.53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862.53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862.53</v>
      </c>
      <c r="F31" s="677">
        <f>F27+F30</f>
        <v>862.53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55366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862.53</v>
      </c>
      <c r="L6" s="733">
        <v>4000</v>
      </c>
      <c r="M6" s="67">
        <f t="shared" ref="M6:M14" si="0">ROUND(K6*L6/10000,0)</f>
        <v>345</v>
      </c>
      <c r="N6" s="731">
        <f>ROUND(1-(2023-2003)/60,4)</f>
        <v>0.66669999999999996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0.66669999999999996</v>
      </c>
      <c r="Z6" s="72"/>
      <c r="AA6" s="66"/>
      <c r="AB6" s="66"/>
      <c r="AC6" s="1040"/>
      <c r="AD6" s="73"/>
      <c r="AE6" s="1041">
        <f ca="1">IF(AN6="",0,SUMIF(INDIRECT("'"&amp;AN6&amp;"'"&amp;"!E:E"),$AE$5,INDIRECT("'"&amp;AN6&amp;"'"&amp;"!F:F")))</f>
        <v>28</v>
      </c>
      <c r="AF6" s="1348"/>
      <c r="AG6" s="138">
        <f>IF(AF6="",0,AE6-AF6)</f>
        <v>0</v>
      </c>
      <c r="AH6" s="74"/>
      <c r="AI6" s="76">
        <v>365</v>
      </c>
      <c r="AJ6" s="77"/>
      <c r="AK6" s="78">
        <v>1.4999999999999999E-2</v>
      </c>
      <c r="AL6" s="79">
        <v>1.5E-3</v>
      </c>
      <c r="AM6" s="80">
        <v>0.01</v>
      </c>
      <c r="AN6" s="1715" t="s">
        <v>3382</v>
      </c>
      <c r="AO6" s="52">
        <f ca="1">SUMIF(INDIRECT("'"&amp;AN6&amp;"'"&amp;"!A:A"),"总价",INDIRECT("'"&amp;AN6&amp;"'"&amp;"!B:B"))</f>
        <v>2465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862.53</v>
      </c>
      <c r="L16" s="93">
        <f>ROUND(M16*10000/SUM(K6:K14),0)</f>
        <v>4000</v>
      </c>
      <c r="M16" s="93">
        <f>SUM(M6:M14)</f>
        <v>345</v>
      </c>
      <c r="N16" s="94">
        <f>ROUND(SUMPRODUCT(M6:M14,N6:N14)/M16,3)</f>
        <v>0.66700000000000004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c r="V18" s="3451"/>
      <c r="W18" s="345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3451" t="s">
        <v>3401</v>
      </c>
      <c r="U24" s="2671">
        <v>204</v>
      </c>
      <c r="V24" s="3451" t="s">
        <v>3402</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f>ROUND(U24/K16/365*10000,2)</f>
        <v>6.48</v>
      </c>
      <c r="V25" s="3451" t="s">
        <v>3403</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2285</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862.53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45146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2734</v>
      </c>
      <c r="C5" s="2512">
        <f ca="1">IF(B5=D14,结果表!H102,ROUND(B5*10000/$B$1,0))</f>
        <v>31697</v>
      </c>
      <c r="D5" s="2512" t="e">
        <f ca="1">ROUND(B5*10000/$B$2,0)</f>
        <v>#DIV/0!</v>
      </c>
      <c r="E5" s="2686"/>
      <c r="F5" s="2687"/>
      <c r="G5" s="2687"/>
      <c r="H5" s="2688"/>
      <c r="I5" s="2688"/>
      <c r="J5" s="2688"/>
      <c r="K5" s="2688"/>
    </row>
    <row r="6" spans="1:11" ht="16.5">
      <c r="A6" s="2512" t="s">
        <v>656</v>
      </c>
      <c r="B6" s="2512">
        <f ca="1">SUM(G14:G23)</f>
        <v>2734</v>
      </c>
      <c r="C6" s="2512">
        <f ca="1">IF(B6=G14,结果表!H108,ROUND(B6*10000/$B$1,0))</f>
        <v>31697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1699</v>
      </c>
      <c r="C8" s="2512">
        <f ca="1">IF(B8=I14,结果表!H112,ROUND(B8*10000/$B$1,0))</f>
        <v>19698</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862.53</v>
      </c>
      <c r="C14" s="2518"/>
      <c r="D14" s="2518">
        <f ca="1">结果表!G19</f>
        <v>2734</v>
      </c>
      <c r="E14" s="2518">
        <f ca="1">ROUND(D14*10000/B14,0)</f>
        <v>31697</v>
      </c>
      <c r="F14" s="2518" t="e">
        <f ca="1">ROUND(D14*10000/C14,0)</f>
        <v>#DIV/0!</v>
      </c>
      <c r="G14" s="2518">
        <f ca="1">D14</f>
        <v>2734</v>
      </c>
      <c r="H14" s="2518"/>
      <c r="I14" s="2518">
        <f ca="1">结果表!N59</f>
        <v>1699</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24" sqref="E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3419</v>
      </c>
      <c r="D4" s="1756" t="s">
        <v>3428</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4</v>
      </c>
      <c r="D14" s="3582">
        <v>6</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9" t="s">
        <v>2130</v>
      </c>
      <c r="F18" s="3570"/>
      <c r="G18" s="3570"/>
      <c r="H18" s="3570"/>
      <c r="I18" s="3570"/>
      <c r="K18" s="302" t="s">
        <v>1289</v>
      </c>
      <c r="L18" s="302">
        <f>IF(C1="",'数据-汇总表'!E3,SUMIF(项目类型,C1,'数据-汇总表'!E17:E26)+SUMIF(项目类型,C1,'数据-汇总表'!I17:I26))</f>
        <v>862.53</v>
      </c>
      <c r="M18" s="302">
        <f>IF(C1="",'数据-汇总表'!E3,SUMIF(项目类型,C1,'数据-汇总表'!E17:E26))</f>
        <v>862.53</v>
      </c>
    </row>
    <row r="19" spans="1:36" ht="15">
      <c r="A19" s="1761" t="s">
        <v>1290</v>
      </c>
      <c r="B19" s="1762" t="s">
        <v>1291</v>
      </c>
      <c r="C19" s="134">
        <f ca="1">SUMIF(INDIRECT("'"&amp;C4&amp;"'"&amp;"!A:A"),结果表!B19,INDIRECT("'"&amp;C4&amp;"'"&amp;"!B:B"))</f>
        <v>3368.0070999999998</v>
      </c>
      <c r="D19" s="135">
        <f ca="1">SUMIF(INDIRECT("'"&amp;D4&amp;"'"&amp;"!A:A"),结果表!B19,INDIRECT("'"&amp;D4&amp;"'"&amp;"!B:B"))</f>
        <v>2312</v>
      </c>
      <c r="E19" s="1761" t="s">
        <v>1292</v>
      </c>
      <c r="F19" s="1762" t="s">
        <v>1291</v>
      </c>
      <c r="G19" s="136">
        <f ca="1">ROUND(C19*$C$18+D19*$D$18,0)</f>
        <v>2734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39048</v>
      </c>
      <c r="D20" s="138">
        <f ca="1">SUMIF(INDIRECT("'"&amp;D4&amp;"'"&amp;"!A:A"),结果表!B20,INDIRECT("'"&amp;D4&amp;"'"&amp;"!B:B"))</f>
        <v>26805</v>
      </c>
      <c r="E20" s="1764"/>
      <c r="F20" s="1026" t="s">
        <v>1295</v>
      </c>
      <c r="G20" s="139">
        <f ca="1">ROUND(C20*$C$18+D20*$D$18,0)</f>
        <v>31702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0.45675047577854655</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2734</v>
      </c>
      <c r="D32" s="1775" t="s">
        <v>3420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2734</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45146</v>
      </c>
      <c r="N47" s="3630"/>
      <c r="O47" s="3630"/>
    </row>
    <row r="48" spans="1:15" ht="25.5">
      <c r="A48" s="3578" t="s">
        <v>1338</v>
      </c>
      <c r="B48" s="3561"/>
      <c r="C48" s="3561"/>
      <c r="D48" s="2324">
        <f ca="1">IF(H48="情况1",0,IF(H48="情况2",D52,IF(H48="情况3",D53,IF(H48="情况4",D54))))</f>
        <v>146</v>
      </c>
      <c r="E48" s="2334" t="str">
        <f>IF(H48="情况4","(销售额-原购置价)×税（费）率","销售额×税（费）率")</f>
        <v>(销售额-原购置价)×税（费）率</v>
      </c>
      <c r="F48" s="2548">
        <f>IF(H48="情况1","免征",'数据-取费表'!B41)</f>
        <v>5.6000000000000001E-2</v>
      </c>
      <c r="G48" s="2549" t="s">
        <v>1339</v>
      </c>
      <c r="H48" s="2550" t="s">
        <v>3426</v>
      </c>
      <c r="I48" s="1806"/>
      <c r="J48" s="2523">
        <v>3</v>
      </c>
      <c r="K48" s="3609" t="s">
        <v>1340</v>
      </c>
      <c r="L48" s="3609"/>
      <c r="M48" s="3631">
        <f ca="1">H101</f>
        <v>2734</v>
      </c>
      <c r="N48" s="3631"/>
      <c r="O48" s="3631"/>
    </row>
    <row r="49" spans="1:35" ht="25.5" customHeight="1">
      <c r="A49" s="2333" t="s">
        <v>1341</v>
      </c>
      <c r="B49" s="3545" t="s">
        <v>1342</v>
      </c>
      <c r="C49" s="3545"/>
      <c r="D49" s="1590">
        <v>0</v>
      </c>
      <c r="E49" s="324" t="s">
        <v>1343</v>
      </c>
      <c r="F49" s="2424" t="s">
        <v>28</v>
      </c>
      <c r="G49" s="3615"/>
      <c r="H49" s="2310" t="s">
        <v>2133</v>
      </c>
      <c r="I49" s="2311"/>
      <c r="J49" s="2523">
        <v>4</v>
      </c>
      <c r="K49" s="3609" t="str">
        <f>IF(项目基本情况!E8="房地产抵押价值","房地产抵押价值","抵押担保权已注销时的房地产抵押价值")</f>
        <v>房地产抵押价值</v>
      </c>
      <c r="L49" s="3609"/>
      <c r="M49" s="3631">
        <f ca="1">IF(项目基本情况!E8="房地产抵押价值",H107,H109)</f>
        <v>2734</v>
      </c>
      <c r="N49" s="3631"/>
      <c r="O49" s="3631"/>
    </row>
    <row r="50" spans="1:35" ht="25.5" customHeight="1">
      <c r="A50" s="2551"/>
      <c r="B50" s="3545" t="s">
        <v>1344</v>
      </c>
      <c r="C50" s="3545"/>
      <c r="D50" s="2552"/>
      <c r="E50" s="332"/>
      <c r="F50" s="2424"/>
      <c r="G50" s="3616"/>
      <c r="H50" s="2312" t="s">
        <v>2134</v>
      </c>
      <c r="I50" s="2311"/>
      <c r="J50" s="3628" t="s">
        <v>1345</v>
      </c>
      <c r="K50" s="3628"/>
      <c r="L50" s="3628"/>
      <c r="M50" s="3628"/>
      <c r="N50" s="3628"/>
      <c r="O50" s="3628"/>
    </row>
    <row r="51" spans="1:35" ht="20.45" customHeight="1">
      <c r="A51" s="2553"/>
      <c r="B51" s="3545" t="s">
        <v>1346</v>
      </c>
      <c r="C51" s="3545"/>
      <c r="D51" s="1087"/>
      <c r="E51" s="327"/>
      <c r="F51" s="2424"/>
      <c r="G51" s="3617"/>
      <c r="H51" s="2312" t="s">
        <v>2135</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146</v>
      </c>
      <c r="E52" s="2334" t="s">
        <v>1354</v>
      </c>
      <c r="F52" s="2554">
        <f>'数据-取费表'!B41</f>
        <v>5.6000000000000001E-2</v>
      </c>
      <c r="G52" s="2555"/>
      <c r="H52" s="2544"/>
      <c r="I52" s="1807"/>
      <c r="J52" s="2523">
        <v>1</v>
      </c>
      <c r="K52" s="3610" t="s">
        <v>1355</v>
      </c>
      <c r="L52" s="3610"/>
      <c r="M52" s="2525">
        <f ca="1">D48</f>
        <v>146</v>
      </c>
      <c r="N52" s="2523" t="str">
        <f>E48</f>
        <v>(销售额-原购置价)×税（费）率</v>
      </c>
      <c r="O52" s="2526">
        <f>F48</f>
        <v>5.6000000000000001E-2</v>
      </c>
    </row>
    <row r="53" spans="1:35" ht="12" customHeight="1">
      <c r="A53" s="2335" t="s">
        <v>1356</v>
      </c>
      <c r="B53" s="3571" t="s">
        <v>2290</v>
      </c>
      <c r="C53" s="3572"/>
      <c r="D53" s="1087">
        <f ca="1">ROUND(D45*'数据-取费表'!B41/(1+'数据-取费表'!C42),0)</f>
        <v>146</v>
      </c>
      <c r="E53" s="2334" t="s">
        <v>1354</v>
      </c>
      <c r="F53" s="2554">
        <f>'数据-取费表'!B41</f>
        <v>5.6000000000000001E-2</v>
      </c>
      <c r="G53" s="2555"/>
      <c r="H53" s="2544"/>
      <c r="I53" s="1807"/>
      <c r="J53" s="2523">
        <v>2</v>
      </c>
      <c r="K53" s="3610" t="s">
        <v>1357</v>
      </c>
      <c r="L53" s="3610"/>
      <c r="M53" s="2525">
        <f t="shared" ref="M53:O54" ca="1" si="0">D55</f>
        <v>1</v>
      </c>
      <c r="N53" s="2523" t="str">
        <f t="shared" si="0"/>
        <v>销售额×税（费）率</v>
      </c>
      <c r="O53" s="2526">
        <f t="shared" si="0"/>
        <v>5.0000000000000001E-4</v>
      </c>
    </row>
    <row r="54" spans="1:35" ht="12" customHeight="1">
      <c r="A54" s="2335" t="s">
        <v>1358</v>
      </c>
      <c r="B54" s="3571" t="s">
        <v>2291</v>
      </c>
      <c r="C54" s="3572"/>
      <c r="D54" s="1087">
        <f ca="1">C68</f>
        <v>146</v>
      </c>
      <c r="E54" s="327" t="s">
        <v>1359</v>
      </c>
      <c r="F54" s="2554">
        <f>'数据-取费表'!B41</f>
        <v>5.6000000000000001E-2</v>
      </c>
      <c r="G54" s="2555"/>
      <c r="H54" s="2556"/>
      <c r="I54" s="1807"/>
      <c r="J54" s="2523">
        <v>3</v>
      </c>
      <c r="K54" s="3610" t="s">
        <v>1360</v>
      </c>
      <c r="L54" s="3610"/>
      <c r="M54" s="2525">
        <f t="shared" ca="1" si="0"/>
        <v>862</v>
      </c>
      <c r="N54" s="2523" t="str">
        <f t="shared" si="0"/>
        <v>增值额×税（费）率</v>
      </c>
      <c r="O54" s="2527" t="str">
        <f t="shared" si="0"/>
        <v>——</v>
      </c>
    </row>
    <row r="55" spans="1:35" ht="24" customHeight="1">
      <c r="A55" s="3560" t="s">
        <v>1361</v>
      </c>
      <c r="B55" s="3561"/>
      <c r="C55" s="3561"/>
      <c r="D55" s="2324">
        <f ca="1">IF(H55="个人住宅",0,ROUND(D45*I55,0))</f>
        <v>1</v>
      </c>
      <c r="E55" s="2334" t="s">
        <v>1362</v>
      </c>
      <c r="F55" s="2554">
        <f>IF(H55="正常",I55,"免征")</f>
        <v>5.0000000000000001E-4</v>
      </c>
      <c r="G55" s="2555"/>
      <c r="H55" s="2550" t="s">
        <v>3411</v>
      </c>
      <c r="I55" s="165">
        <f>'数据-取费表'!B49</f>
        <v>5.0000000000000001E-4</v>
      </c>
      <c r="J55" s="2523">
        <f>IF(H59="非个人房产","",4)</f>
        <v>4</v>
      </c>
      <c r="K55" s="3610" t="str">
        <f>IF(H59="非个人房产","——","个人所得税")</f>
        <v>个人所得税</v>
      </c>
      <c r="L55" s="3610"/>
      <c r="M55" s="2528">
        <f ca="1">D59</f>
        <v>26</v>
      </c>
      <c r="N55" s="2040" t="str">
        <f>E59</f>
        <v>差额计税</v>
      </c>
      <c r="O55" s="2529">
        <f>F59</f>
        <v>0.01</v>
      </c>
    </row>
    <row r="56" spans="1:35" ht="24.75">
      <c r="A56" s="3560" t="s">
        <v>1363</v>
      </c>
      <c r="B56" s="3561"/>
      <c r="C56" s="3561"/>
      <c r="D56" s="2324">
        <f ca="1">IF(H56="个人住宅",D57,D58)</f>
        <v>862</v>
      </c>
      <c r="E56" s="2334" t="s">
        <v>1364</v>
      </c>
      <c r="F56" s="2554" t="str">
        <f>IF(H56="正常",F58,"免征")</f>
        <v>——</v>
      </c>
      <c r="G56" s="2557" t="s">
        <v>1365</v>
      </c>
      <c r="H56" s="2558" t="s">
        <v>3411</v>
      </c>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1035</v>
      </c>
      <c r="O57" s="2533"/>
      <c r="P57" s="2690">
        <f ca="1">N57/M49</f>
        <v>0.37856620336503294</v>
      </c>
    </row>
    <row r="58" spans="1:35" ht="24.75">
      <c r="A58" s="2335" t="s">
        <v>1352</v>
      </c>
      <c r="B58" s="3571" t="s">
        <v>1369</v>
      </c>
      <c r="C58" s="3545"/>
      <c r="D58" s="2324">
        <f ca="1">IF(H58="转让取得",C81,C97)</f>
        <v>862</v>
      </c>
      <c r="E58" s="2334" t="s">
        <v>1364</v>
      </c>
      <c r="F58" s="302" t="s">
        <v>28</v>
      </c>
      <c r="G58" s="2555"/>
      <c r="H58" s="2558" t="s">
        <v>3427</v>
      </c>
      <c r="I58" s="1808"/>
      <c r="J58" s="3610"/>
      <c r="K58" s="3610"/>
      <c r="L58" s="2530" t="s">
        <v>1370</v>
      </c>
      <c r="M58" s="2534"/>
      <c r="N58" s="2535" t="str">
        <f ca="1">NUMBERSTRING(INT(N57*10000),2)&amp;"元整"</f>
        <v>壹仟零叁拾伍万元整</v>
      </c>
      <c r="O58" s="2536"/>
    </row>
    <row r="59" spans="1:35" ht="24.75" thickBot="1">
      <c r="A59" s="3613" t="s">
        <v>1371</v>
      </c>
      <c r="B59" s="3614"/>
      <c r="C59" s="3614"/>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1">
        <f>J57+1</f>
        <v>6</v>
      </c>
      <c r="K59" s="3610" t="s">
        <v>1372</v>
      </c>
      <c r="L59" s="2523" t="s">
        <v>1368</v>
      </c>
      <c r="M59" s="2537"/>
      <c r="N59" s="2538">
        <f ca="1">M49-N57</f>
        <v>1699</v>
      </c>
      <c r="O59" s="2539"/>
    </row>
    <row r="60" spans="1:35" ht="12" customHeight="1">
      <c r="A60" s="1809"/>
      <c r="B60" s="1747"/>
      <c r="C60" s="1747"/>
      <c r="D60" s="1747"/>
      <c r="E60" s="1578"/>
      <c r="F60" s="1808"/>
      <c r="G60" s="1808"/>
      <c r="H60" s="1810"/>
      <c r="I60" s="129"/>
      <c r="J60" s="3612"/>
      <c r="K60" s="3610"/>
      <c r="L60" s="2530" t="s">
        <v>1370</v>
      </c>
      <c r="M60" s="2534"/>
      <c r="N60" s="2535" t="str">
        <f ca="1">NUMBERSTRING(INT(N59*10000),2)&amp;"元整"</f>
        <v>壹仟陆佰玖拾玖万元整</v>
      </c>
      <c r="O60" s="2536"/>
    </row>
    <row r="61" spans="1:35" ht="13.5" thickBot="1">
      <c r="A61" s="3558" t="s">
        <v>1373</v>
      </c>
      <c r="B61" s="3558"/>
      <c r="C61" s="3558"/>
      <c r="D61" s="3558"/>
      <c r="E61" s="3558"/>
      <c r="F61" s="1808"/>
      <c r="G61" s="1808"/>
      <c r="H61" s="1810"/>
      <c r="I61" s="129"/>
      <c r="J61" s="2523">
        <f>J59+1</f>
        <v>7</v>
      </c>
      <c r="K61" s="3610" t="s">
        <v>1374</v>
      </c>
      <c r="L61" s="3610"/>
      <c r="M61" s="2540"/>
      <c r="N61" s="2541">
        <f ca="1">ROUND(N59*10000/'数据-汇总表'!E3,0)</f>
        <v>19698</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2604</v>
      </c>
      <c r="D63" s="167"/>
      <c r="E63" s="168"/>
      <c r="F63" s="1808"/>
      <c r="G63" s="1808"/>
      <c r="H63" s="1810"/>
      <c r="I63" s="129"/>
      <c r="J63" s="3635" t="s">
        <v>1379</v>
      </c>
      <c r="K63" s="1332" t="s">
        <v>1380</v>
      </c>
      <c r="L63" s="1332">
        <f ca="1">IF(M49&gt;10000,M49*0.5%,IF(AND(M49&gt;1000,M49&lt;=10000),M49*1%,IF(AND(M49&gt;100,M49&lt;=1000),M49*3%,IF(AND(M49&gt;10,M49&lt;=100),M49*5%,M49*8%))))</f>
        <v>27.34</v>
      </c>
      <c r="M63" s="302">
        <f ca="1">ROUND(L63,1)</f>
        <v>27.3</v>
      </c>
      <c r="N63" s="2543"/>
      <c r="Z63" s="1752"/>
      <c r="AI63" s="1753"/>
    </row>
    <row r="64" spans="1:35" ht="14.25" customHeight="1">
      <c r="A64" s="169" t="s">
        <v>325</v>
      </c>
      <c r="B64" s="170" t="s">
        <v>1381</v>
      </c>
      <c r="C64" s="2565">
        <f ca="1">D45</f>
        <v>2734</v>
      </c>
      <c r="D64" s="170" t="s">
        <v>26</v>
      </c>
      <c r="E64" s="172"/>
      <c r="F64" s="1808"/>
      <c r="G64" s="1808"/>
      <c r="H64" s="1810"/>
      <c r="I64" s="129"/>
      <c r="J64" s="3635"/>
      <c r="K64" s="1332" t="s">
        <v>1382</v>
      </c>
      <c r="L64" s="1332">
        <f ca="1">IF(M49&gt;2000,M49*0.5%,IF(AND(M49&gt;1000,M49&lt;=2000),M49*0.6%,IF(AND(M49&gt;500,M49&lt;=1000),M49*0.7%,IF(AND(M49&gt;200,M49&lt;=500),M49*0.8%,IF(AND(M49&gt;100,M49&lt;=200),M49*0.9%,IF(AND(M49&gt;50,M49&lt;=100),M49*1%,IF(AND(M49&gt;20,M49&lt;=50),M49*1.5%,IF(AND(M49&gt;10,M49&lt;=20),M49*2%,IF(AND(M49&gt;1,M49&lt;=10),M49*2.5%)))))))))</f>
        <v>13.67</v>
      </c>
      <c r="M64" s="302">
        <f t="shared" ref="M64:M65" ca="1" si="1">ROUND(L64,1)</f>
        <v>13.7</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f ca="1">IF(M49&gt;1000,M49*0.1%,IF(AND(M49&gt;500,M49&lt;=1000),M49*0.5%,IF(AND(M49&gt;50,M49&lt;=500),M49*1%,IF(AND(M49&gt;1,M49&lt;=50),M49*1.5%))))</f>
        <v>2.734</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f ca="1">M49*0.5%</f>
        <v>13.67</v>
      </c>
      <c r="M66" s="302">
        <f ca="1">IF(L66&gt;0.5,0.5,ROUND(L66,0))</f>
        <v>0.5</v>
      </c>
      <c r="N66" s="2544" t="s">
        <v>1388</v>
      </c>
      <c r="Z66" s="1752"/>
      <c r="AI66" s="1753"/>
    </row>
    <row r="67" spans="1:35" ht="14.25" customHeight="1">
      <c r="A67" s="173" t="s">
        <v>328</v>
      </c>
      <c r="B67" s="174" t="s">
        <v>1389</v>
      </c>
      <c r="C67" s="2568">
        <f ca="1">C63-C66</f>
        <v>2604</v>
      </c>
      <c r="D67" s="170" t="s">
        <v>26</v>
      </c>
      <c r="E67" s="172"/>
      <c r="F67" s="1808"/>
      <c r="G67" s="1808"/>
      <c r="H67" s="1810"/>
      <c r="I67" s="129"/>
      <c r="J67" s="3635"/>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146</v>
      </c>
      <c r="D68" s="2570">
        <f>'数据-取费表'!B41</f>
        <v>5.6000000000000001E-2</v>
      </c>
      <c r="E68" s="178"/>
      <c r="F68" s="1808"/>
      <c r="G68" s="1808"/>
      <c r="H68" s="1810"/>
      <c r="I68" s="129"/>
      <c r="J68" s="3635"/>
      <c r="K68" s="1332" t="s">
        <v>1392</v>
      </c>
      <c r="L68" s="1332">
        <f ca="1">IF(M49&gt;10000,M49*0.5%,IF(AND(M49&gt;5000,M49&lt;=10000),M49*1%,IF(AND(M49&gt;1000,M49&lt;=5000),M49*2%,IF(AND(M49&gt;200,M49&lt;=1000),M49*3%,M49*5%))))</f>
        <v>54.68</v>
      </c>
      <c r="M68" s="302">
        <f ca="1">ROUND(L68,1)</f>
        <v>54.7</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f ca="1">ROUND(SUM(M63:M68),0)</f>
        <v>101</v>
      </c>
      <c r="N69" s="2545">
        <f ca="1">M69/M49</f>
        <v>3.6942209217264085E-2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2604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737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721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v>700</v>
      </c>
      <c r="D75" s="170" t="s">
        <v>26</v>
      </c>
      <c r="E75" s="184" t="s">
        <v>1399</v>
      </c>
      <c r="F75" s="2572" t="s">
        <v>3424</v>
      </c>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21</v>
      </c>
      <c r="D77" s="2575">
        <f>'数据-取费表'!B48+'数据-取费表'!B49</f>
        <v>3.0499999999999999E-2</v>
      </c>
      <c r="E77" s="2324" t="s">
        <v>1404</v>
      </c>
      <c r="F77" s="186"/>
      <c r="G77" s="1822" t="s">
        <v>3425</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6.000000000000001E-3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2.5332428765264585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2604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2128</v>
      </c>
      <c r="H90" s="363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6.000000000000001E-3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2588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161.75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1547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比较法-商业</v>
      </c>
      <c r="D101" s="2586" t="str">
        <f>D4</f>
        <v>成本法</v>
      </c>
      <c r="E101" s="3632" t="s">
        <v>1431</v>
      </c>
      <c r="F101" s="3589"/>
      <c r="G101" s="1827" t="s">
        <v>1432</v>
      </c>
      <c r="H101" s="2595">
        <f ca="1">H118</f>
        <v>2734</v>
      </c>
      <c r="I101" s="129"/>
    </row>
    <row r="102" spans="1:35" ht="18.75" customHeight="1">
      <c r="A102" s="3591" t="s">
        <v>1433</v>
      </c>
      <c r="B102" s="2584" t="s">
        <v>1432</v>
      </c>
      <c r="C102" s="2585">
        <f ca="1">IF(D32="楼面单价",ROUND(C19,0),C19)</f>
        <v>3368.0070999999998</v>
      </c>
      <c r="D102" s="2586">
        <f ca="1">IF(D32="楼面单价",ROUND(D19,0),D19)</f>
        <v>2312</v>
      </c>
      <c r="E102" s="3632"/>
      <c r="F102" s="3589"/>
      <c r="G102" s="1827" t="s">
        <v>1434</v>
      </c>
      <c r="H102" s="2555">
        <f ca="1">I118</f>
        <v>31697</v>
      </c>
      <c r="I102" s="129"/>
    </row>
    <row r="103" spans="1:35" ht="42.75" customHeight="1">
      <c r="A103" s="3591"/>
      <c r="B103" s="2584" t="s">
        <v>1434</v>
      </c>
      <c r="C103" s="2587">
        <f ca="1">C20</f>
        <v>39048</v>
      </c>
      <c r="D103" s="2588">
        <f ca="1">D20</f>
        <v>26805</v>
      </c>
      <c r="E103" s="3626" t="s">
        <v>1435</v>
      </c>
      <c r="F103" s="3627"/>
      <c r="G103" s="1828" t="s">
        <v>1436</v>
      </c>
      <c r="H103" s="2595">
        <f>IF(D36="正常操作",H104+H105+H106,H105+H106)</f>
        <v>0</v>
      </c>
      <c r="I103" s="129"/>
    </row>
    <row r="104" spans="1:35" ht="18.75" customHeight="1">
      <c r="A104" s="3591" t="s">
        <v>1437</v>
      </c>
      <c r="B104" s="2589" t="s">
        <v>1432</v>
      </c>
      <c r="C104" s="2590">
        <f ca="1">H118</f>
        <v>2734</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31697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2734</v>
      </c>
      <c r="I107" s="129"/>
    </row>
    <row r="108" spans="1:35" ht="18.75" customHeight="1">
      <c r="A108" s="129"/>
      <c r="B108" s="129"/>
      <c r="C108" s="129"/>
      <c r="D108" s="129"/>
      <c r="E108" s="3588"/>
      <c r="F108" s="3589"/>
      <c r="G108" s="1827" t="s">
        <v>1434</v>
      </c>
      <c r="H108" s="2555">
        <f ca="1">IF(H107=H101,H102,ROUND(H107*10000/'数据-汇总表'!E3,0))</f>
        <v>31697</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590"/>
      <c r="G111" s="1827" t="s">
        <v>1432</v>
      </c>
      <c r="H111" s="2595">
        <f ca="1">IF(E111="——","——",N59)</f>
        <v>1699</v>
      </c>
      <c r="I111" s="129"/>
    </row>
    <row r="112" spans="1:35" ht="18.75" customHeight="1" thickBot="1">
      <c r="A112" s="129"/>
      <c r="B112" s="129"/>
      <c r="C112" s="129"/>
      <c r="D112" s="129"/>
      <c r="E112" s="3621"/>
      <c r="F112" s="3622"/>
      <c r="G112" s="1830" t="s">
        <v>1434</v>
      </c>
      <c r="H112" s="2599">
        <f ca="1">IF(E111="——","——",N61)</f>
        <v>19698</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862.53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2734</v>
      </c>
      <c r="I118" s="2329">
        <f ca="1">ROUND(IF(D32="楼面单价",C32,H118*10000/B118),0)</f>
        <v>31697</v>
      </c>
    </row>
    <row r="119" spans="1:27" ht="18.75" customHeight="1">
      <c r="A119" s="3559" t="s">
        <v>1452</v>
      </c>
      <c r="B119" s="3559"/>
      <c r="C119" s="3559"/>
      <c r="D119" s="3599" t="e">
        <f ca="1">NUMBERSTRING(INT(D118*10000),2)&amp;"元整"</f>
        <v>#REF!</v>
      </c>
      <c r="E119" s="3601"/>
      <c r="F119" s="3599" t="e">
        <f ca="1">NUMBERSTRING(INT(F118*10000),2)&amp;"元整"</f>
        <v>#REF!</v>
      </c>
      <c r="G119" s="3601"/>
      <c r="H119" s="3599" t="str">
        <f ca="1">NUMBERSTRING(INT(H118*10000),2)&amp;"元整"</f>
        <v>贰仟柒佰叁拾肆万元整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2734</v>
      </c>
      <c r="E122" s="3624"/>
      <c r="F122" s="3624"/>
      <c r="G122" s="3624"/>
      <c r="H122" s="3624"/>
      <c r="I122" s="3625"/>
      <c r="AA122" s="725"/>
    </row>
    <row r="123" spans="1:27" ht="18.75" customHeight="1">
      <c r="A123" s="3559" t="s">
        <v>1452</v>
      </c>
      <c r="B123" s="3559"/>
      <c r="C123" s="3559"/>
      <c r="D123" s="3599" t="str">
        <f ca="1">NUMBERSTRING(INT(D122*10000),2)&amp;"元整"</f>
        <v>贰仟柒佰叁拾肆万元整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抵押净值</v>
      </c>
      <c r="B126" s="3590"/>
      <c r="C126" s="3590"/>
      <c r="D126" s="3623">
        <f ca="1">H111</f>
        <v>1699</v>
      </c>
      <c r="E126" s="3624"/>
      <c r="F126" s="3624"/>
      <c r="G126" s="3624"/>
      <c r="H126" s="3624"/>
      <c r="I126" s="3625"/>
      <c r="AA126" s="725"/>
    </row>
    <row r="127" spans="1:27" ht="18.75" customHeight="1">
      <c r="A127" s="3559" t="s">
        <v>1452</v>
      </c>
      <c r="B127" s="3559"/>
      <c r="C127" s="3559"/>
      <c r="D127" s="3599" t="str">
        <f ca="1">NUMBERSTRING(INT(D126*10000),2)&amp;"元整"</f>
        <v>壹仟陆佰玖拾玖万元整</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4" sqref="J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26805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1445</v>
      </c>
      <c r="D5" s="211" t="s">
        <v>1469</v>
      </c>
      <c r="E5" s="212" t="s">
        <v>1470</v>
      </c>
      <c r="F5" s="212" t="s">
        <v>1471</v>
      </c>
      <c r="G5" s="213"/>
    </row>
    <row r="6" spans="1:9" s="214" customFormat="1" ht="13.5" customHeight="1">
      <c r="A6" s="778" t="s">
        <v>1472</v>
      </c>
      <c r="B6" s="215" t="s">
        <v>1473</v>
      </c>
      <c r="C6" s="216">
        <f>基准地价修正!E33</f>
        <v>1386</v>
      </c>
      <c r="D6" s="217"/>
      <c r="E6" s="218"/>
      <c r="F6" s="218"/>
      <c r="G6" s="219"/>
    </row>
    <row r="7" spans="1:9" s="214" customFormat="1" ht="13.5" customHeight="1">
      <c r="A7" s="778" t="s">
        <v>1474</v>
      </c>
      <c r="B7" s="215" t="s">
        <v>1475</v>
      </c>
      <c r="C7" s="220">
        <f>ROUND(C6*F7,0)</f>
        <v>42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3395</v>
      </c>
      <c r="H9" s="1137"/>
      <c r="I9" s="1858" t="s">
        <v>1479</v>
      </c>
    </row>
    <row r="10" spans="1:9" s="214" customFormat="1" ht="13.5" customHeight="1">
      <c r="A10" s="779" t="s">
        <v>356</v>
      </c>
      <c r="B10" s="224" t="s">
        <v>1480</v>
      </c>
      <c r="C10" s="225">
        <f ca="1">ROUND(D10*E10/10000,0)</f>
        <v>17</v>
      </c>
      <c r="D10" s="845">
        <f ca="1">IF(B1="",'数据-汇总表'!E6,IF(INDIRECT("'数据-取费表'!c"&amp;$G$1)="住宅",INDIRECT("'数据-取费表'!s"&amp;$G$1),INDIRECT("'数据-取费表'!k"&amp;$G$1)+INDIRECT("'数据-取费表'!s"&amp;$G$1)))</f>
        <v>862.53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862.53</v>
      </c>
      <c r="E19" s="211">
        <f>'数据-取费表'!B31</f>
        <v>200</v>
      </c>
      <c r="F19" s="231"/>
      <c r="G19" s="1856" t="s">
        <v>3396</v>
      </c>
    </row>
    <row r="20" spans="1:7" s="214" customFormat="1" ht="13.5" customHeight="1">
      <c r="A20" s="255" t="s">
        <v>1493</v>
      </c>
      <c r="B20" s="210" t="s">
        <v>1494</v>
      </c>
      <c r="C20" s="232">
        <f ca="1">ROUND((C5+C19)*F20,0)</f>
        <v>36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105</v>
      </c>
      <c r="D22" s="235">
        <f ca="1">C26</f>
        <v>8.9999999999999998E-4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222</v>
      </c>
      <c r="D27" s="235">
        <f ca="1">C29</f>
        <v>3.8E-3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222</v>
      </c>
      <c r="D28" s="235"/>
      <c r="E28" s="236"/>
      <c r="F28" s="246"/>
      <c r="G28" s="247"/>
    </row>
    <row r="29" spans="1:7" s="214" customFormat="1" ht="13.5" customHeight="1">
      <c r="A29" s="780" t="s">
        <v>347</v>
      </c>
      <c r="B29" s="248" t="s">
        <v>1517</v>
      </c>
      <c r="C29" s="238">
        <f ca="1">ROUND(C21*F27*'数据-取费表'!B21/'数据-取费表'!B20,4)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345</v>
      </c>
      <c r="D34" s="217"/>
      <c r="E34" s="220"/>
      <c r="F34" s="257">
        <f ca="1">IF('数据-取费表'!B24=0,1,IF(B1="",'数据-取费表'!N16,INDIRECT("'数据-取费表'!n"&amp;$G$1)))</f>
        <v>1</v>
      </c>
      <c r="G34" s="219" t="s">
        <v>1526</v>
      </c>
    </row>
    <row r="35" spans="1:7" ht="13.5" customHeight="1">
      <c r="A35" s="780" t="s">
        <v>351</v>
      </c>
      <c r="B35" s="215" t="s">
        <v>1527</v>
      </c>
      <c r="C35" s="220">
        <f ca="1">ROUND(C34*F35,0)</f>
        <v>17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v>
      </c>
      <c r="D37" s="217">
        <f ca="1">D19</f>
        <v>862.53</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14</v>
      </c>
      <c r="D41" s="235">
        <f ca="1">C44</f>
        <v>8.9999999999999998E-4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8.9999999999999998E-4</v>
      </c>
      <c r="D44" s="238"/>
      <c r="E44" s="238"/>
      <c r="F44" s="239"/>
      <c r="G44" s="3641"/>
    </row>
    <row r="45" spans="1:7" s="214" customFormat="1" ht="13.5" customHeight="1">
      <c r="A45" s="255" t="s">
        <v>1547</v>
      </c>
      <c r="B45" s="244" t="s">
        <v>1513</v>
      </c>
      <c r="C45" s="245">
        <f ca="1">C46</f>
        <v>59</v>
      </c>
      <c r="D45" s="235">
        <f ca="1">C47</f>
        <v>3.8E-3</v>
      </c>
      <c r="E45" s="236" t="s">
        <v>1539</v>
      </c>
      <c r="F45" s="246">
        <f ca="1">F27</f>
        <v>0.15</v>
      </c>
      <c r="G45" s="247" t="s">
        <v>1548</v>
      </c>
    </row>
    <row r="46" spans="1:7" s="214" customFormat="1" ht="13.5" customHeight="1">
      <c r="A46" s="780" t="s">
        <v>346</v>
      </c>
      <c r="B46" s="248" t="s">
        <v>1549</v>
      </c>
      <c r="C46" s="249">
        <f ca="1">ROUND((C33+C39)*F27,0)</f>
        <v>59</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509</v>
      </c>
      <c r="D49" s="232"/>
      <c r="E49" s="232"/>
      <c r="F49" s="264"/>
      <c r="G49" s="234" t="s">
        <v>1554</v>
      </c>
    </row>
    <row r="50" spans="1:7" s="258" customFormat="1" ht="24">
      <c r="A50" s="255" t="s">
        <v>1555</v>
      </c>
      <c r="B50" s="210" t="s">
        <v>1556</v>
      </c>
      <c r="C50" s="232"/>
      <c r="D50" s="232"/>
      <c r="E50" s="232"/>
      <c r="F50" s="264">
        <f>IF('数据-取费表'!B24=0,'数据-取费表'!N16,1)</f>
        <v>0.66700000000000004</v>
      </c>
      <c r="G50" s="247" t="s">
        <v>1557</v>
      </c>
    </row>
    <row r="51" spans="1:7" ht="16.5" customHeight="1">
      <c r="A51" s="255" t="s">
        <v>1558</v>
      </c>
      <c r="B51" s="210" t="s">
        <v>1559</v>
      </c>
      <c r="C51" s="232">
        <f ca="1">ROUND(C49*F50,0)</f>
        <v>340</v>
      </c>
      <c r="D51" s="232"/>
      <c r="E51" s="232"/>
      <c r="F51" s="264"/>
      <c r="G51" s="234" t="s">
        <v>1560</v>
      </c>
    </row>
    <row r="52" spans="1:7" s="208" customFormat="1" ht="16.5" thickBot="1">
      <c r="A52" s="265" t="s">
        <v>1561</v>
      </c>
      <c r="B52" s="266"/>
      <c r="C52" s="267">
        <f ca="1">C31+C51</f>
        <v>2312</v>
      </c>
      <c r="D52" s="266"/>
      <c r="E52" s="266"/>
      <c r="F52" s="266"/>
      <c r="G52" s="268"/>
    </row>
    <row r="55" spans="1:7" ht="15">
      <c r="B55" s="270" t="s">
        <v>1562</v>
      </c>
      <c r="C55" s="271"/>
    </row>
    <row r="56" spans="1:7">
      <c r="B56" s="273" t="s">
        <v>802</v>
      </c>
      <c r="C56" s="275">
        <f ca="1">1-C57</f>
        <v>0.85299999999999998</v>
      </c>
    </row>
    <row r="57" spans="1:7">
      <c r="B57" s="273" t="s">
        <v>803</v>
      </c>
      <c r="C57" s="274">
        <f ca="1">ROUND(C51/C52,3)</f>
        <v>0.14699999999999999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387.11070000000001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172506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172506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172506</v>
      </c>
      <c r="D10" s="845">
        <f ca="1">IF(B1="",'数据-汇总表'!E6,IF(INDIRECT("'数据-取费表'!c"&amp;$G$1)="住宅",INDIRECT("'数据-取费表'!s"&amp;$G$1),INDIRECT("'数据-取费表'!k"&amp;$G$1)+INDIRECT("'数据-取费表'!s"&amp;$G$1)))</f>
        <v>862.53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172506</v>
      </c>
      <c r="D19" s="849">
        <f ca="1">D9+D10</f>
        <v>862.53</v>
      </c>
      <c r="E19" s="211">
        <f>'数据-取费表'!B31</f>
        <v>200</v>
      </c>
      <c r="F19" s="231"/>
      <c r="G19" s="1856"/>
    </row>
    <row r="20" spans="1:7" s="214" customFormat="1" ht="13.5" customHeight="1">
      <c r="A20" s="255" t="s">
        <v>1574</v>
      </c>
      <c r="B20" s="210" t="s">
        <v>1575</v>
      </c>
      <c r="C20" s="232">
        <f ca="1">ROUND((C5+C19)*F20,0)</f>
        <v>8625</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25236</v>
      </c>
      <c r="D22" s="235">
        <f ca="1">C26</f>
        <v>8.9999999999999998E-4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12465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12465</v>
      </c>
      <c r="D24" s="238"/>
      <c r="E24" s="238"/>
      <c r="F24" s="239"/>
      <c r="G24" s="240" t="s">
        <v>1586</v>
      </c>
    </row>
    <row r="25" spans="1:7" s="214" customFormat="1" ht="24">
      <c r="A25" s="780" t="s">
        <v>1476</v>
      </c>
      <c r="B25" s="215" t="s">
        <v>1587</v>
      </c>
      <c r="C25" s="1128">
        <f ca="1">ROUND(IF('数据-取费表'!B22&lt;=1,C20*F22*'数据-取费表'!B22/2,C20*(POWER((1+F22),'数据-取费表'!B22/2)-1)),0)</f>
        <v>306</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53046</v>
      </c>
      <c r="D27" s="235">
        <f ca="1">C29</f>
        <v>3.8E-3</v>
      </c>
      <c r="E27" s="236" t="s">
        <v>1514</v>
      </c>
      <c r="F27" s="246">
        <f ca="1">IF(B1="",'数据-取费表'!Q16,INDIRECT("'数据-取费表'!q"&amp;$G$1))</f>
        <v>0.15</v>
      </c>
      <c r="G27" s="247" t="s">
        <v>1515</v>
      </c>
    </row>
    <row r="28" spans="1:7" s="214" customFormat="1" ht="13.5" customHeight="1">
      <c r="A28" s="780" t="s">
        <v>346</v>
      </c>
      <c r="B28" s="248" t="s">
        <v>1516</v>
      </c>
      <c r="C28" s="249">
        <f ca="1">ROUND((C5+C19+C20)*F27,0)</f>
        <v>53046</v>
      </c>
      <c r="D28" s="235"/>
      <c r="E28" s="236"/>
      <c r="F28" s="246"/>
      <c r="G28" s="247"/>
    </row>
    <row r="29" spans="1:7" s="214" customFormat="1" ht="13.5" customHeight="1">
      <c r="A29" s="780" t="s">
        <v>347</v>
      </c>
      <c r="B29" s="248" t="s">
        <v>1517</v>
      </c>
      <c r="C29" s="238">
        <f ca="1">ROUND(C21*F27,4)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471013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3846884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3450120</v>
      </c>
      <c r="D34" s="217"/>
      <c r="E34" s="220"/>
      <c r="F34" s="257"/>
      <c r="G34" s="219"/>
    </row>
    <row r="35" spans="1:7" ht="13.5" customHeight="1">
      <c r="A35" s="780" t="s">
        <v>351</v>
      </c>
      <c r="B35" s="215" t="s">
        <v>1527</v>
      </c>
      <c r="C35" s="220">
        <f ca="1">ROUND(C34*F35,0)</f>
        <v>172506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172506</v>
      </c>
      <c r="D37" s="217">
        <f ca="1">D19</f>
        <v>862.53</v>
      </c>
      <c r="E37" s="249">
        <f>'数据-取费表'!B35</f>
        <v>200</v>
      </c>
      <c r="F37" s="259"/>
      <c r="G37" s="261"/>
    </row>
    <row r="38" spans="1:7" ht="13.5" customHeight="1">
      <c r="A38" s="780" t="s">
        <v>354</v>
      </c>
      <c r="B38" s="215" t="s">
        <v>1533</v>
      </c>
      <c r="C38" s="220">
        <f ca="1">ROUND(C34*F38,0)</f>
        <v>51752</v>
      </c>
      <c r="D38" s="220"/>
      <c r="E38" s="220"/>
      <c r="F38" s="259">
        <f>'数据-取费表'!B36</f>
        <v>1.4999999999999999E-2</v>
      </c>
      <c r="G38" s="219" t="s">
        <v>1528</v>
      </c>
    </row>
    <row r="39" spans="1:7" s="214" customFormat="1" ht="13.5" customHeight="1">
      <c r="A39" s="255" t="s">
        <v>1534</v>
      </c>
      <c r="B39" s="210" t="s">
        <v>1535</v>
      </c>
      <c r="C39" s="232">
        <f ca="1">ROUND(C33*F20,0)</f>
        <v>96172</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139978</v>
      </c>
      <c r="D41" s="235">
        <f ca="1">C44</f>
        <v>8.9999999999999998E-4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136564</v>
      </c>
      <c r="D42" s="238"/>
      <c r="E42" s="238"/>
      <c r="F42" s="239"/>
      <c r="G42" s="3639" t="s">
        <v>1591</v>
      </c>
    </row>
    <row r="43" spans="1:7" ht="13.5" customHeight="1">
      <c r="A43" s="780" t="s">
        <v>347</v>
      </c>
      <c r="B43" s="215" t="s">
        <v>1545</v>
      </c>
      <c r="C43" s="238">
        <f ca="1">ROUND(IF('数据-取费表'!B22&lt;=1,C39*F22*'数据-取费表'!B20/2,C39*(POWER((1+F22),'数据-取费表'!B20/2)-1)),0)</f>
        <v>3414</v>
      </c>
      <c r="D43" s="238"/>
      <c r="E43" s="238"/>
      <c r="F43" s="239"/>
      <c r="G43" s="3640"/>
    </row>
    <row r="44" spans="1:7" ht="13.5" customHeight="1">
      <c r="A44" s="780" t="s">
        <v>348</v>
      </c>
      <c r="B44" s="215" t="s">
        <v>1546</v>
      </c>
      <c r="C44" s="238">
        <f ca="1">ROUND(IF('数据-取费表'!B22&lt;=1,C40*F22*'数据-取费表'!B20/2,C40*(POWER((1+F22),'数据-取费表'!B20/2)-1)),4)</f>
        <v>8.9999999999999998E-4</v>
      </c>
      <c r="D44" s="238"/>
      <c r="E44" s="238"/>
      <c r="F44" s="239"/>
      <c r="G44" s="3641"/>
    </row>
    <row r="45" spans="1:7" s="214" customFormat="1" ht="13.5" customHeight="1">
      <c r="A45" s="255" t="s">
        <v>1547</v>
      </c>
      <c r="B45" s="244" t="s">
        <v>1513</v>
      </c>
      <c r="C45" s="245">
        <f ca="1">C46</f>
        <v>591458</v>
      </c>
      <c r="D45" s="235">
        <f ca="1">C47</f>
        <v>3.8E-3</v>
      </c>
      <c r="E45" s="236" t="s">
        <v>1539</v>
      </c>
      <c r="F45" s="246">
        <f ca="1">F27</f>
        <v>0.15</v>
      </c>
      <c r="G45" s="247" t="s">
        <v>1548</v>
      </c>
    </row>
    <row r="46" spans="1:7" s="214" customFormat="1" ht="13.5" customHeight="1">
      <c r="A46" s="780" t="s">
        <v>346</v>
      </c>
      <c r="B46" s="248" t="s">
        <v>1549</v>
      </c>
      <c r="C46" s="249">
        <f ca="1">ROUND((C33+C39)*F27,0)</f>
        <v>591458</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5097592</v>
      </c>
      <c r="D49" s="232"/>
      <c r="E49" s="232"/>
      <c r="F49" s="264"/>
      <c r="G49" s="234" t="s">
        <v>1554</v>
      </c>
    </row>
    <row r="50" spans="1:7" s="258" customFormat="1">
      <c r="A50" s="255" t="s">
        <v>1555</v>
      </c>
      <c r="B50" s="210" t="s">
        <v>1556</v>
      </c>
      <c r="C50" s="232"/>
      <c r="D50" s="232"/>
      <c r="E50" s="232"/>
      <c r="F50" s="264">
        <f>IF('数据-取费表'!B24=0,'数据-取费表'!N16,1)</f>
        <v>0.66700000000000004</v>
      </c>
      <c r="G50" s="247"/>
    </row>
    <row r="51" spans="1:7" ht="16.5" customHeight="1">
      <c r="A51" s="255" t="s">
        <v>1558</v>
      </c>
      <c r="B51" s="210" t="s">
        <v>1593</v>
      </c>
      <c r="C51" s="232">
        <f ca="1">ROUND(C49*F50,0)</f>
        <v>3400094</v>
      </c>
      <c r="D51" s="232"/>
      <c r="E51" s="232"/>
      <c r="F51" s="264"/>
      <c r="G51" s="234" t="s">
        <v>1560</v>
      </c>
    </row>
    <row r="52" spans="1:7" s="208" customFormat="1" ht="16.5" thickBot="1">
      <c r="A52" s="265" t="s">
        <v>1561</v>
      </c>
      <c r="B52" s="266"/>
      <c r="C52" s="267">
        <f ca="1">C31+C51</f>
        <v>3871107</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862.53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862.53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17</v>
      </c>
      <c r="D20" s="846">
        <f ca="1">IF(C1="",'数据-汇总表'!E6,IF(INDIRECT("'数据-取费表'!c"&amp;$K$1)="住宅",INDIRECT("'数据-取费表'!s"&amp;$K$1),INDIRECT("'数据-取费表'!k"&amp;$K$1)+INDIRECT("'数据-取费表'!s"&amp;$K$1)))</f>
        <v>862.53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2465</v>
      </c>
      <c r="C2" s="1387" t="s">
        <v>805</v>
      </c>
      <c r="D2" s="1387"/>
      <c r="E2" s="1388"/>
      <c r="F2" s="1389"/>
      <c r="G2" s="2706"/>
      <c r="H2" s="2695"/>
      <c r="I2" s="2695"/>
      <c r="J2" s="2695"/>
      <c r="K2" s="2696"/>
      <c r="L2" s="2695"/>
      <c r="M2" s="2695"/>
    </row>
    <row r="3" spans="1:37" ht="18" customHeight="1" thickBot="1">
      <c r="A3" s="1390" t="s">
        <v>806</v>
      </c>
      <c r="B3" s="1391">
        <f ca="1">IF(ISERROR(B2*10000/F43),0,ROUND(B2*10000/F43,0))</f>
        <v>28579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170</v>
      </c>
      <c r="D6" s="155" t="s">
        <v>2108</v>
      </c>
      <c r="E6" s="302" t="s">
        <v>696</v>
      </c>
      <c r="F6" s="303">
        <f ca="1">INDIRECT("'数据-取费表'!u"&amp;$G$1)</f>
        <v>6</v>
      </c>
      <c r="G6" s="1384"/>
      <c r="H6" s="1069" t="s">
        <v>398</v>
      </c>
      <c r="I6" s="3644" t="s">
        <v>694</v>
      </c>
      <c r="J6" s="301">
        <f ca="1">ROUND(M6*M8*M7*(1-M9)/10000,0)</f>
        <v>0</v>
      </c>
      <c r="K6" s="155"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862.53</v>
      </c>
      <c r="G7" s="1384"/>
      <c r="H7" s="304"/>
      <c r="I7" s="3645"/>
      <c r="J7" s="306"/>
      <c r="K7" s="307"/>
      <c r="L7" s="302" t="s">
        <v>697</v>
      </c>
      <c r="M7" s="303">
        <f ca="1">F7</f>
        <v>862.53</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v>
      </c>
      <c r="D13" s="1081" t="s">
        <v>705</v>
      </c>
      <c r="E13" s="1081" t="s">
        <v>706</v>
      </c>
      <c r="F13" s="1082">
        <f ca="1">INDIRECT("'数据-取费表'!y"&amp;$G$1)</f>
        <v>0.66669999999999996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345</v>
      </c>
      <c r="D14" s="1345" t="s">
        <v>708</v>
      </c>
      <c r="E14" s="1342"/>
      <c r="F14" s="319"/>
      <c r="G14" s="1384"/>
      <c r="H14" s="982" t="s">
        <v>398</v>
      </c>
      <c r="I14" s="302" t="s">
        <v>709</v>
      </c>
      <c r="J14" s="21">
        <f ca="1">C29</f>
        <v>509</v>
      </c>
      <c r="K14" s="12"/>
      <c r="L14" s="807"/>
      <c r="M14" s="808"/>
    </row>
    <row r="15" spans="1:37" s="1397" customFormat="1" ht="18" customHeight="1" thickBot="1">
      <c r="A15" s="982" t="s">
        <v>399</v>
      </c>
      <c r="B15" s="302" t="s">
        <v>710</v>
      </c>
      <c r="C15" s="21">
        <f ca="1">ROUND(C14*F15,0)</f>
        <v>17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v>
      </c>
      <c r="K16" s="1087" t="s">
        <v>715</v>
      </c>
      <c r="L16" s="1088"/>
      <c r="M16" s="1072"/>
    </row>
    <row r="17" spans="1:37" s="1397" customFormat="1" ht="18" customHeight="1">
      <c r="A17" s="982" t="s">
        <v>681</v>
      </c>
      <c r="B17" s="302" t="s">
        <v>716</v>
      </c>
      <c r="C17" s="21">
        <f ca="1">ROUND(F17*(F43+INDIRECT("'数据-取费表'!S"&amp;$G$1))/10000,0)</f>
        <v>17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v>
      </c>
      <c r="K25" s="1095" t="s">
        <v>753</v>
      </c>
      <c r="L25" s="1096"/>
      <c r="M25" s="1097"/>
    </row>
    <row r="26" spans="1:37">
      <c r="A26" s="982" t="s">
        <v>397</v>
      </c>
      <c r="B26" s="302" t="s">
        <v>754</v>
      </c>
      <c r="C26" s="21">
        <f ca="1">ROUND((C19+C20)*F26,0)</f>
        <v>59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509</v>
      </c>
      <c r="D29" s="1092"/>
      <c r="E29" s="1090"/>
      <c r="F29" s="1093"/>
      <c r="G29" s="1396"/>
      <c r="H29" s="334" t="s">
        <v>396</v>
      </c>
      <c r="I29" s="335" t="s">
        <v>768</v>
      </c>
      <c r="J29" s="336">
        <f ca="1">ROUND(J26/(1+F40)^F41,0)</f>
        <v>0</v>
      </c>
      <c r="K29" s="337" t="s">
        <v>769</v>
      </c>
      <c r="L29" s="338"/>
      <c r="M29" s="339">
        <f ca="1">INDIRECT("'数据-取费表'!k"&amp;$G$1)</f>
        <v>862.53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28.5</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9.07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19.43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7.64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0.51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2438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28266</v>
      </c>
      <c r="D43" s="337" t="s">
        <v>777</v>
      </c>
      <c r="E43" s="338" t="s">
        <v>778</v>
      </c>
      <c r="F43" s="339">
        <f ca="1">INDIRECT("'数据-取费表'!k"&amp;$G$1)</f>
        <v>862.53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-2551</v>
      </c>
      <c r="D46" s="1406" t="str">
        <f>C2</f>
        <v>万元</v>
      </c>
      <c r="E46" s="1400"/>
      <c r="F46" s="1400"/>
      <c r="I46" s="1407" t="s">
        <v>810</v>
      </c>
      <c r="J46" s="1408"/>
      <c r="K46" s="1409"/>
      <c r="L46" s="1410">
        <f ca="1">IF(M47="住宅",0,IF(L48&gt;J51,L60,J60))</f>
        <v>27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2438</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28</v>
      </c>
      <c r="O48" s="1418" t="s">
        <v>404</v>
      </c>
      <c r="P48" s="1419" t="s">
        <v>821</v>
      </c>
      <c r="Q48" s="1420">
        <f ca="1">J60</f>
        <v>27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2003</v>
      </c>
      <c r="K49" s="1423" t="s">
        <v>824</v>
      </c>
      <c r="L49" s="1427"/>
      <c r="O49" s="1428" t="s">
        <v>405</v>
      </c>
      <c r="P49" s="1419" t="s">
        <v>825</v>
      </c>
      <c r="Q49" s="1420">
        <f ca="1">C29</f>
        <v>509</v>
      </c>
      <c r="R49" s="1420" t="s">
        <v>818</v>
      </c>
    </row>
    <row r="50" spans="1:18" s="1384" customFormat="1" ht="13.5" thickBot="1">
      <c r="A50" s="976"/>
      <c r="B50" s="979"/>
      <c r="C50" s="1118"/>
      <c r="D50" s="953"/>
      <c r="E50" s="1056" t="s">
        <v>697</v>
      </c>
      <c r="F50" s="1057">
        <f ca="1">F7</f>
        <v>862.53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1858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28</v>
      </c>
      <c r="K53" s="3642" t="s">
        <v>837</v>
      </c>
      <c r="L53" s="3643"/>
      <c r="O53" s="1418" t="s">
        <v>409</v>
      </c>
      <c r="P53" s="1419" t="s">
        <v>838</v>
      </c>
      <c r="Q53" s="1420">
        <f ca="1">Q47+Q48</f>
        <v>2465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339</v>
      </c>
      <c r="D56" s="1447"/>
      <c r="E56" s="1448"/>
      <c r="F56" s="1440"/>
      <c r="I56" s="1449" t="s">
        <v>842</v>
      </c>
      <c r="J56" s="1450" t="s">
        <v>3399</v>
      </c>
      <c r="K56" s="1421" t="s">
        <v>843</v>
      </c>
      <c r="L56" s="1424" t="str">
        <f ca="1">IF(L48&lt;J51,"——",L48-J53)</f>
        <v>——</v>
      </c>
      <c r="O56" s="1418" t="s">
        <v>403</v>
      </c>
      <c r="P56" s="1419" t="s">
        <v>817</v>
      </c>
      <c r="Q56" s="1420">
        <f ca="1">C40+J29</f>
        <v>2438</v>
      </c>
      <c r="R56" s="1420" t="s">
        <v>818</v>
      </c>
    </row>
    <row r="57" spans="1:18" s="1384" customFormat="1" ht="24.75" thickBot="1">
      <c r="A57" s="1451"/>
      <c r="B57" s="950" t="s">
        <v>767</v>
      </c>
      <c r="C57" s="238">
        <f ca="1">C29</f>
        <v>509</v>
      </c>
      <c r="D57" s="1452"/>
      <c r="E57" s="1453"/>
      <c r="F57" s="1454"/>
      <c r="I57" s="1455" t="s">
        <v>844</v>
      </c>
      <c r="J57" s="1456">
        <f ca="1">IF(OR(M47="住宅",J51&lt;L48,J56="是"),"——",J51-L48)</f>
        <v>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2438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0.51</v>
      </c>
      <c r="D65" s="964" t="s">
        <v>743</v>
      </c>
      <c r="E65" s="950" t="s">
        <v>744</v>
      </c>
      <c r="F65" s="330">
        <f t="shared" ca="1" si="0"/>
        <v>1.5E-3</v>
      </c>
      <c r="I65" s="1462" t="s">
        <v>867</v>
      </c>
      <c r="J65" s="1463">
        <v>40</v>
      </c>
      <c r="K65" s="1463">
        <v>30</v>
      </c>
      <c r="L65" s="1463">
        <v>50</v>
      </c>
      <c r="M65" s="1465">
        <v>0.02</v>
      </c>
      <c r="O65" s="1418" t="s">
        <v>403</v>
      </c>
      <c r="P65" s="1419" t="s">
        <v>868</v>
      </c>
      <c r="Q65" s="1420">
        <f ca="1">C40+J29</f>
        <v>2438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1858</v>
      </c>
      <c r="R67" s="1420" t="s">
        <v>870</v>
      </c>
    </row>
    <row r="68" spans="1:18" s="1384" customFormat="1" ht="16.5" thickBot="1">
      <c r="A68" s="947" t="s">
        <v>395</v>
      </c>
      <c r="B68" s="948" t="s">
        <v>774</v>
      </c>
      <c r="C68" s="301">
        <f ca="1">ROUND(C67*(1-((1+F70)/(1+F68))^F69)/(F68-F70),0)</f>
        <v>-113</v>
      </c>
      <c r="D68" s="965" t="s">
        <v>758</v>
      </c>
      <c r="E68" s="950" t="s">
        <v>759</v>
      </c>
      <c r="F68" s="312">
        <f ca="1">F40</f>
        <v>5.5E-2</v>
      </c>
      <c r="O68" s="1428" t="s">
        <v>406</v>
      </c>
      <c r="P68" s="1467" t="s">
        <v>871</v>
      </c>
      <c r="Q68" s="1420">
        <f ca="1">ROUND(Q69-Q70*Q71,0)</f>
        <v>108</v>
      </c>
      <c r="R68" s="1420" t="s">
        <v>414</v>
      </c>
    </row>
    <row r="69" spans="1:18" s="1384" customFormat="1" ht="13.5" thickBot="1">
      <c r="A69" s="951"/>
      <c r="B69" s="952"/>
      <c r="C69" s="306"/>
      <c r="D69" s="970" t="s">
        <v>762</v>
      </c>
      <c r="E69" s="950" t="s">
        <v>763</v>
      </c>
      <c r="F69" s="333">
        <f ca="1">F41</f>
        <v>28</v>
      </c>
      <c r="O69" s="1428" t="s">
        <v>411</v>
      </c>
      <c r="P69" s="1467" t="s">
        <v>872</v>
      </c>
      <c r="Q69" s="1420">
        <f ca="1">C39</f>
        <v>132</v>
      </c>
      <c r="R69" s="1420" t="s">
        <v>818</v>
      </c>
    </row>
    <row r="70" spans="1:18" s="1384" customFormat="1" ht="13.5" thickBot="1">
      <c r="A70" s="954"/>
      <c r="B70" s="955"/>
      <c r="C70" s="310"/>
      <c r="D70" s="966"/>
      <c r="E70" s="950" t="s">
        <v>766</v>
      </c>
      <c r="F70" s="1054"/>
      <c r="O70" s="1428" t="s">
        <v>412</v>
      </c>
      <c r="P70" s="1467" t="s">
        <v>873</v>
      </c>
      <c r="Q70" s="1420">
        <f ca="1">C13</f>
        <v>339</v>
      </c>
      <c r="R70" s="1420" t="s">
        <v>818</v>
      </c>
    </row>
    <row r="71" spans="1:18" s="1384" customFormat="1" ht="13.5" thickBot="1">
      <c r="A71" s="971" t="s">
        <v>396</v>
      </c>
      <c r="B71" s="972" t="s">
        <v>776</v>
      </c>
      <c r="C71" s="336">
        <f ca="1">ROUND(C68*10000/F71,0)</f>
        <v>-1310</v>
      </c>
      <c r="D71" s="973" t="s">
        <v>777</v>
      </c>
      <c r="E71" s="974" t="s">
        <v>778</v>
      </c>
      <c r="F71" s="339">
        <f ca="1">F43</f>
        <v>862.53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v>
      </c>
      <c r="D75" s="1384"/>
      <c r="E75" s="1384"/>
      <c r="F75" s="1384"/>
      <c r="K75" s="1402"/>
      <c r="L75" s="1384"/>
      <c r="O75" s="1418" t="s">
        <v>409</v>
      </c>
      <c r="P75" s="1419" t="s">
        <v>838</v>
      </c>
      <c r="Q75" s="1420">
        <f ca="1">Q65+Q66</f>
        <v>2438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0.81800000000000006</v>
      </c>
    </row>
    <row r="80" spans="1:18">
      <c r="B80" s="340" t="s">
        <v>800</v>
      </c>
      <c r="C80" s="274">
        <f ca="1">ROUND(C75/C39,3)</f>
        <v>0.182</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0</v>
      </c>
      <c r="D6" s="155" t="s">
        <v>2105</v>
      </c>
      <c r="E6" s="302" t="s">
        <v>696</v>
      </c>
      <c r="F6" s="303">
        <f ca="1">INDIRECT("'数据-取费表'!u"&amp;$G$1)</f>
        <v>0</v>
      </c>
      <c r="G6" s="1384"/>
      <c r="H6" s="1069" t="s">
        <v>398</v>
      </c>
      <c r="I6" s="3644" t="s">
        <v>694</v>
      </c>
      <c r="J6" s="301">
        <f ca="1">ROUND(M6*M8*M7*(1-M9),0)</f>
        <v>0</v>
      </c>
      <c r="K6" s="1376" t="s">
        <v>2106</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653" t="s">
        <v>2320</v>
      </c>
      <c r="K2" s="365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5" t="s">
        <v>2330</v>
      </c>
      <c r="K3" s="365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5" t="s">
        <v>2332</v>
      </c>
      <c r="K4" s="365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1" t="s">
        <v>2336</v>
      </c>
      <c r="B6" s="3662"/>
      <c r="C6" s="3663"/>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4" t="s">
        <v>2350</v>
      </c>
      <c r="C8" s="3665"/>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4" t="s">
        <v>2356</v>
      </c>
      <c r="C9" s="3665"/>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64" t="s">
        <v>2359</v>
      </c>
      <c r="C10" s="3665"/>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64" t="s">
        <v>2362</v>
      </c>
      <c r="C11" s="3665"/>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7" t="s">
        <v>2365</v>
      </c>
      <c r="C12" s="3658"/>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7" t="s">
        <v>2371</v>
      </c>
      <c r="C14" s="3658"/>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7" t="s">
        <v>2375</v>
      </c>
      <c r="C15" s="3658"/>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7" t="s">
        <v>2384</v>
      </c>
      <c r="C16" s="3658"/>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2387</v>
      </c>
      <c r="C17" s="3660"/>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3" t="s">
        <v>2320</v>
      </c>
      <c r="K32" s="365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5" t="s">
        <v>2330</v>
      </c>
      <c r="K33" s="365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5" t="s">
        <v>2332</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2465</v>
      </c>
      <c r="C2" s="1872" t="s">
        <v>1651</v>
      </c>
      <c r="D2" s="1873" t="s">
        <v>1652</v>
      </c>
      <c r="E2" s="2607">
        <f>SUM(E6:E13)</f>
        <v>862.53</v>
      </c>
      <c r="F2" s="2707"/>
      <c r="G2" s="1489"/>
      <c r="H2" s="1489"/>
      <c r="I2" s="1489"/>
      <c r="J2" s="1489"/>
      <c r="K2" s="1489"/>
      <c r="L2" s="1489"/>
      <c r="M2" s="1489"/>
      <c r="N2" s="1489"/>
      <c r="O2" s="1489"/>
      <c r="P2" s="1489"/>
      <c r="Q2" s="1489"/>
      <c r="R2" s="1489"/>
      <c r="S2" s="1489"/>
    </row>
    <row r="3" spans="1:22" ht="15.75">
      <c r="A3" s="1870" t="s">
        <v>686</v>
      </c>
      <c r="B3" s="2601">
        <f ca="1">ROUND(B2*10000/E2,0)</f>
        <v>28579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6" t="s">
        <v>1654</v>
      </c>
      <c r="C5" s="366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2465</v>
      </c>
      <c r="C6" s="1872" t="s">
        <v>1651</v>
      </c>
      <c r="D6" s="2709"/>
      <c r="E6" s="2606">
        <f>IF(OR(A6=0,F6="否"),0,'数据-取费表'!K6+'数据-取费表'!S6)</f>
        <v>862.53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862.53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5"/>
      <c r="M4" s="2716"/>
      <c r="N4" s="2716"/>
      <c r="O4" s="2716"/>
      <c r="P4" s="3690" t="s">
        <v>1672</v>
      </c>
      <c r="Q4" s="3691"/>
      <c r="R4" s="3696" t="s">
        <v>1668</v>
      </c>
      <c r="S4" s="3697"/>
      <c r="T4" s="3696" t="s">
        <v>1669</v>
      </c>
      <c r="U4" s="3697"/>
      <c r="V4" s="3702" t="s">
        <v>1670</v>
      </c>
      <c r="W4" s="3702"/>
      <c r="X4" s="1355"/>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90"/>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1890"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45146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09"/>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7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7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7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7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7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5" t="s">
        <v>1696</v>
      </c>
      <c r="Q32" s="1352" t="str">
        <f t="shared" si="11"/>
        <v>建筑类型</v>
      </c>
      <c r="R32" s="705" t="s">
        <v>18</v>
      </c>
      <c r="S32" s="706">
        <f t="shared" si="12"/>
        <v>100</v>
      </c>
      <c r="T32" s="705" t="s">
        <v>18</v>
      </c>
      <c r="U32" s="706">
        <f t="shared" si="13"/>
        <v>100</v>
      </c>
      <c r="V32" s="705" t="s">
        <v>18</v>
      </c>
      <c r="W32" s="706">
        <f t="shared" si="14"/>
        <v>100</v>
      </c>
      <c r="X32" s="1355"/>
      <c r="Y32" s="367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6"/>
      <c r="Q34" s="1352" t="str">
        <f t="shared" si="11"/>
        <v>建筑结构</v>
      </c>
      <c r="R34" s="705" t="s">
        <v>18</v>
      </c>
      <c r="S34" s="706">
        <f t="shared" si="12"/>
        <v>100</v>
      </c>
      <c r="T34" s="705" t="s">
        <v>18</v>
      </c>
      <c r="U34" s="706">
        <f t="shared" si="13"/>
        <v>100</v>
      </c>
      <c r="V34" s="705" t="s">
        <v>18</v>
      </c>
      <c r="W34" s="706">
        <f t="shared" si="14"/>
        <v>100</v>
      </c>
      <c r="X34" s="1355"/>
      <c r="Y34" s="367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6"/>
      <c r="Q35" s="1352" t="str">
        <f t="shared" si="11"/>
        <v>建筑品质</v>
      </c>
      <c r="R35" s="705" t="s">
        <v>18</v>
      </c>
      <c r="S35" s="706">
        <f t="shared" si="12"/>
        <v>100</v>
      </c>
      <c r="T35" s="705" t="s">
        <v>18</v>
      </c>
      <c r="U35" s="706">
        <f t="shared" si="13"/>
        <v>100</v>
      </c>
      <c r="V35" s="705" t="s">
        <v>18</v>
      </c>
      <c r="W35" s="706">
        <f t="shared" si="14"/>
        <v>100</v>
      </c>
      <c r="X35" s="1355"/>
      <c r="Y35" s="367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6"/>
      <c r="Q36" s="1352" t="str">
        <f t="shared" si="11"/>
        <v>公共部分装修</v>
      </c>
      <c r="R36" s="705" t="s">
        <v>18</v>
      </c>
      <c r="S36" s="706">
        <f t="shared" si="12"/>
        <v>100</v>
      </c>
      <c r="T36" s="705" t="s">
        <v>18</v>
      </c>
      <c r="U36" s="706">
        <f t="shared" si="13"/>
        <v>100</v>
      </c>
      <c r="V36" s="705" t="s">
        <v>18</v>
      </c>
      <c r="W36" s="706">
        <f t="shared" si="14"/>
        <v>100</v>
      </c>
      <c r="X36" s="1355"/>
      <c r="Y36" s="367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6"/>
      <c r="Q37" s="1343"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6" t="s">
        <v>1696</v>
      </c>
      <c r="Q38" s="1352" t="str">
        <f t="shared" si="11"/>
        <v>物业管理</v>
      </c>
      <c r="R38" s="705" t="s">
        <v>18</v>
      </c>
      <c r="S38" s="706">
        <f t="shared" si="12"/>
        <v>100</v>
      </c>
      <c r="T38" s="705" t="s">
        <v>18</v>
      </c>
      <c r="U38" s="706">
        <f t="shared" si="13"/>
        <v>100</v>
      </c>
      <c r="V38" s="705" t="s">
        <v>18</v>
      </c>
      <c r="W38" s="706">
        <f t="shared" si="14"/>
        <v>100</v>
      </c>
      <c r="X38" s="1355"/>
      <c r="Y38" s="367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6"/>
      <c r="Q39" s="1352" t="str">
        <f t="shared" si="11"/>
        <v>市政基础设施</v>
      </c>
      <c r="R39" s="705" t="s">
        <v>18</v>
      </c>
      <c r="S39" s="706">
        <f t="shared" si="12"/>
        <v>100</v>
      </c>
      <c r="T39" s="705" t="s">
        <v>18</v>
      </c>
      <c r="U39" s="706">
        <f t="shared" si="13"/>
        <v>100</v>
      </c>
      <c r="V39" s="705" t="s">
        <v>18</v>
      </c>
      <c r="W39" s="706">
        <f t="shared" si="14"/>
        <v>100</v>
      </c>
      <c r="X39" s="1355"/>
      <c r="Y39" s="367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6"/>
      <c r="Q40" s="1352" t="str">
        <f t="shared" si="11"/>
        <v>房型</v>
      </c>
      <c r="R40" s="705" t="s">
        <v>18</v>
      </c>
      <c r="S40" s="706">
        <f t="shared" si="12"/>
        <v>100</v>
      </c>
      <c r="T40" s="705" t="s">
        <v>18</v>
      </c>
      <c r="U40" s="706">
        <f t="shared" si="13"/>
        <v>100</v>
      </c>
      <c r="V40" s="705" t="s">
        <v>18</v>
      </c>
      <c r="W40" s="706">
        <f t="shared" si="14"/>
        <v>100</v>
      </c>
      <c r="X40" s="1355"/>
      <c r="Y40" s="367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6"/>
      <c r="Q42" s="1352" t="str">
        <f t="shared" si="11"/>
        <v>内部装修</v>
      </c>
      <c r="R42" s="705" t="s">
        <v>18</v>
      </c>
      <c r="S42" s="706">
        <f t="shared" si="12"/>
        <v>100</v>
      </c>
      <c r="T42" s="705" t="s">
        <v>18</v>
      </c>
      <c r="U42" s="706">
        <f t="shared" si="13"/>
        <v>100</v>
      </c>
      <c r="V42" s="705" t="s">
        <v>18</v>
      </c>
      <c r="W42" s="706">
        <f t="shared" si="14"/>
        <v>100</v>
      </c>
      <c r="X42" s="1355"/>
      <c r="Y42" s="367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6"/>
      <c r="Q43" s="1352" t="str">
        <f t="shared" si="11"/>
        <v>内部装修维护情况</v>
      </c>
      <c r="R43" s="705" t="s">
        <v>18</v>
      </c>
      <c r="S43" s="706">
        <f t="shared" si="12"/>
        <v>100</v>
      </c>
      <c r="T43" s="705" t="s">
        <v>18</v>
      </c>
      <c r="U43" s="706">
        <f t="shared" si="13"/>
        <v>100</v>
      </c>
      <c r="V43" s="705" t="s">
        <v>18</v>
      </c>
      <c r="W43" s="706">
        <f t="shared" si="14"/>
        <v>100</v>
      </c>
      <c r="X43" s="1355"/>
      <c r="Y43" s="367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6"/>
      <c r="Q44" s="1343">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6"/>
      <c r="Q45" s="1352">
        <f t="shared" si="11"/>
        <v>111</v>
      </c>
      <c r="R45" s="705" t="s">
        <v>18</v>
      </c>
      <c r="S45" s="706">
        <f t="shared" si="12"/>
        <v>100</v>
      </c>
      <c r="T45" s="705" t="s">
        <v>18</v>
      </c>
      <c r="U45" s="706">
        <f t="shared" si="13"/>
        <v>100</v>
      </c>
      <c r="V45" s="705" t="s">
        <v>18</v>
      </c>
      <c r="W45" s="706">
        <f t="shared" si="14"/>
        <v>100</v>
      </c>
      <c r="X45" s="1355"/>
      <c r="Y45" s="367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7"/>
      <c r="Q46" s="1352">
        <f t="shared" si="11"/>
        <v>111</v>
      </c>
      <c r="R46" s="705" t="s">
        <v>17</v>
      </c>
      <c r="S46" s="706">
        <f t="shared" si="12"/>
        <v>100</v>
      </c>
      <c r="T46" s="705" t="s">
        <v>17</v>
      </c>
      <c r="U46" s="706">
        <f t="shared" si="13"/>
        <v>100</v>
      </c>
      <c r="V46" s="705" t="s">
        <v>17</v>
      </c>
      <c r="W46" s="706">
        <f t="shared" si="14"/>
        <v>100</v>
      </c>
      <c r="X46" s="1355"/>
      <c r="Y46" s="367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E12" sqref="E1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21</v>
      </c>
      <c r="E1" s="3426" t="s">
        <v>3407</v>
      </c>
      <c r="F1" s="1879" t="s">
        <v>3408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3368.0070999999998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39048</v>
      </c>
      <c r="C3" s="354" t="s">
        <v>1768</v>
      </c>
      <c r="D3" s="353">
        <f>IF(D1="",'数据-汇总表'!E3,SUMIF('数据-汇总表'!$C19:$C33,D1,'数据-汇总表'!$E19:$E33))</f>
        <v>862.53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702"/>
      <c r="AC6" s="3685"/>
    </row>
    <row r="7" spans="1:29" s="108" customFormat="1" ht="15.75" thickBot="1">
      <c r="A7" s="362" t="s">
        <v>1679</v>
      </c>
      <c r="B7" s="363"/>
      <c r="C7" s="364">
        <f>'数据-取费表'!B2</f>
        <v>45146</v>
      </c>
      <c r="D7" s="365">
        <v>100</v>
      </c>
      <c r="E7" s="366">
        <f>C7</f>
        <v>45146</v>
      </c>
      <c r="F7" s="367">
        <f>SUMIF(58:58,YEAR(E7)&amp;"-"&amp;MONTH(E7),59:59)</f>
        <v>100</v>
      </c>
      <c r="G7" s="366">
        <f>C7</f>
        <v>45146</v>
      </c>
      <c r="H7" s="365">
        <f>SUMIF(58:58,YEAR(G7)&amp;"-"&amp;MONTH(G7),59:59)</f>
        <v>100</v>
      </c>
      <c r="I7" s="366">
        <f>C7</f>
        <v>45146</v>
      </c>
      <c r="J7" s="365">
        <f>SUMIF(58:58,YEAR(I7)&amp;"-"&amp;MONTH(I7),59:59)</f>
        <v>100</v>
      </c>
      <c r="K7" s="560"/>
      <c r="L7" s="2717"/>
      <c r="M7" s="2718"/>
      <c r="N7" s="2718"/>
      <c r="O7" s="2718"/>
      <c r="P7" s="3707" t="s">
        <v>1680</v>
      </c>
      <c r="Q7" s="3709"/>
      <c r="R7" s="701" t="s">
        <v>14</v>
      </c>
      <c r="S7" s="702">
        <f t="shared" ref="S7:S15" si="0">F7</f>
        <v>100</v>
      </c>
      <c r="T7" s="701" t="s">
        <v>14</v>
      </c>
      <c r="U7" s="702">
        <f t="shared" ref="U7:U15" si="1">H7</f>
        <v>100</v>
      </c>
      <c r="V7" s="701" t="s">
        <v>14</v>
      </c>
      <c r="W7" s="702">
        <f t="shared" ref="W7:W15" si="2">J7</f>
        <v>100</v>
      </c>
      <c r="X7" s="703"/>
      <c r="Y7" s="3707" t="s">
        <v>1680</v>
      </c>
      <c r="Z7" s="3708"/>
      <c r="AA7" s="704">
        <f>D7/F7</f>
        <v>1</v>
      </c>
      <c r="AB7" s="704">
        <f>D7/H7</f>
        <v>1</v>
      </c>
      <c r="AC7" s="704">
        <f>D7/J7</f>
        <v>1</v>
      </c>
    </row>
    <row r="8" spans="1:29" s="108" customFormat="1" ht="15.75" thickBot="1">
      <c r="A8" s="362" t="s">
        <v>1681</v>
      </c>
      <c r="B8" s="363"/>
      <c r="C8" s="368" t="s">
        <v>3411</v>
      </c>
      <c r="D8" s="365">
        <v>100</v>
      </c>
      <c r="E8" s="368" t="s">
        <v>3409</v>
      </c>
      <c r="F8" s="367">
        <f>SUMIF(61:61,E8,62:62)-SUMIF(61:61,C8,62:62)+100</f>
        <v>105</v>
      </c>
      <c r="G8" s="368" t="s">
        <v>3409</v>
      </c>
      <c r="H8" s="365">
        <f>SUMIF(61:61,G8,62:62)-SUMIF(61:61,C8,62:62)+100</f>
        <v>105</v>
      </c>
      <c r="I8" s="368" t="s">
        <v>3409</v>
      </c>
      <c r="J8" s="365">
        <f>SUMIF(61:61,I8,62:62)-SUMIF(61:61,C8,62:62)+100</f>
        <v>105</v>
      </c>
      <c r="K8" s="560"/>
      <c r="L8" s="2717"/>
      <c r="M8" s="2718"/>
      <c r="N8" s="2718"/>
      <c r="O8" s="2718"/>
      <c r="P8" s="3707" t="s">
        <v>1683</v>
      </c>
      <c r="Q8" s="3708"/>
      <c r="R8" s="701" t="s">
        <v>14</v>
      </c>
      <c r="S8" s="702">
        <f t="shared" si="0"/>
        <v>105</v>
      </c>
      <c r="T8" s="701" t="s">
        <v>14</v>
      </c>
      <c r="U8" s="702">
        <f t="shared" si="1"/>
        <v>105</v>
      </c>
      <c r="V8" s="701" t="s">
        <v>14</v>
      </c>
      <c r="W8" s="702">
        <f t="shared" si="2"/>
        <v>105</v>
      </c>
      <c r="X8" s="703"/>
      <c r="Y8" s="3707" t="s">
        <v>1683</v>
      </c>
      <c r="Z8" s="3708"/>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0" t="s">
        <v>1691</v>
      </c>
      <c r="Q15" s="1352" t="str">
        <f t="shared" si="6"/>
        <v>商业繁华度</v>
      </c>
      <c r="R15" s="705" t="s">
        <v>14</v>
      </c>
      <c r="S15" s="706">
        <f t="shared" si="0"/>
        <v>100</v>
      </c>
      <c r="T15" s="705" t="s">
        <v>14</v>
      </c>
      <c r="U15" s="706">
        <f t="shared" si="1"/>
        <v>100</v>
      </c>
      <c r="V15" s="705" t="s">
        <v>14</v>
      </c>
      <c r="W15" s="706">
        <f t="shared" si="2"/>
        <v>100</v>
      </c>
      <c r="X15" s="1355"/>
      <c r="Y15" s="367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1"/>
      <c r="Q22" s="1352"/>
      <c r="R22" s="705"/>
      <c r="S22" s="706"/>
      <c r="T22" s="705"/>
      <c r="U22" s="706"/>
      <c r="V22" s="705"/>
      <c r="W22" s="706"/>
      <c r="X22" s="1355"/>
      <c r="Y22" s="367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1"/>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1"/>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1783</v>
      </c>
      <c r="C28" s="565" t="s">
        <v>3406</v>
      </c>
      <c r="D28" s="386">
        <v>100</v>
      </c>
      <c r="E28" s="565" t="s">
        <v>3406</v>
      </c>
      <c r="F28" s="412">
        <f>SUMIF(92:92,E28,93:93)-SUMIF(92:92,C28,93:93)+100</f>
        <v>100</v>
      </c>
      <c r="G28" s="565" t="s">
        <v>3406</v>
      </c>
      <c r="H28" s="386">
        <f>SUMIF(92:92,G28,93:93)-SUMIF(92:92,C28,93:93)+100</f>
        <v>100</v>
      </c>
      <c r="I28" s="565" t="s">
        <v>3406</v>
      </c>
      <c r="J28" s="386">
        <f>SUMIF(92:92,I28,93:93)-SUMIF(92:92,C28,93:93)+100</f>
        <v>100</v>
      </c>
      <c r="K28" s="562"/>
      <c r="L28" s="2722"/>
      <c r="M28" s="2716"/>
      <c r="N28" s="2716"/>
      <c r="O28" s="2716"/>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5" t="s">
        <v>1696</v>
      </c>
      <c r="Q32" s="1352" t="str">
        <f t="shared" si="11"/>
        <v>商业类型</v>
      </c>
      <c r="R32" s="705" t="s">
        <v>14</v>
      </c>
      <c r="S32" s="706">
        <f t="shared" si="12"/>
        <v>100</v>
      </c>
      <c r="T32" s="705" t="s">
        <v>14</v>
      </c>
      <c r="U32" s="706">
        <f t="shared" si="13"/>
        <v>100</v>
      </c>
      <c r="V32" s="705" t="s">
        <v>14</v>
      </c>
      <c r="W32" s="706">
        <f t="shared" si="14"/>
        <v>100</v>
      </c>
      <c r="X32" s="1355"/>
      <c r="Y32" s="367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6"/>
      <c r="Q33" s="707" t="str">
        <f t="shared" si="11"/>
        <v>项目建筑规模</v>
      </c>
      <c r="R33" s="708" t="s">
        <v>14</v>
      </c>
      <c r="S33" s="709">
        <f t="shared" si="12"/>
        <v>100</v>
      </c>
      <c r="T33" s="708" t="s">
        <v>14</v>
      </c>
      <c r="U33" s="709">
        <f t="shared" si="13"/>
        <v>100</v>
      </c>
      <c r="V33" s="708" t="s">
        <v>14</v>
      </c>
      <c r="W33" s="709">
        <f t="shared" si="14"/>
        <v>100</v>
      </c>
      <c r="X33" s="710"/>
      <c r="Y33" s="3678"/>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6"/>
      <c r="Q34" s="1352" t="str">
        <f t="shared" si="11"/>
        <v>建筑结构</v>
      </c>
      <c r="R34" s="705" t="s">
        <v>14</v>
      </c>
      <c r="S34" s="706">
        <f t="shared" si="12"/>
        <v>100</v>
      </c>
      <c r="T34" s="705" t="s">
        <v>14</v>
      </c>
      <c r="U34" s="706">
        <f t="shared" si="13"/>
        <v>100</v>
      </c>
      <c r="V34" s="705" t="s">
        <v>14</v>
      </c>
      <c r="W34" s="706">
        <f t="shared" si="14"/>
        <v>100</v>
      </c>
      <c r="X34" s="1355"/>
      <c r="Y34" s="367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6"/>
      <c r="Q35" s="1352" t="str">
        <f t="shared" si="11"/>
        <v>公共部分装修</v>
      </c>
      <c r="R35" s="705" t="s">
        <v>14</v>
      </c>
      <c r="S35" s="706">
        <f t="shared" si="12"/>
        <v>100</v>
      </c>
      <c r="T35" s="705" t="s">
        <v>14</v>
      </c>
      <c r="U35" s="706">
        <f t="shared" si="13"/>
        <v>100</v>
      </c>
      <c r="V35" s="705" t="s">
        <v>14</v>
      </c>
      <c r="W35" s="706">
        <f t="shared" si="14"/>
        <v>100</v>
      </c>
      <c r="X35" s="1355"/>
      <c r="Y35" s="3678"/>
      <c r="Z35" s="1356" t="str">
        <f t="shared" si="15"/>
        <v>公共部分装修</v>
      </c>
      <c r="AA35" s="1353">
        <f t="shared" si="3"/>
        <v>1</v>
      </c>
      <c r="AB35" s="1353">
        <f t="shared" si="4"/>
        <v>1</v>
      </c>
      <c r="AC35" s="1353">
        <f t="shared" si="5"/>
        <v>1</v>
      </c>
    </row>
    <row r="36" spans="1:29" ht="15">
      <c r="A36" s="423"/>
      <c r="B36" s="375" t="s">
        <v>1786</v>
      </c>
      <c r="C36" s="425">
        <f>'数据-取费表'!N6</f>
        <v>0.66669999999999996</v>
      </c>
      <c r="D36" s="386">
        <v>100</v>
      </c>
      <c r="E36" s="425">
        <f>C36</f>
        <v>0.66669999999999996</v>
      </c>
      <c r="F36" s="412">
        <f>LOOKUP(E36,110:110,111:111)-LOOKUP(C36,110:110,111:111)+100</f>
        <v>100</v>
      </c>
      <c r="G36" s="425">
        <f>C36</f>
        <v>0.66669999999999996</v>
      </c>
      <c r="H36" s="412">
        <f>LOOKUP(G36,110:110,111:111)-LOOKUP(C36,110:110,111:111)+100</f>
        <v>100</v>
      </c>
      <c r="I36" s="425">
        <f>C36</f>
        <v>0.66669999999999996</v>
      </c>
      <c r="J36" s="386">
        <f>LOOKUP(I36,110:110,111:111)-LOOKUP(C36,110:110,111:111)+100</f>
        <v>100</v>
      </c>
      <c r="K36" s="561"/>
      <c r="L36" s="2722"/>
      <c r="M36" s="2716"/>
      <c r="N36" s="2716"/>
      <c r="O36" s="2716"/>
      <c r="P36" s="3676"/>
      <c r="Q36" s="1352" t="str">
        <f t="shared" si="11"/>
        <v>成新度</v>
      </c>
      <c r="R36" s="705" t="s">
        <v>14</v>
      </c>
      <c r="S36" s="706">
        <f t="shared" si="12"/>
        <v>100</v>
      </c>
      <c r="T36" s="705" t="s">
        <v>14</v>
      </c>
      <c r="U36" s="706">
        <f t="shared" si="13"/>
        <v>100</v>
      </c>
      <c r="V36" s="705" t="s">
        <v>14</v>
      </c>
      <c r="W36" s="706">
        <f t="shared" si="14"/>
        <v>100</v>
      </c>
      <c r="X36" s="1355"/>
      <c r="Y36" s="3678"/>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6"/>
      <c r="Q37" s="1343"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6" t="s">
        <v>1696</v>
      </c>
      <c r="Q38" s="1352" t="str">
        <f t="shared" si="11"/>
        <v>业态</v>
      </c>
      <c r="R38" s="705" t="s">
        <v>14</v>
      </c>
      <c r="S38" s="706">
        <f t="shared" si="12"/>
        <v>100</v>
      </c>
      <c r="T38" s="705" t="s">
        <v>14</v>
      </c>
      <c r="U38" s="706">
        <f t="shared" si="13"/>
        <v>100</v>
      </c>
      <c r="V38" s="705" t="s">
        <v>14</v>
      </c>
      <c r="W38" s="706">
        <f t="shared" si="14"/>
        <v>100</v>
      </c>
      <c r="X38" s="1355"/>
      <c r="Y38" s="367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6"/>
      <c r="Q39" s="1352" t="str">
        <f t="shared" si="11"/>
        <v>层高</v>
      </c>
      <c r="R39" s="705" t="s">
        <v>14</v>
      </c>
      <c r="S39" s="706">
        <f t="shared" si="12"/>
        <v>100</v>
      </c>
      <c r="T39" s="705" t="s">
        <v>14</v>
      </c>
      <c r="U39" s="706">
        <f t="shared" si="13"/>
        <v>100</v>
      </c>
      <c r="V39" s="705" t="s">
        <v>14</v>
      </c>
      <c r="W39" s="706">
        <f t="shared" si="14"/>
        <v>100</v>
      </c>
      <c r="X39" s="1355"/>
      <c r="Y39" s="367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6"/>
      <c r="Q40" s="1352" t="str">
        <f t="shared" si="11"/>
        <v>单套建筑面积</v>
      </c>
      <c r="R40" s="705" t="s">
        <v>14</v>
      </c>
      <c r="S40" s="706">
        <f t="shared" si="12"/>
        <v>100</v>
      </c>
      <c r="T40" s="705" t="s">
        <v>14</v>
      </c>
      <c r="U40" s="706">
        <f t="shared" si="13"/>
        <v>100</v>
      </c>
      <c r="V40" s="705" t="s">
        <v>14</v>
      </c>
      <c r="W40" s="706">
        <f t="shared" si="14"/>
        <v>100</v>
      </c>
      <c r="X40" s="1355"/>
      <c r="Y40" s="367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6"/>
      <c r="Q42" s="1352" t="str">
        <f t="shared" si="11"/>
        <v>内部装修</v>
      </c>
      <c r="R42" s="705" t="s">
        <v>14</v>
      </c>
      <c r="S42" s="706">
        <f t="shared" si="12"/>
        <v>100</v>
      </c>
      <c r="T42" s="705" t="s">
        <v>14</v>
      </c>
      <c r="U42" s="706">
        <f t="shared" si="13"/>
        <v>100</v>
      </c>
      <c r="V42" s="705" t="s">
        <v>14</v>
      </c>
      <c r="W42" s="706">
        <f t="shared" si="14"/>
        <v>100</v>
      </c>
      <c r="X42" s="1355"/>
      <c r="Y42" s="367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6"/>
      <c r="Q43" s="1352" t="str">
        <f t="shared" si="11"/>
        <v>内部装修维护情况</v>
      </c>
      <c r="R43" s="705" t="s">
        <v>14</v>
      </c>
      <c r="S43" s="706">
        <f t="shared" si="12"/>
        <v>100</v>
      </c>
      <c r="T43" s="705" t="s">
        <v>14</v>
      </c>
      <c r="U43" s="706">
        <f t="shared" si="13"/>
        <v>100</v>
      </c>
      <c r="V43" s="705" t="s">
        <v>14</v>
      </c>
      <c r="W43" s="706">
        <f t="shared" si="14"/>
        <v>100</v>
      </c>
      <c r="X43" s="1355"/>
      <c r="Y43" s="367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6"/>
      <c r="Q44" s="1343">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6"/>
      <c r="Q45" s="1352">
        <f t="shared" si="11"/>
        <v>111</v>
      </c>
      <c r="R45" s="705" t="s">
        <v>14</v>
      </c>
      <c r="S45" s="706">
        <f t="shared" si="12"/>
        <v>100</v>
      </c>
      <c r="T45" s="705" t="s">
        <v>14</v>
      </c>
      <c r="U45" s="706">
        <f t="shared" si="13"/>
        <v>100</v>
      </c>
      <c r="V45" s="705" t="s">
        <v>14</v>
      </c>
      <c r="W45" s="706">
        <f t="shared" si="14"/>
        <v>100</v>
      </c>
      <c r="X45" s="1355"/>
      <c r="Y45" s="367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353">
        <f t="shared" si="5"/>
        <v>1</v>
      </c>
    </row>
    <row r="47" spans="1:29" ht="15">
      <c r="A47" s="430" t="s">
        <v>1708</v>
      </c>
      <c r="B47" s="431"/>
      <c r="C47" s="1154" t="s">
        <v>0</v>
      </c>
      <c r="D47" s="1155"/>
      <c r="E47" s="1156">
        <v>41000</v>
      </c>
      <c r="F47" s="1157"/>
      <c r="G47" s="1158">
        <f>E47</f>
        <v>41000</v>
      </c>
      <c r="H47" s="1159"/>
      <c r="I47" s="1156">
        <f>E47</f>
        <v>41000</v>
      </c>
      <c r="J47" s="1159"/>
      <c r="K47" s="714"/>
      <c r="L47" s="2724"/>
      <c r="M47" s="2725"/>
      <c r="N47" s="2716"/>
      <c r="O47" s="2725"/>
      <c r="P47" s="3671" t="str">
        <f>A47</f>
        <v>成交单价（元/平方米）</v>
      </c>
      <c r="Q47" s="3671"/>
      <c r="R47" s="3702">
        <f>E47</f>
        <v>41000</v>
      </c>
      <c r="S47" s="3702"/>
      <c r="T47" s="3702">
        <f>G47</f>
        <v>41000</v>
      </c>
      <c r="U47" s="3702"/>
      <c r="V47" s="3702">
        <f>I47</f>
        <v>41000</v>
      </c>
      <c r="W47" s="3702"/>
      <c r="X47" s="690"/>
      <c r="Y47" s="712"/>
      <c r="Z47" s="690"/>
      <c r="AA47" s="690"/>
      <c r="AB47" s="690"/>
      <c r="AC47" s="690"/>
    </row>
    <row r="48" spans="1:29" ht="15.75" thickBot="1">
      <c r="A48" s="437" t="s">
        <v>1793</v>
      </c>
      <c r="B48" s="438"/>
      <c r="C48" s="1160">
        <f>R49</f>
        <v>39048</v>
      </c>
      <c r="D48" s="2317" t="s">
        <v>2137</v>
      </c>
      <c r="E48" s="1161">
        <f>R48</f>
        <v>39048</v>
      </c>
      <c r="F48" s="2318"/>
      <c r="G48" s="1160">
        <f>T48</f>
        <v>39048</v>
      </c>
      <c r="H48" s="2318"/>
      <c r="I48" s="1161">
        <f>V48</f>
        <v>39048</v>
      </c>
      <c r="J48" s="2318"/>
      <c r="K48" s="2320">
        <f>F48+H48+J48</f>
        <v>0</v>
      </c>
      <c r="L48" s="2724"/>
      <c r="M48" s="2725"/>
      <c r="N48" s="2716"/>
      <c r="O48" s="2725"/>
      <c r="P48" s="3671" t="str">
        <f>A48</f>
        <v>比较价值（元/平方米）</v>
      </c>
      <c r="Q48" s="3671"/>
      <c r="R48" s="3672">
        <f>IF(F1="售价",ROUND(PRODUCT(R47,AA7:AA46),0),ROUND(PRODUCT(R47,AA7:AA46),1))</f>
        <v>39048</v>
      </c>
      <c r="S48" s="3672"/>
      <c r="T48" s="3672">
        <f>IF(F1="售价",ROUND(PRODUCT(T47,AB7:AB46),0),ROUND(PRODUCT(T47,AB7:AB46),1))</f>
        <v>39048</v>
      </c>
      <c r="U48" s="3672"/>
      <c r="V48" s="3672">
        <f>IF(F1="售价",ROUND(PRODUCT(V47,AC7:AC46),0),ROUND(PRODUCT(V47,AC7:AC46),1))</f>
        <v>39048</v>
      </c>
      <c r="W48" s="3672"/>
      <c r="X48" s="690"/>
      <c r="Y48" s="690"/>
      <c r="Z48" s="690"/>
      <c r="AA48" s="690"/>
      <c r="AB48" s="690"/>
      <c r="AC48" s="690"/>
    </row>
    <row r="49" spans="1:29" ht="15.75" thickBot="1">
      <c r="A49" s="441" t="s">
        <v>1794</v>
      </c>
      <c r="B49" s="442"/>
      <c r="C49" s="1163">
        <f>R49</f>
        <v>39048</v>
      </c>
      <c r="D49" s="1163"/>
      <c r="E49" s="1163"/>
      <c r="F49" s="1163"/>
      <c r="G49" s="1163"/>
      <c r="H49" s="1163"/>
      <c r="I49" s="1163"/>
      <c r="J49" s="1163"/>
      <c r="K49" s="715"/>
      <c r="L49" s="2724"/>
      <c r="M49" s="2725"/>
      <c r="N49" s="2716"/>
      <c r="O49" s="2725"/>
      <c r="P49" s="3668" t="str">
        <f>A49</f>
        <v>估价对象XX用房的比较价值（楼面单价，元/平方米）</v>
      </c>
      <c r="Q49" s="3669"/>
      <c r="R49" s="3670">
        <f>IF(F1="售价",ROUND(IF(D48="简单平均",AVERAGE(R48:V48),R48*F48+T48*H48+V48*J48),0),ROUND(IF(D48="简单平均",AVERAGE(R48:V48),R48*F48+T48*H48+V48*J48),1))</f>
        <v>39048</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4.9989756197500457E-2</v>
      </c>
      <c r="F52" s="449" t="str">
        <f>IF(OR(E52&gt;=0.3,E52&lt;=-0.3),"超过30%","")</f>
        <v/>
      </c>
      <c r="G52" s="448">
        <f>IF(G47&lt;G48,G48/G47-1,G47/G48-1)</f>
        <v>4.9989756197500457E-2</v>
      </c>
      <c r="H52" s="449" t="str">
        <f>IF(OR(G52&gt;=0.3,G52&lt;=-0.3),"超过30%","")</f>
        <v/>
      </c>
      <c r="I52" s="448">
        <f>IF(I47&lt;I48,I48/I47-1,I47/I48-1)</f>
        <v>4.9989756197500457E-2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4" t="s">
        <v>3410</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3405</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3" t="s">
        <v>3404</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862.53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720" t="s">
        <v>1775</v>
      </c>
      <c r="Q4" s="3721"/>
      <c r="R4" s="3724" t="s">
        <v>1771</v>
      </c>
      <c r="S4" s="3725"/>
      <c r="T4" s="3724" t="s">
        <v>1772</v>
      </c>
      <c r="U4" s="3725"/>
      <c r="V4" s="3726" t="s">
        <v>1773</v>
      </c>
      <c r="W4" s="3726"/>
      <c r="X4" s="1958"/>
      <c r="Y4" s="3724" t="s">
        <v>1775</v>
      </c>
      <c r="Z4" s="3725"/>
      <c r="AA4" s="3728" t="s">
        <v>1771</v>
      </c>
      <c r="AB4" s="3728" t="s">
        <v>1772</v>
      </c>
      <c r="AC4" s="3717" t="s">
        <v>1773</v>
      </c>
    </row>
    <row r="5" spans="1:29" ht="15">
      <c r="A5" s="358"/>
      <c r="B5" s="359"/>
      <c r="C5" s="3705" t="s">
        <v>1673</v>
      </c>
      <c r="D5" s="3706"/>
      <c r="E5" s="3712" t="s">
        <v>1674</v>
      </c>
      <c r="F5" s="3713"/>
      <c r="G5" s="3705" t="s">
        <v>1675</v>
      </c>
      <c r="H5" s="3706"/>
      <c r="I5" s="3705" t="s">
        <v>1676</v>
      </c>
      <c r="J5" s="3706"/>
      <c r="K5" s="559"/>
      <c r="L5" s="2715"/>
      <c r="M5" s="2716"/>
      <c r="N5" s="2716"/>
      <c r="O5" s="2716"/>
      <c r="P5" s="3722"/>
      <c r="Q5" s="3693"/>
      <c r="R5" s="3698"/>
      <c r="S5" s="3699"/>
      <c r="T5" s="3698"/>
      <c r="U5" s="3699"/>
      <c r="V5" s="3702"/>
      <c r="W5" s="3702"/>
      <c r="X5" s="1355"/>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723"/>
      <c r="Q6" s="3695"/>
      <c r="R6" s="3698"/>
      <c r="S6" s="3699"/>
      <c r="T6" s="3700"/>
      <c r="U6" s="3701"/>
      <c r="V6" s="3702"/>
      <c r="W6" s="3702"/>
      <c r="X6" s="1355"/>
      <c r="Y6" s="3700"/>
      <c r="Z6" s="3701"/>
      <c r="AA6" s="3685"/>
      <c r="AB6" s="3685"/>
      <c r="AC6" s="3719"/>
    </row>
    <row r="7" spans="1:29" s="108" customFormat="1" ht="15.75" thickBot="1">
      <c r="A7" s="362" t="s">
        <v>1679</v>
      </c>
      <c r="B7" s="363"/>
      <c r="C7" s="364">
        <f>'数据-取费表'!B2</f>
        <v>45146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0" t="s">
        <v>1691</v>
      </c>
      <c r="Q15" s="1352" t="str">
        <f t="shared" si="6"/>
        <v>办公集聚程度</v>
      </c>
      <c r="R15" s="705" t="s">
        <v>14</v>
      </c>
      <c r="S15" s="706">
        <f t="shared" si="0"/>
        <v>100</v>
      </c>
      <c r="T15" s="705" t="s">
        <v>14</v>
      </c>
      <c r="U15" s="706">
        <f t="shared" si="1"/>
        <v>100</v>
      </c>
      <c r="V15" s="705" t="s">
        <v>14</v>
      </c>
      <c r="W15" s="706">
        <f t="shared" si="2"/>
        <v>100</v>
      </c>
      <c r="X15" s="1355"/>
      <c r="Y15" s="367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1"/>
      <c r="Q22" s="1352"/>
      <c r="R22" s="705"/>
      <c r="S22" s="706"/>
      <c r="T22" s="705"/>
      <c r="U22" s="706"/>
      <c r="V22" s="705"/>
      <c r="W22" s="706"/>
      <c r="X22" s="1355"/>
      <c r="Y22" s="367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1"/>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1"/>
      <c r="Q25" s="1352" t="str">
        <f>B25</f>
        <v>毗邻道路的类型与等级</v>
      </c>
      <c r="R25" s="705" t="s">
        <v>14</v>
      </c>
      <c r="S25" s="706">
        <f>F25</f>
        <v>100</v>
      </c>
      <c r="T25" s="705" t="s">
        <v>14</v>
      </c>
      <c r="U25" s="706">
        <f>H25</f>
        <v>100</v>
      </c>
      <c r="V25" s="705" t="s">
        <v>14</v>
      </c>
      <c r="W25" s="706">
        <f>J25</f>
        <v>100</v>
      </c>
      <c r="X25" s="1355"/>
      <c r="Y25" s="367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1"/>
      <c r="Q26" s="1352"/>
      <c r="R26" s="705"/>
      <c r="S26" s="706"/>
      <c r="T26" s="705"/>
      <c r="U26" s="706"/>
      <c r="V26" s="705"/>
      <c r="W26" s="706"/>
      <c r="X26" s="1355"/>
      <c r="Y26" s="367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1"/>
      <c r="Q27" s="1352" t="str">
        <f t="shared" ref="Q27:Q47" si="11">B27</f>
        <v>楼层</v>
      </c>
      <c r="R27" s="705" t="s">
        <v>14</v>
      </c>
      <c r="S27" s="706">
        <f>F27</f>
        <v>100</v>
      </c>
      <c r="T27" s="705" t="s">
        <v>14</v>
      </c>
      <c r="U27" s="706">
        <f>H27</f>
        <v>100</v>
      </c>
      <c r="V27" s="705" t="s">
        <v>14</v>
      </c>
      <c r="W27" s="706">
        <f>J27</f>
        <v>100</v>
      </c>
      <c r="X27" s="1355"/>
      <c r="Y27" s="367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1"/>
      <c r="Q28" s="1343" t="str">
        <f t="shared" si="11"/>
        <v>朝向</v>
      </c>
      <c r="R28" s="701" t="s">
        <v>14</v>
      </c>
      <c r="S28" s="702">
        <f>F28</f>
        <v>100</v>
      </c>
      <c r="T28" s="701" t="s">
        <v>14</v>
      </c>
      <c r="U28" s="702">
        <f>H28</f>
        <v>100</v>
      </c>
      <c r="V28" s="701" t="s">
        <v>14</v>
      </c>
      <c r="W28" s="702">
        <f>J28</f>
        <v>100</v>
      </c>
      <c r="X28" s="703"/>
      <c r="Y28" s="367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5" t="s">
        <v>1696</v>
      </c>
      <c r="Q33" s="1352" t="str">
        <f t="shared" si="11"/>
        <v>建筑类型</v>
      </c>
      <c r="R33" s="705" t="s">
        <v>14</v>
      </c>
      <c r="S33" s="706">
        <f t="shared" si="12"/>
        <v>100</v>
      </c>
      <c r="T33" s="705" t="s">
        <v>14</v>
      </c>
      <c r="U33" s="706">
        <f t="shared" si="13"/>
        <v>100</v>
      </c>
      <c r="V33" s="705" t="s">
        <v>14</v>
      </c>
      <c r="W33" s="706">
        <f t="shared" si="14"/>
        <v>100</v>
      </c>
      <c r="X33" s="1355"/>
      <c r="Y33" s="367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6"/>
      <c r="Q35" s="1352" t="str">
        <f t="shared" si="11"/>
        <v>建筑结构</v>
      </c>
      <c r="R35" s="705" t="s">
        <v>14</v>
      </c>
      <c r="S35" s="706">
        <f t="shared" si="12"/>
        <v>100</v>
      </c>
      <c r="T35" s="705" t="s">
        <v>14</v>
      </c>
      <c r="U35" s="706">
        <f t="shared" si="13"/>
        <v>100</v>
      </c>
      <c r="V35" s="705" t="s">
        <v>14</v>
      </c>
      <c r="W35" s="706">
        <f t="shared" si="14"/>
        <v>100</v>
      </c>
      <c r="X35" s="1355"/>
      <c r="Y35" s="367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6"/>
      <c r="Q36" s="1352" t="str">
        <f t="shared" si="11"/>
        <v>公共部分装修</v>
      </c>
      <c r="R36" s="705" t="s">
        <v>14</v>
      </c>
      <c r="S36" s="706">
        <f t="shared" si="12"/>
        <v>100</v>
      </c>
      <c r="T36" s="705" t="s">
        <v>14</v>
      </c>
      <c r="U36" s="706">
        <f t="shared" si="13"/>
        <v>100</v>
      </c>
      <c r="V36" s="705" t="s">
        <v>14</v>
      </c>
      <c r="W36" s="706">
        <f t="shared" si="14"/>
        <v>100</v>
      </c>
      <c r="X36" s="1355"/>
      <c r="Y36" s="367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6"/>
      <c r="Q37" s="1352" t="str">
        <f t="shared" si="11"/>
        <v>成新度</v>
      </c>
      <c r="R37" s="705" t="s">
        <v>14</v>
      </c>
      <c r="S37" s="706" t="e">
        <f t="shared" si="12"/>
        <v>#N/A</v>
      </c>
      <c r="T37" s="705" t="s">
        <v>14</v>
      </c>
      <c r="U37" s="706" t="e">
        <f t="shared" si="13"/>
        <v>#N/A</v>
      </c>
      <c r="V37" s="705" t="s">
        <v>14</v>
      </c>
      <c r="W37" s="706" t="e">
        <f t="shared" si="14"/>
        <v>#N/A</v>
      </c>
      <c r="X37" s="1355"/>
      <c r="Y37" s="367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6"/>
      <c r="Q38" s="1343"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6" t="s">
        <v>1696</v>
      </c>
      <c r="Q39" s="1352" t="str">
        <f t="shared" si="11"/>
        <v>物业管理</v>
      </c>
      <c r="R39" s="705" t="s">
        <v>14</v>
      </c>
      <c r="S39" s="706">
        <f t="shared" si="12"/>
        <v>100</v>
      </c>
      <c r="T39" s="705" t="s">
        <v>14</v>
      </c>
      <c r="U39" s="706">
        <f t="shared" si="13"/>
        <v>100</v>
      </c>
      <c r="V39" s="705" t="s">
        <v>14</v>
      </c>
      <c r="W39" s="706">
        <f t="shared" si="14"/>
        <v>100</v>
      </c>
      <c r="X39" s="1355"/>
      <c r="Y39" s="367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6"/>
      <c r="Q40" s="1352" t="str">
        <f t="shared" si="11"/>
        <v>市政基础设施</v>
      </c>
      <c r="R40" s="705" t="s">
        <v>14</v>
      </c>
      <c r="S40" s="706">
        <f t="shared" si="12"/>
        <v>100</v>
      </c>
      <c r="T40" s="705" t="s">
        <v>14</v>
      </c>
      <c r="U40" s="706">
        <f t="shared" si="13"/>
        <v>100</v>
      </c>
      <c r="V40" s="705" t="s">
        <v>14</v>
      </c>
      <c r="W40" s="706">
        <f t="shared" si="14"/>
        <v>100</v>
      </c>
      <c r="X40" s="1355"/>
      <c r="Y40" s="367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6"/>
      <c r="Q41" s="1352" t="str">
        <f t="shared" si="11"/>
        <v>层高</v>
      </c>
      <c r="R41" s="705" t="s">
        <v>14</v>
      </c>
      <c r="S41" s="706">
        <f t="shared" si="12"/>
        <v>100</v>
      </c>
      <c r="T41" s="705" t="s">
        <v>14</v>
      </c>
      <c r="U41" s="706">
        <f t="shared" si="13"/>
        <v>100</v>
      </c>
      <c r="V41" s="705" t="s">
        <v>14</v>
      </c>
      <c r="W41" s="706">
        <f t="shared" si="14"/>
        <v>100</v>
      </c>
      <c r="X41" s="1355"/>
      <c r="Y41" s="367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6"/>
      <c r="Q43" s="1352" t="str">
        <f t="shared" si="11"/>
        <v>内部装修</v>
      </c>
      <c r="R43" s="705" t="s">
        <v>14</v>
      </c>
      <c r="S43" s="706">
        <f t="shared" si="12"/>
        <v>100</v>
      </c>
      <c r="T43" s="705" t="s">
        <v>14</v>
      </c>
      <c r="U43" s="706">
        <f t="shared" si="13"/>
        <v>100</v>
      </c>
      <c r="V43" s="705" t="s">
        <v>14</v>
      </c>
      <c r="W43" s="706">
        <f t="shared" si="14"/>
        <v>100</v>
      </c>
      <c r="X43" s="1355"/>
      <c r="Y43" s="367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6"/>
      <c r="Q44" s="1352" t="str">
        <f t="shared" si="11"/>
        <v>内部装修维护情况</v>
      </c>
      <c r="R44" s="705" t="s">
        <v>14</v>
      </c>
      <c r="S44" s="706">
        <f t="shared" si="12"/>
        <v>100</v>
      </c>
      <c r="T44" s="705" t="s">
        <v>14</v>
      </c>
      <c r="U44" s="706">
        <f t="shared" si="13"/>
        <v>100</v>
      </c>
      <c r="V44" s="705" t="s">
        <v>14</v>
      </c>
      <c r="W44" s="706">
        <f t="shared" si="14"/>
        <v>100</v>
      </c>
      <c r="X44" s="1355"/>
      <c r="Y44" s="367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6"/>
      <c r="Q45" s="1343">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7"/>
      <c r="Q47" s="1352">
        <f t="shared" si="11"/>
        <v>111</v>
      </c>
      <c r="R47" s="705" t="s">
        <v>14</v>
      </c>
      <c r="S47" s="706">
        <f t="shared" si="12"/>
        <v>100</v>
      </c>
      <c r="T47" s="705" t="s">
        <v>14</v>
      </c>
      <c r="U47" s="706">
        <f t="shared" si="13"/>
        <v>100</v>
      </c>
      <c r="V47" s="705" t="s">
        <v>14</v>
      </c>
      <c r="W47" s="706">
        <f t="shared" si="14"/>
        <v>100</v>
      </c>
      <c r="X47" s="1355"/>
      <c r="Y47" s="367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671"/>
      <c r="R48" s="3672">
        <f>E48</f>
        <v>0</v>
      </c>
      <c r="S48" s="3672"/>
      <c r="T48" s="3672">
        <f>G48</f>
        <v>0</v>
      </c>
      <c r="U48" s="3672"/>
      <c r="V48" s="3672">
        <f>I48</f>
        <v>0</v>
      </c>
      <c r="W48" s="3672"/>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862.53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3"/>
      <c r="M5" s="914"/>
      <c r="N5" s="914"/>
      <c r="O5" s="914"/>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3"/>
      <c r="M6" s="914"/>
      <c r="N6" s="914"/>
      <c r="O6" s="914"/>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45146</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7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2" t="str">
        <f t="shared" si="11"/>
        <v>建筑结构</v>
      </c>
      <c r="R31" s="705" t="s">
        <v>14</v>
      </c>
      <c r="S31" s="706">
        <f t="shared" si="12"/>
        <v>100</v>
      </c>
      <c r="T31" s="705" t="s">
        <v>14</v>
      </c>
      <c r="U31" s="706">
        <f t="shared" si="13"/>
        <v>100</v>
      </c>
      <c r="V31" s="705" t="s">
        <v>14</v>
      </c>
      <c r="W31" s="706">
        <f t="shared" si="14"/>
        <v>100</v>
      </c>
      <c r="X31" s="1355"/>
      <c r="Y31" s="367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2" t="str">
        <f t="shared" si="11"/>
        <v>公共部分装修</v>
      </c>
      <c r="R32" s="705" t="s">
        <v>14</v>
      </c>
      <c r="S32" s="706">
        <f t="shared" si="12"/>
        <v>100</v>
      </c>
      <c r="T32" s="705" t="s">
        <v>14</v>
      </c>
      <c r="U32" s="706">
        <f t="shared" si="13"/>
        <v>100</v>
      </c>
      <c r="V32" s="705" t="s">
        <v>14</v>
      </c>
      <c r="W32" s="706">
        <f t="shared" si="14"/>
        <v>100</v>
      </c>
      <c r="X32" s="1355"/>
      <c r="Y32" s="367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2" t="str">
        <f t="shared" si="11"/>
        <v>成新度</v>
      </c>
      <c r="R33" s="705" t="s">
        <v>14</v>
      </c>
      <c r="S33" s="706" t="e">
        <f t="shared" si="12"/>
        <v>#N/A</v>
      </c>
      <c r="T33" s="705" t="s">
        <v>14</v>
      </c>
      <c r="U33" s="706" t="e">
        <f t="shared" si="13"/>
        <v>#N/A</v>
      </c>
      <c r="V33" s="705" t="s">
        <v>14</v>
      </c>
      <c r="W33" s="706" t="e">
        <f t="shared" si="14"/>
        <v>#N/A</v>
      </c>
      <c r="X33" s="1355"/>
      <c r="Y33" s="367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3"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2" t="str">
        <f t="shared" si="11"/>
        <v>市政基础设施</v>
      </c>
      <c r="R35" s="705" t="s">
        <v>14</v>
      </c>
      <c r="S35" s="706">
        <f t="shared" si="12"/>
        <v>100</v>
      </c>
      <c r="T35" s="705" t="s">
        <v>14</v>
      </c>
      <c r="U35" s="706">
        <f t="shared" si="13"/>
        <v>100</v>
      </c>
      <c r="V35" s="705" t="s">
        <v>14</v>
      </c>
      <c r="W35" s="706">
        <f t="shared" si="14"/>
        <v>100</v>
      </c>
      <c r="X35" s="1355"/>
      <c r="Y35" s="367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2" t="str">
        <f t="shared" si="11"/>
        <v>内部装修</v>
      </c>
      <c r="R36" s="705" t="s">
        <v>14</v>
      </c>
      <c r="S36" s="706">
        <f t="shared" si="12"/>
        <v>100</v>
      </c>
      <c r="T36" s="705" t="s">
        <v>14</v>
      </c>
      <c r="U36" s="706">
        <f t="shared" si="13"/>
        <v>100</v>
      </c>
      <c r="V36" s="705" t="s">
        <v>14</v>
      </c>
      <c r="W36" s="706">
        <f t="shared" si="14"/>
        <v>100</v>
      </c>
      <c r="X36" s="1355"/>
      <c r="Y36" s="367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2" t="str">
        <f t="shared" si="11"/>
        <v>内部装修状况</v>
      </c>
      <c r="R37" s="705" t="s">
        <v>14</v>
      </c>
      <c r="S37" s="706">
        <f t="shared" si="12"/>
        <v>100</v>
      </c>
      <c r="T37" s="705" t="s">
        <v>14</v>
      </c>
      <c r="U37" s="706">
        <f t="shared" si="13"/>
        <v>100</v>
      </c>
      <c r="V37" s="705" t="s">
        <v>14</v>
      </c>
      <c r="W37" s="706">
        <f t="shared" si="14"/>
        <v>100</v>
      </c>
      <c r="X37" s="1355"/>
      <c r="Y37" s="367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2">
        <f t="shared" si="11"/>
        <v>111</v>
      </c>
      <c r="R39" s="705" t="s">
        <v>14</v>
      </c>
      <c r="S39" s="706">
        <f t="shared" si="12"/>
        <v>100</v>
      </c>
      <c r="T39" s="705" t="s">
        <v>14</v>
      </c>
      <c r="U39" s="706">
        <f t="shared" si="13"/>
        <v>100</v>
      </c>
      <c r="V39" s="705" t="s">
        <v>14</v>
      </c>
      <c r="W39" s="706">
        <f t="shared" si="14"/>
        <v>100</v>
      </c>
      <c r="X39" s="1355"/>
      <c r="Y39" s="367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2">
        <f t="shared" si="11"/>
        <v>111</v>
      </c>
      <c r="R40" s="705" t="s">
        <v>14</v>
      </c>
      <c r="S40" s="706">
        <f t="shared" si="12"/>
        <v>100</v>
      </c>
      <c r="T40" s="705" t="s">
        <v>14</v>
      </c>
      <c r="U40" s="706">
        <f t="shared" si="13"/>
        <v>100</v>
      </c>
      <c r="V40" s="705" t="s">
        <v>14</v>
      </c>
      <c r="W40" s="706">
        <f t="shared" si="14"/>
        <v>100</v>
      </c>
      <c r="X40" s="1355"/>
      <c r="Y40" s="367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估价对象为北京市房地产，为所有。根据《国有土地使用证》[]，估价对象（分摊）出让国有建设用地使用权面积为0平方米，建筑面积为862.53平方米。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估价对象为北京市房地产,属开发建设的，该项目尚在开发建设中。根据《国有土地使用证》[]，估价对象（分摊）出让国有建设用地使用权面积为0平方米，规划建筑面积为862.53平方米。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45146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4"/>
      <c r="Q15" s="1352"/>
      <c r="R15" s="705"/>
      <c r="S15" s="706"/>
      <c r="T15" s="705"/>
      <c r="U15" s="706"/>
      <c r="V15" s="705"/>
      <c r="W15" s="706"/>
      <c r="X15" s="1355"/>
      <c r="Y15" s="367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4"/>
      <c r="Q17" s="1352"/>
      <c r="R17" s="705"/>
      <c r="S17" s="706"/>
      <c r="T17" s="705"/>
      <c r="U17" s="706"/>
      <c r="V17" s="705"/>
      <c r="W17" s="706"/>
      <c r="X17" s="1355"/>
      <c r="Y17" s="367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4"/>
      <c r="Q19" s="1352"/>
      <c r="R19" s="705"/>
      <c r="S19" s="706"/>
      <c r="T19" s="705"/>
      <c r="U19" s="706"/>
      <c r="V19" s="705"/>
      <c r="W19" s="706"/>
      <c r="X19" s="1355"/>
      <c r="Y19" s="367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4"/>
      <c r="Q21" s="1352"/>
      <c r="R21" s="705"/>
      <c r="S21" s="706"/>
      <c r="T21" s="705"/>
      <c r="U21" s="706"/>
      <c r="V21" s="705"/>
      <c r="W21" s="706"/>
      <c r="X21" s="1355"/>
      <c r="Y21" s="367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8"/>
      <c r="Q28" s="1352" t="str">
        <f t="shared" si="11"/>
        <v>公共部分装修</v>
      </c>
      <c r="R28" s="705" t="s">
        <v>14</v>
      </c>
      <c r="S28" s="706">
        <f t="shared" si="12"/>
        <v>100</v>
      </c>
      <c r="T28" s="705" t="s">
        <v>14</v>
      </c>
      <c r="U28" s="706">
        <f t="shared" si="13"/>
        <v>100</v>
      </c>
      <c r="V28" s="705" t="s">
        <v>14</v>
      </c>
      <c r="W28" s="706">
        <f t="shared" si="14"/>
        <v>100</v>
      </c>
      <c r="X28" s="1355"/>
      <c r="Y28" s="367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8"/>
      <c r="Q29" s="1352" t="str">
        <f t="shared" si="11"/>
        <v>成新率</v>
      </c>
      <c r="R29" s="705" t="s">
        <v>14</v>
      </c>
      <c r="S29" s="706" t="e">
        <f t="shared" si="12"/>
        <v>#N/A</v>
      </c>
      <c r="T29" s="705" t="s">
        <v>14</v>
      </c>
      <c r="U29" s="706" t="e">
        <f t="shared" si="13"/>
        <v>#N/A</v>
      </c>
      <c r="V29" s="705" t="s">
        <v>14</v>
      </c>
      <c r="W29" s="706" t="e">
        <f t="shared" si="14"/>
        <v>#N/A</v>
      </c>
      <c r="X29" s="1355"/>
      <c r="Y29" s="367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8"/>
      <c r="Q30" s="1352" t="str">
        <f t="shared" si="11"/>
        <v>物业等级</v>
      </c>
      <c r="R30" s="705" t="s">
        <v>14</v>
      </c>
      <c r="S30" s="706">
        <f t="shared" si="12"/>
        <v>100</v>
      </c>
      <c r="T30" s="705" t="s">
        <v>14</v>
      </c>
      <c r="U30" s="706">
        <f t="shared" si="13"/>
        <v>100</v>
      </c>
      <c r="V30" s="705" t="s">
        <v>14</v>
      </c>
      <c r="W30" s="706">
        <f t="shared" si="14"/>
        <v>100</v>
      </c>
      <c r="X30" s="1355"/>
      <c r="Y30" s="367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8"/>
      <c r="Q31" s="1343"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8" t="s">
        <v>1696</v>
      </c>
      <c r="Q32" s="1352" t="str">
        <f t="shared" si="11"/>
        <v>车位类型</v>
      </c>
      <c r="R32" s="705" t="s">
        <v>14</v>
      </c>
      <c r="S32" s="706">
        <f t="shared" si="12"/>
        <v>100</v>
      </c>
      <c r="T32" s="705" t="s">
        <v>14</v>
      </c>
      <c r="U32" s="706">
        <f t="shared" si="13"/>
        <v>100</v>
      </c>
      <c r="V32" s="705" t="s">
        <v>14</v>
      </c>
      <c r="W32" s="706">
        <f t="shared" si="14"/>
        <v>100</v>
      </c>
      <c r="X32" s="1355"/>
      <c r="Y32" s="367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8"/>
      <c r="Q33" s="1352" t="str">
        <f t="shared" si="11"/>
        <v>是否直接入户</v>
      </c>
      <c r="R33" s="705" t="s">
        <v>14</v>
      </c>
      <c r="S33" s="706">
        <f t="shared" si="12"/>
        <v>100</v>
      </c>
      <c r="T33" s="705" t="s">
        <v>14</v>
      </c>
      <c r="U33" s="706">
        <f t="shared" si="13"/>
        <v>100</v>
      </c>
      <c r="V33" s="705" t="s">
        <v>14</v>
      </c>
      <c r="W33" s="706">
        <f t="shared" si="14"/>
        <v>100</v>
      </c>
      <c r="X33" s="1355"/>
      <c r="Y33" s="367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8"/>
      <c r="Q36" s="1352">
        <f t="shared" si="11"/>
        <v>111</v>
      </c>
      <c r="R36" s="705" t="s">
        <v>14</v>
      </c>
      <c r="S36" s="706">
        <f t="shared" si="12"/>
        <v>100</v>
      </c>
      <c r="T36" s="705" t="s">
        <v>14</v>
      </c>
      <c r="U36" s="706">
        <f t="shared" si="13"/>
        <v>100</v>
      </c>
      <c r="V36" s="705" t="s">
        <v>14</v>
      </c>
      <c r="W36" s="706">
        <f t="shared" si="14"/>
        <v>100</v>
      </c>
      <c r="X36" s="1355"/>
      <c r="Y36" s="367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8" t="str">
        <f>A39</f>
        <v>估价对象XX用房的比较价值（楼面单价，元/平方米）</v>
      </c>
      <c r="Q39" s="366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1" sqref="E2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45146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4"/>
      <c r="Q15" s="1352"/>
      <c r="R15" s="705"/>
      <c r="S15" s="706"/>
      <c r="T15" s="705"/>
      <c r="U15" s="706"/>
      <c r="V15" s="705"/>
      <c r="W15" s="706"/>
      <c r="X15" s="1355"/>
      <c r="Y15" s="367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4"/>
      <c r="Q17" s="1352"/>
      <c r="R17" s="705"/>
      <c r="S17" s="706"/>
      <c r="T17" s="705"/>
      <c r="U17" s="706"/>
      <c r="V17" s="705"/>
      <c r="W17" s="706"/>
      <c r="X17" s="1355"/>
      <c r="Y17" s="367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4"/>
      <c r="Q19" s="1352"/>
      <c r="R19" s="705"/>
      <c r="S19" s="706"/>
      <c r="T19" s="705"/>
      <c r="U19" s="706"/>
      <c r="V19" s="705"/>
      <c r="W19" s="706"/>
      <c r="X19" s="1355"/>
      <c r="Y19" s="367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4"/>
      <c r="Q21" s="1352"/>
      <c r="R21" s="705"/>
      <c r="S21" s="706"/>
      <c r="T21" s="705"/>
      <c r="U21" s="706"/>
      <c r="V21" s="705"/>
      <c r="W21" s="706"/>
      <c r="X21" s="1355"/>
      <c r="Y21" s="367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8"/>
      <c r="Q28" s="1352" t="str">
        <f t="shared" si="11"/>
        <v>物业等级</v>
      </c>
      <c r="R28" s="705" t="s">
        <v>14</v>
      </c>
      <c r="S28" s="706">
        <f t="shared" si="12"/>
        <v>100</v>
      </c>
      <c r="T28" s="705" t="s">
        <v>14</v>
      </c>
      <c r="U28" s="706">
        <f t="shared" si="13"/>
        <v>100</v>
      </c>
      <c r="V28" s="705" t="s">
        <v>14</v>
      </c>
      <c r="W28" s="706">
        <f t="shared" si="14"/>
        <v>100</v>
      </c>
      <c r="X28" s="1355"/>
      <c r="Y28" s="367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8"/>
      <c r="Q29" s="1352" t="str">
        <f t="shared" si="11"/>
        <v>有无电梯</v>
      </c>
      <c r="R29" s="705" t="s">
        <v>14</v>
      </c>
      <c r="S29" s="706">
        <f t="shared" si="12"/>
        <v>100</v>
      </c>
      <c r="T29" s="705" t="s">
        <v>14</v>
      </c>
      <c r="U29" s="706">
        <f t="shared" si="13"/>
        <v>100</v>
      </c>
      <c r="V29" s="705" t="s">
        <v>14</v>
      </c>
      <c r="W29" s="706">
        <f t="shared" si="14"/>
        <v>100</v>
      </c>
      <c r="X29" s="1355"/>
      <c r="Y29" s="367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8"/>
      <c r="Q30" s="1352" t="str">
        <f t="shared" si="11"/>
        <v>建筑面积</v>
      </c>
      <c r="R30" s="705" t="s">
        <v>14</v>
      </c>
      <c r="S30" s="706" t="e">
        <f t="shared" si="12"/>
        <v>#N/A</v>
      </c>
      <c r="T30" s="705" t="s">
        <v>14</v>
      </c>
      <c r="U30" s="706" t="e">
        <f t="shared" si="13"/>
        <v>#N/A</v>
      </c>
      <c r="V30" s="705" t="s">
        <v>14</v>
      </c>
      <c r="W30" s="706" t="e">
        <f t="shared" si="14"/>
        <v>#N/A</v>
      </c>
      <c r="X30" s="1355"/>
      <c r="Y30" s="367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8"/>
      <c r="Q31" s="1343"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8" t="s">
        <v>1696</v>
      </c>
      <c r="Q32" s="1352">
        <f t="shared" si="11"/>
        <v>111</v>
      </c>
      <c r="R32" s="705" t="s">
        <v>14</v>
      </c>
      <c r="S32" s="706">
        <f t="shared" si="12"/>
        <v>100</v>
      </c>
      <c r="T32" s="705" t="s">
        <v>14</v>
      </c>
      <c r="U32" s="706">
        <f t="shared" si="13"/>
        <v>100</v>
      </c>
      <c r="V32" s="705" t="s">
        <v>14</v>
      </c>
      <c r="W32" s="706">
        <f t="shared" si="14"/>
        <v>100</v>
      </c>
      <c r="X32" s="1355"/>
      <c r="Y32" s="367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8"/>
      <c r="Q33" s="1352">
        <f t="shared" si="11"/>
        <v>111</v>
      </c>
      <c r="R33" s="705" t="s">
        <v>14</v>
      </c>
      <c r="S33" s="706">
        <f t="shared" si="12"/>
        <v>100</v>
      </c>
      <c r="T33" s="705" t="s">
        <v>14</v>
      </c>
      <c r="U33" s="706">
        <f t="shared" si="13"/>
        <v>100</v>
      </c>
      <c r="V33" s="705" t="s">
        <v>14</v>
      </c>
      <c r="W33" s="706">
        <f t="shared" si="14"/>
        <v>100</v>
      </c>
      <c r="X33" s="1355"/>
      <c r="Y33" s="367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8" t="str">
        <f>A37</f>
        <v>估价对象XX用房的比较价值（楼面单价，元/平方米）</v>
      </c>
      <c r="Q37" s="366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1" sqref="E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30" s="108" customFormat="1" ht="15.75" thickBot="1">
      <c r="A7" s="362" t="s">
        <v>1679</v>
      </c>
      <c r="B7" s="363"/>
      <c r="C7" s="364">
        <f>'数据-取费表'!B2</f>
        <v>45146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71"/>
      <c r="Q10" s="1343" t="str">
        <f t="shared" si="6"/>
        <v>土地使用年限（年）</v>
      </c>
      <c r="R10" s="701" t="s">
        <v>14</v>
      </c>
      <c r="S10" s="702">
        <f t="shared" si="0"/>
        <v>123</v>
      </c>
      <c r="T10" s="701" t="s">
        <v>14</v>
      </c>
      <c r="U10" s="702">
        <f t="shared" si="1"/>
        <v>123</v>
      </c>
      <c r="V10" s="701" t="s">
        <v>14</v>
      </c>
      <c r="W10" s="702">
        <f t="shared" si="2"/>
        <v>123</v>
      </c>
      <c r="X10" s="703"/>
      <c r="Y10" s="3546"/>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1"/>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3" t="s">
        <v>1691</v>
      </c>
      <c r="Q15" s="1352" t="str">
        <f t="shared" si="6"/>
        <v>居住社区成熟度</v>
      </c>
      <c r="R15" s="705" t="s">
        <v>14</v>
      </c>
      <c r="S15" s="706">
        <f t="shared" si="0"/>
        <v>100</v>
      </c>
      <c r="T15" s="705" t="s">
        <v>14</v>
      </c>
      <c r="U15" s="706">
        <f t="shared" si="1"/>
        <v>100</v>
      </c>
      <c r="V15" s="705" t="s">
        <v>14</v>
      </c>
      <c r="W15" s="706">
        <f t="shared" si="2"/>
        <v>100</v>
      </c>
      <c r="X15" s="1355"/>
      <c r="Y15" s="367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4"/>
      <c r="Q20" s="1352"/>
      <c r="R20" s="705"/>
      <c r="S20" s="706"/>
      <c r="T20" s="705"/>
      <c r="U20" s="706"/>
      <c r="V20" s="705"/>
      <c r="W20" s="706"/>
      <c r="X20" s="1355"/>
      <c r="Y20" s="367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4"/>
      <c r="Q24" s="1352"/>
      <c r="R24" s="705"/>
      <c r="S24" s="706"/>
      <c r="T24" s="705"/>
      <c r="U24" s="706"/>
      <c r="V24" s="705"/>
      <c r="W24" s="706"/>
      <c r="X24" s="1355"/>
      <c r="Y24" s="367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4"/>
      <c r="Q26" s="1352"/>
      <c r="R26" s="705"/>
      <c r="S26" s="706"/>
      <c r="T26" s="705"/>
      <c r="U26" s="706"/>
      <c r="V26" s="705"/>
      <c r="W26" s="706"/>
      <c r="X26" s="1355"/>
      <c r="Y26" s="367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4"/>
      <c r="Q28" s="1343"/>
      <c r="R28" s="701"/>
      <c r="S28" s="702"/>
      <c r="T28" s="701"/>
      <c r="U28" s="702"/>
      <c r="V28" s="701"/>
      <c r="W28" s="702"/>
      <c r="X28" s="703"/>
      <c r="Y28" s="367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4"/>
      <c r="Q30" s="1343"/>
      <c r="R30" s="701"/>
      <c r="S30" s="702"/>
      <c r="T30" s="701"/>
      <c r="U30" s="702"/>
      <c r="V30" s="701"/>
      <c r="W30" s="702"/>
      <c r="X30" s="703"/>
      <c r="Y30" s="367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4"/>
      <c r="Q33" s="1352"/>
      <c r="R33" s="705"/>
      <c r="S33" s="706"/>
      <c r="T33" s="705"/>
      <c r="U33" s="706"/>
      <c r="V33" s="705"/>
      <c r="W33" s="706"/>
      <c r="X33" s="1355"/>
      <c r="Y33" s="367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9" t="s">
        <v>1696</v>
      </c>
      <c r="Q36" s="1352">
        <f t="shared" si="8"/>
        <v>111</v>
      </c>
      <c r="R36" s="705" t="s">
        <v>14</v>
      </c>
      <c r="S36" s="706">
        <f t="shared" si="10"/>
        <v>100</v>
      </c>
      <c r="T36" s="705" t="s">
        <v>14</v>
      </c>
      <c r="U36" s="706">
        <f t="shared" si="11"/>
        <v>100</v>
      </c>
      <c r="V36" s="705" t="s">
        <v>14</v>
      </c>
      <c r="W36" s="706">
        <f t="shared" si="12"/>
        <v>100</v>
      </c>
      <c r="X36" s="1355"/>
      <c r="Y36" s="367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8"/>
      <c r="Q37" s="1352">
        <f t="shared" si="8"/>
        <v>111</v>
      </c>
      <c r="R37" s="708" t="s">
        <v>14</v>
      </c>
      <c r="S37" s="709">
        <f t="shared" si="10"/>
        <v>100</v>
      </c>
      <c r="T37" s="708" t="s">
        <v>14</v>
      </c>
      <c r="U37" s="709">
        <f t="shared" si="11"/>
        <v>100</v>
      </c>
      <c r="V37" s="708" t="s">
        <v>14</v>
      </c>
      <c r="W37" s="709">
        <f t="shared" si="12"/>
        <v>100</v>
      </c>
      <c r="X37" s="710"/>
      <c r="Y37" s="367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8"/>
      <c r="Q38" s="1352" t="str">
        <f>B38</f>
        <v>宗地面积</v>
      </c>
      <c r="R38" s="705" t="s">
        <v>14</v>
      </c>
      <c r="S38" s="706" t="e">
        <f t="shared" si="10"/>
        <v>#N/A</v>
      </c>
      <c r="T38" s="705" t="s">
        <v>14</v>
      </c>
      <c r="U38" s="706" t="e">
        <f t="shared" si="11"/>
        <v>#N/A</v>
      </c>
      <c r="V38" s="705" t="s">
        <v>14</v>
      </c>
      <c r="W38" s="706" t="e">
        <f t="shared" si="12"/>
        <v>#N/A</v>
      </c>
      <c r="X38" s="1355"/>
      <c r="Y38" s="367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8"/>
      <c r="Q39" s="1352" t="str">
        <f t="shared" ref="Q39:Q45" si="14">B39</f>
        <v>宗地形状</v>
      </c>
      <c r="R39" s="705" t="s">
        <v>14</v>
      </c>
      <c r="S39" s="706">
        <f t="shared" si="10"/>
        <v>100</v>
      </c>
      <c r="T39" s="705" t="s">
        <v>14</v>
      </c>
      <c r="U39" s="706">
        <f t="shared" si="11"/>
        <v>100</v>
      </c>
      <c r="V39" s="705" t="s">
        <v>14</v>
      </c>
      <c r="W39" s="706">
        <f t="shared" si="12"/>
        <v>100</v>
      </c>
      <c r="X39" s="1355"/>
      <c r="Y39" s="367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8"/>
      <c r="Q40" s="1352" t="str">
        <f t="shared" si="14"/>
        <v>临街宽度及深度</v>
      </c>
      <c r="R40" s="705" t="s">
        <v>14</v>
      </c>
      <c r="S40" s="706">
        <f t="shared" si="10"/>
        <v>100</v>
      </c>
      <c r="T40" s="705" t="s">
        <v>14</v>
      </c>
      <c r="U40" s="706">
        <f t="shared" si="11"/>
        <v>100</v>
      </c>
      <c r="V40" s="705" t="s">
        <v>14</v>
      </c>
      <c r="W40" s="706">
        <f t="shared" si="12"/>
        <v>100</v>
      </c>
      <c r="X40" s="1355"/>
      <c r="Y40" s="367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8"/>
      <c r="Q41" s="1352"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8" t="s">
        <v>1696</v>
      </c>
      <c r="Q42" s="1352" t="str">
        <f t="shared" si="14"/>
        <v>工程地质条件</v>
      </c>
      <c r="R42" s="705" t="s">
        <v>14</v>
      </c>
      <c r="S42" s="706">
        <f t="shared" si="10"/>
        <v>100</v>
      </c>
      <c r="T42" s="705" t="s">
        <v>14</v>
      </c>
      <c r="U42" s="706">
        <f t="shared" si="11"/>
        <v>100</v>
      </c>
      <c r="V42" s="705" t="s">
        <v>14</v>
      </c>
      <c r="W42" s="706">
        <f t="shared" si="12"/>
        <v>100</v>
      </c>
      <c r="X42" s="1355"/>
      <c r="Y42" s="367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8"/>
      <c r="Q43" s="1352">
        <f t="shared" si="14"/>
        <v>111</v>
      </c>
      <c r="R43" s="705" t="s">
        <v>14</v>
      </c>
      <c r="S43" s="706">
        <f t="shared" si="10"/>
        <v>100</v>
      </c>
      <c r="T43" s="705" t="s">
        <v>14</v>
      </c>
      <c r="U43" s="706">
        <f t="shared" si="11"/>
        <v>100</v>
      </c>
      <c r="V43" s="705" t="s">
        <v>14</v>
      </c>
      <c r="W43" s="706">
        <f t="shared" si="12"/>
        <v>100</v>
      </c>
      <c r="X43" s="1355"/>
      <c r="Y43" s="367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8"/>
      <c r="Q44" s="1352">
        <f t="shared" si="14"/>
        <v>111</v>
      </c>
      <c r="R44" s="705" t="s">
        <v>14</v>
      </c>
      <c r="S44" s="706">
        <f t="shared" si="10"/>
        <v>100</v>
      </c>
      <c r="T44" s="705" t="s">
        <v>14</v>
      </c>
      <c r="U44" s="706">
        <f t="shared" si="11"/>
        <v>100</v>
      </c>
      <c r="V44" s="705" t="s">
        <v>14</v>
      </c>
      <c r="W44" s="706">
        <f t="shared" si="12"/>
        <v>100</v>
      </c>
      <c r="X44" s="1355"/>
      <c r="Y44" s="367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8"/>
      <c r="Q45" s="1352">
        <f t="shared" si="14"/>
        <v>111</v>
      </c>
      <c r="R45" s="708" t="s">
        <v>14</v>
      </c>
      <c r="S45" s="709">
        <f t="shared" si="10"/>
        <v>100</v>
      </c>
      <c r="T45" s="708" t="s">
        <v>14</v>
      </c>
      <c r="U45" s="709">
        <f t="shared" si="11"/>
        <v>100</v>
      </c>
      <c r="V45" s="708" t="s">
        <v>14</v>
      </c>
      <c r="W45" s="709">
        <f t="shared" si="12"/>
        <v>100</v>
      </c>
      <c r="X45" s="710"/>
      <c r="Y45" s="367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1" t="str">
        <f>A46</f>
        <v>成交单价</v>
      </c>
      <c r="Q46" s="3671"/>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1" t="str">
        <f>A47</f>
        <v>比较价值（元/平方米）</v>
      </c>
      <c r="Q47" s="3671"/>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8" t="str">
        <f>A48</f>
        <v>估价对象XX用房的比较价值（楼面单价，元/平方米）</v>
      </c>
      <c r="Q48" s="3669"/>
      <c r="R48" s="3732" t="e">
        <f>ROUND(IF(D47="简单平均",AVERAGE(R47:W47),R47*F47+T47*H47+V47*J47),0)</f>
        <v>#DIV/0!</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6" t="s">
        <v>1887</v>
      </c>
      <c r="H55" s="373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862.53</v>
      </c>
      <c r="F56" s="886" t="e">
        <f t="shared" ref="F56:F64" si="15">ROUND(B56*E56/10000,0)</f>
        <v>#DIV/0!</v>
      </c>
      <c r="G56" s="3682"/>
      <c r="H56" s="367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862.53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34" t="s">
        <v>1919</v>
      </c>
      <c r="D6" s="3735"/>
      <c r="E6" s="3736" t="s">
        <v>1919</v>
      </c>
      <c r="F6" s="3737"/>
      <c r="G6" s="3734" t="s">
        <v>1919</v>
      </c>
      <c r="H6" s="3735"/>
      <c r="I6" s="3734" t="s">
        <v>1919</v>
      </c>
      <c r="J6" s="3735"/>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45146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71"/>
      <c r="Q10" s="1343" t="str">
        <f t="shared" si="6"/>
        <v>土地使用年限（年）</v>
      </c>
      <c r="R10" s="701" t="s">
        <v>14</v>
      </c>
      <c r="S10" s="702">
        <f t="shared" si="0"/>
        <v>123</v>
      </c>
      <c r="T10" s="701" t="s">
        <v>14</v>
      </c>
      <c r="U10" s="702">
        <f t="shared" si="1"/>
        <v>123</v>
      </c>
      <c r="V10" s="701" t="s">
        <v>14</v>
      </c>
      <c r="W10" s="702">
        <f t="shared" si="2"/>
        <v>123</v>
      </c>
      <c r="X10" s="703"/>
      <c r="Y10" s="3546"/>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4"/>
      <c r="Q20" s="1352"/>
      <c r="R20" s="705"/>
      <c r="S20" s="706"/>
      <c r="T20" s="705"/>
      <c r="U20" s="706"/>
      <c r="V20" s="705"/>
      <c r="W20" s="706"/>
      <c r="X20" s="1355"/>
      <c r="Y20" s="367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4"/>
      <c r="Q24" s="1343"/>
      <c r="R24" s="701"/>
      <c r="S24" s="702"/>
      <c r="T24" s="701"/>
      <c r="U24" s="702"/>
      <c r="V24" s="701"/>
      <c r="W24" s="702"/>
      <c r="X24" s="703"/>
      <c r="Y24" s="367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4"/>
      <c r="Q26" s="1343"/>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4"/>
      <c r="Q29" s="1352"/>
      <c r="R29" s="705"/>
      <c r="S29" s="706"/>
      <c r="T29" s="705"/>
      <c r="U29" s="706"/>
      <c r="V29" s="705"/>
      <c r="W29" s="706"/>
      <c r="X29" s="1355"/>
      <c r="Y29" s="367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9" t="s">
        <v>1696</v>
      </c>
      <c r="Q32" s="1352">
        <f t="shared" si="8"/>
        <v>111</v>
      </c>
      <c r="R32" s="705" t="s">
        <v>14</v>
      </c>
      <c r="S32" s="706">
        <f t="shared" si="10"/>
        <v>100</v>
      </c>
      <c r="T32" s="705" t="s">
        <v>14</v>
      </c>
      <c r="U32" s="706">
        <f t="shared" si="11"/>
        <v>100</v>
      </c>
      <c r="V32" s="705" t="s">
        <v>14</v>
      </c>
      <c r="W32" s="706">
        <f t="shared" si="12"/>
        <v>100</v>
      </c>
      <c r="X32" s="1355"/>
      <c r="Y32" s="367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8"/>
      <c r="Q33" s="1352">
        <f t="shared" si="8"/>
        <v>111</v>
      </c>
      <c r="R33" s="708" t="s">
        <v>14</v>
      </c>
      <c r="S33" s="709">
        <f t="shared" si="10"/>
        <v>100</v>
      </c>
      <c r="T33" s="708" t="s">
        <v>14</v>
      </c>
      <c r="U33" s="709">
        <f t="shared" si="11"/>
        <v>100</v>
      </c>
      <c r="V33" s="708" t="s">
        <v>14</v>
      </c>
      <c r="W33" s="709">
        <f t="shared" si="12"/>
        <v>100</v>
      </c>
      <c r="X33" s="710"/>
      <c r="Y33" s="367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8"/>
      <c r="Q34" s="1352" t="str">
        <f>B34</f>
        <v>宗地面积</v>
      </c>
      <c r="R34" s="705" t="s">
        <v>14</v>
      </c>
      <c r="S34" s="706" t="e">
        <f t="shared" si="10"/>
        <v>#N/A</v>
      </c>
      <c r="T34" s="705" t="s">
        <v>14</v>
      </c>
      <c r="U34" s="706" t="e">
        <f t="shared" si="11"/>
        <v>#N/A</v>
      </c>
      <c r="V34" s="705" t="s">
        <v>14</v>
      </c>
      <c r="W34" s="706" t="e">
        <f t="shared" si="12"/>
        <v>#N/A</v>
      </c>
      <c r="X34" s="1355"/>
      <c r="Y34" s="367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8"/>
      <c r="Q35" s="1352" t="str">
        <f t="shared" ref="Q35:Q40" si="14">B35</f>
        <v>宗地形状</v>
      </c>
      <c r="R35" s="705" t="s">
        <v>14</v>
      </c>
      <c r="S35" s="706">
        <f t="shared" si="10"/>
        <v>100</v>
      </c>
      <c r="T35" s="705" t="s">
        <v>14</v>
      </c>
      <c r="U35" s="706">
        <f t="shared" si="11"/>
        <v>100</v>
      </c>
      <c r="V35" s="705" t="s">
        <v>14</v>
      </c>
      <c r="W35" s="706">
        <f t="shared" si="12"/>
        <v>100</v>
      </c>
      <c r="X35" s="1355"/>
      <c r="Y35" s="367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8"/>
      <c r="Q36" s="1352"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8" t="s">
        <v>1696</v>
      </c>
      <c r="Q37" s="1352" t="str">
        <f t="shared" si="14"/>
        <v>工程地质条件</v>
      </c>
      <c r="R37" s="705" t="s">
        <v>14</v>
      </c>
      <c r="S37" s="706">
        <f t="shared" si="10"/>
        <v>100</v>
      </c>
      <c r="T37" s="705" t="s">
        <v>14</v>
      </c>
      <c r="U37" s="706">
        <f t="shared" si="11"/>
        <v>100</v>
      </c>
      <c r="V37" s="705" t="s">
        <v>14</v>
      </c>
      <c r="W37" s="706">
        <f t="shared" si="12"/>
        <v>100</v>
      </c>
      <c r="X37" s="1355"/>
      <c r="Y37" s="367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8"/>
      <c r="Q38" s="1352">
        <f t="shared" si="14"/>
        <v>111</v>
      </c>
      <c r="R38" s="705" t="s">
        <v>14</v>
      </c>
      <c r="S38" s="706">
        <f t="shared" si="10"/>
        <v>100</v>
      </c>
      <c r="T38" s="705" t="s">
        <v>14</v>
      </c>
      <c r="U38" s="706">
        <f t="shared" si="11"/>
        <v>100</v>
      </c>
      <c r="V38" s="705" t="s">
        <v>14</v>
      </c>
      <c r="W38" s="706">
        <f t="shared" si="12"/>
        <v>100</v>
      </c>
      <c r="X38" s="1355"/>
      <c r="Y38" s="367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8"/>
      <c r="Q39" s="1352">
        <f t="shared" si="14"/>
        <v>111</v>
      </c>
      <c r="R39" s="705" t="s">
        <v>14</v>
      </c>
      <c r="S39" s="706">
        <f t="shared" si="10"/>
        <v>100</v>
      </c>
      <c r="T39" s="705" t="s">
        <v>14</v>
      </c>
      <c r="U39" s="706">
        <f t="shared" si="11"/>
        <v>100</v>
      </c>
      <c r="V39" s="705" t="s">
        <v>14</v>
      </c>
      <c r="W39" s="706">
        <f t="shared" si="12"/>
        <v>100</v>
      </c>
      <c r="X39" s="1355"/>
      <c r="Y39" s="367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8"/>
      <c r="Q40" s="1352">
        <f t="shared" si="14"/>
        <v>111</v>
      </c>
      <c r="R40" s="708" t="s">
        <v>14</v>
      </c>
      <c r="S40" s="709">
        <f t="shared" si="10"/>
        <v>100</v>
      </c>
      <c r="T40" s="708" t="s">
        <v>14</v>
      </c>
      <c r="U40" s="709">
        <f t="shared" si="11"/>
        <v>100</v>
      </c>
      <c r="V40" s="708" t="s">
        <v>14</v>
      </c>
      <c r="W40" s="709">
        <f t="shared" si="12"/>
        <v>100</v>
      </c>
      <c r="X40" s="710"/>
      <c r="Y40" s="367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1" t="str">
        <f>A41</f>
        <v>成交单价</v>
      </c>
      <c r="Q41" s="3671"/>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1" t="str">
        <f>A42</f>
        <v>比较价值（元/平方米）</v>
      </c>
      <c r="Q42" s="3671"/>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8" t="str">
        <f>A43</f>
        <v>估价对象XX用房的比较价值（楼面单价，元/平方米）</v>
      </c>
      <c r="Q43" s="3669"/>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6" t="s">
        <v>1887</v>
      </c>
      <c r="H50" s="373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862.53</v>
      </c>
      <c r="F51" s="639" t="e">
        <f t="shared" ref="F51:F60" si="15">ROUND(B51*E51/10000,0)</f>
        <v>#DIV/0!</v>
      </c>
      <c r="G51" s="3682"/>
      <c r="H51" s="367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1" sqref="E21"/>
      <selection pane="bottomLeft" activeCell="U29" sqref="U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3414</v>
      </c>
      <c r="D17" s="1011" t="s">
        <v>3413</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60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ROUND(B20*10000/B22,0)</f>
        <v>#DIV/0!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5" t="s">
        <v>3412</v>
      </c>
      <c r="B24" s="665"/>
      <c r="C24" s="2810">
        <v>1</v>
      </c>
      <c r="D24" s="2811"/>
      <c r="E24" s="2810">
        <v>1</v>
      </c>
      <c r="F24" s="2811"/>
      <c r="G24" s="2810">
        <v>1</v>
      </c>
      <c r="H24" s="2811"/>
      <c r="I24" s="2810">
        <v>1</v>
      </c>
      <c r="J24" s="2811"/>
      <c r="K24" s="2810">
        <v>1</v>
      </c>
      <c r="L24" s="2811"/>
      <c r="M24" s="2810">
        <v>1</v>
      </c>
      <c r="N24" s="2811"/>
      <c r="O24" s="2810">
        <v>1</v>
      </c>
      <c r="P24" s="2811" t="s">
        <v>3406</v>
      </c>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3413</v>
      </c>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3415</v>
      </c>
      <c r="Q25" s="21">
        <f>(SUMIF($17:$17,P25,$18:$18)-SUMIF($17:$17,$P$24,$18:$18)+100)/100</f>
        <v>0.6</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1386</v>
      </c>
      <c r="C2" s="2145" t="s">
        <v>2074</v>
      </c>
      <c r="D2" s="2145" t="s">
        <v>2075</v>
      </c>
      <c r="E2" s="2612">
        <f ca="1">SUMIF(E6:E13,"&lt;&gt;#ref!",E6:E13)</f>
        <v>862.53</v>
      </c>
      <c r="F2" s="2793"/>
      <c r="G2" s="2793"/>
      <c r="H2" s="2793"/>
      <c r="I2" s="2793"/>
      <c r="J2" s="2793"/>
      <c r="K2" s="2793"/>
      <c r="L2" s="2793"/>
      <c r="M2" s="2793"/>
      <c r="N2" s="2793"/>
      <c r="O2" s="2793"/>
      <c r="P2" s="2793"/>
    </row>
    <row r="3" spans="1:16" ht="15.75">
      <c r="A3" s="2145" t="s">
        <v>2076</v>
      </c>
      <c r="B3" s="2602">
        <f ca="1">ROUND(B2*10000/E2,0)</f>
        <v>16069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1386</v>
      </c>
      <c r="C6" s="2145" t="s">
        <v>2074</v>
      </c>
      <c r="D6" s="2793"/>
      <c r="E6" s="2612">
        <f ca="1">SUMIF(INDIRECT("'"&amp;A6&amp;"'"&amp;"!C:C"),"建筑面积",INDIRECT("'"&amp;A6&amp;"'"&amp;"!D:D"))</f>
        <v>862.53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F31" sqref="F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862.53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1386</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28184</v>
      </c>
      <c r="U2" s="1213">
        <f>ROUND('数据-汇总表'!F19/2,2)</f>
        <v>431.27</v>
      </c>
      <c r="V2" s="3361">
        <f>ROUND(T2*U2/10000,0)</f>
        <v>1215</v>
      </c>
      <c r="W2" s="1216"/>
      <c r="X2" s="1216"/>
      <c r="Y2" s="1216"/>
      <c r="Z2" s="1216"/>
      <c r="AA2" s="1216"/>
      <c r="AB2" s="1216"/>
      <c r="AC2" s="1217"/>
      <c r="AD2" s="1218"/>
      <c r="AE2" s="1218"/>
      <c r="AF2" s="1218"/>
      <c r="AG2" s="1218"/>
      <c r="AH2" s="1218"/>
      <c r="AI2" s="1218"/>
      <c r="AJ2" s="1219"/>
    </row>
    <row r="3" spans="1:36" ht="15.75">
      <c r="A3" s="203" t="s">
        <v>1940</v>
      </c>
      <c r="B3" s="204">
        <f>ROUND(B2*10000/D1,0)</f>
        <v>16069</v>
      </c>
      <c r="C3" s="1999" t="s">
        <v>1941</v>
      </c>
      <c r="D3" s="2000" t="s">
        <v>1942</v>
      </c>
      <c r="E3" s="3420" t="s">
        <v>3422</v>
      </c>
      <c r="F3" s="2004" t="s">
        <v>3383</v>
      </c>
      <c r="G3" s="752">
        <f>IF(F3="宗地容积率",'数据-汇总表'!I4,IF(F3="估价对象容积率",'数据-汇总表'!I6,'数据-汇总表'!I7))</f>
        <v>6.68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22215</v>
      </c>
      <c r="U3" s="1213">
        <f>'数据-汇总表'!F19-基准地价修正!U2</f>
        <v>431.26</v>
      </c>
      <c r="V3" s="3361">
        <f t="shared" ref="V3:V16" si="1">ROUND(T3*U3/10000,0)</f>
        <v>958</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20920</v>
      </c>
      <c r="N4" s="866">
        <f>SUMPRODUCT((因素修正幅度!B55:B86=I2)*(因素修正幅度!C3:G3=E2)*(因素修正幅度!C55:G86))</f>
        <v>9.5000000000000001E-2</v>
      </c>
      <c r="O4" s="1119"/>
      <c r="P4" s="1119"/>
      <c r="Q4" s="1119"/>
      <c r="R4" s="1212">
        <v>3</v>
      </c>
      <c r="S4" s="3361">
        <f>ROUND(SUMPRODUCT((B106:B110=R4)*(C105:N105=G2)*(C106:N110)),4)</f>
        <v>1.0004999999999999</v>
      </c>
      <c r="T4" s="3361">
        <f t="shared" si="0"/>
        <v>18775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21950</v>
      </c>
      <c r="D5" s="1339">
        <f>ROUND(C6*C17+C20,0)</f>
        <v>20904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16559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20920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15913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6.68</v>
      </c>
      <c r="AA7" s="1216"/>
      <c r="AB7" s="1216"/>
      <c r="AC7" s="1217"/>
      <c r="AD7" s="1218"/>
      <c r="AE7" s="1218"/>
      <c r="AF7" s="1218"/>
      <c r="AG7" s="1218"/>
      <c r="AH7" s="1218"/>
      <c r="AI7" s="1218"/>
      <c r="AJ7" s="1219"/>
    </row>
    <row r="8" spans="1:36" ht="25.5">
      <c r="A8" s="3299"/>
      <c r="B8" s="170" t="s">
        <v>1957</v>
      </c>
      <c r="C8" s="2026" t="s">
        <v>3384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0"/>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1.05</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5" t="s">
        <v>3259</v>
      </c>
      <c r="B20" s="167" t="s">
        <v>1994</v>
      </c>
      <c r="C20" s="3325">
        <f>ROUND(IF(F21="与级别开发程度一致",0,(G21-E21)/C21),0)</f>
        <v>-16</v>
      </c>
      <c r="D20" s="3341" t="s">
        <v>1998</v>
      </c>
      <c r="E20" s="3342"/>
      <c r="F20" s="3761" t="s">
        <v>1995</v>
      </c>
      <c r="G20" s="3762"/>
      <c r="H20" s="3326" t="s">
        <v>3386</v>
      </c>
      <c r="I20" s="3326" t="s">
        <v>3387</v>
      </c>
      <c r="J20" s="3327" t="s">
        <v>3388</v>
      </c>
      <c r="K20" s="2047" t="s">
        <v>3389</v>
      </c>
      <c r="L20" s="2047" t="s">
        <v>3390</v>
      </c>
      <c r="M20" s="2047" t="s">
        <v>3391</v>
      </c>
      <c r="N20" s="2047" t="s">
        <v>3392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3385</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45146</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0.83399999999999996</v>
      </c>
      <c r="D24" s="2060" t="s">
        <v>2007</v>
      </c>
      <c r="E24" s="1335">
        <f>存贷款利率!E23/100</f>
        <v>4.3499999999999997E-2</v>
      </c>
      <c r="F24" s="2060" t="s">
        <v>1999</v>
      </c>
      <c r="G24" s="768">
        <f>SUMIF(M30:Q30,E2,M33:Q33)</f>
        <v>5.5E-2</v>
      </c>
      <c r="H24" s="2060" t="s">
        <v>2008</v>
      </c>
      <c r="I24" s="769">
        <f>SUMIF('数据-取费表'!C6:C15,E2,'数据-取费表'!F6:F15)/COUNTIF('数据-取费表'!C6:C15,E2)</f>
        <v>28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3423</v>
      </c>
      <c r="C25" s="771">
        <f>IF(B25="容积率修正",IF(G3&lt;10,D26,J26),C27)</f>
        <v>0.85650000000000004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0.85650000000000004</v>
      </c>
      <c r="E26" s="752">
        <f>ROUNDDOWN(G3,1)</f>
        <v>6.6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0.85809999999999997</v>
      </c>
      <c r="G26" s="752">
        <f>ROUNDUP(G3,1)</f>
        <v>6.6999999999999993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0.85609999999999997</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1386</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16073</v>
      </c>
      <c r="D33" s="2098">
        <f>'数据-汇总表'!F19</f>
        <v>862.53</v>
      </c>
      <c r="E33" s="773">
        <f>ROUND(C33*D33/10000,0)</f>
        <v>1386</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4018</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f>ROUND(D5*C22*C23*C24*C28*F37,0)</f>
        <v>10723</v>
      </c>
      <c r="D37" s="2098"/>
      <c r="E37" s="171">
        <f>ROUND(C37*D37/10000,0)</f>
        <v>0</v>
      </c>
      <c r="F37" s="171">
        <f>SUMIF(修正!A57:A68,G2,修正!B57:B68)</f>
        <v>0.6</v>
      </c>
      <c r="G37" s="171">
        <f>ROUND(IF(E2="工业",C37*$M$42,C37*$M$41),0)</f>
        <v>2681</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f>ROUND(D5*C22*C23*C24*C28*F38,0)</f>
        <v>5361</v>
      </c>
      <c r="D38" s="2098"/>
      <c r="E38" s="171">
        <f t="shared" ref="E38:E42" si="4">ROUND(C38*D38/10000,0)</f>
        <v>0</v>
      </c>
      <c r="F38" s="171">
        <f>SUMIF(修正!A57:A68,G2,修正!C57:C68)</f>
        <v>0.3</v>
      </c>
      <c r="G38" s="171">
        <f>ROUND(IF(E2="工业",C38*$M$42,C38*$M$41),0)</f>
        <v>1340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0"/>
      <c r="B39" s="2041" t="s">
        <v>3264</v>
      </c>
      <c r="C39" s="175">
        <f>ROUND(D5*C22*C23*C24*C28*F39,0)</f>
        <v>4468</v>
      </c>
      <c r="D39" s="2098"/>
      <c r="E39" s="171">
        <f t="shared" si="4"/>
        <v>0</v>
      </c>
      <c r="F39" s="171">
        <f>SUMIF(修正!A57:A68,G2,修正!D57:D68)</f>
        <v>0.25</v>
      </c>
      <c r="G39" s="171">
        <f>ROUND(IF(E2="工业",C39*$M$42,C39*$M$41),0)</f>
        <v>1117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4468</v>
      </c>
      <c r="D40" s="2098"/>
      <c r="E40" s="171">
        <f t="shared" si="4"/>
        <v>0</v>
      </c>
      <c r="F40" s="175">
        <f>SUMIF(修正!A57:A68,G2,修正!E57:E68)</f>
        <v>0.25</v>
      </c>
      <c r="G40" s="171">
        <f>ROUND(IF(E2="工业",C40*$M$42,C40*$M$41),0)</f>
        <v>1117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4468</v>
      </c>
      <c r="D41" s="2098"/>
      <c r="E41" s="171">
        <f t="shared" si="4"/>
        <v>0</v>
      </c>
      <c r="F41" s="175">
        <f>SUMIF(修正!A57:A68,G2,修正!F57:F68)</f>
        <v>0.25</v>
      </c>
      <c r="G41" s="171">
        <f>ROUND(IF(E2="工业",C41*$M$42,C41*$M$41),0)</f>
        <v>1117</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2681</v>
      </c>
      <c r="D42" s="2103"/>
      <c r="E42" s="187">
        <f t="shared" si="4"/>
        <v>0</v>
      </c>
      <c r="F42" s="767">
        <f>SUMIF(修正!A57:A68,G2,修正!G57:G68)</f>
        <v>0.15</v>
      </c>
      <c r="G42" s="187">
        <f>ROUND(IF(E2="工业",C42*$M$42,C42*$M$41),0)</f>
        <v>670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0.83399999999999996</v>
      </c>
      <c r="D44" s="171" t="s">
        <v>1999</v>
      </c>
      <c r="E44" s="2153">
        <f>G24</f>
        <v>5.5E-2</v>
      </c>
      <c r="F44" s="171" t="s">
        <v>2008</v>
      </c>
      <c r="G44" s="183">
        <f>项目基本情况!E15</f>
        <v>28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3393</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3393</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3393</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3393</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3393</v>
      </c>
      <c r="D54" s="1065" t="e">
        <f t="shared" si="7"/>
        <v>#VALUE!</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3393</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3393</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3393</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3393</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f>IF(E2="办公",SUMIF(L1:L12,G2,N1:N12),"——")</f>
        <v>9.5000000000000001E-2</v>
      </c>
      <c r="G61" s="1063"/>
      <c r="H61" s="1066">
        <f t="shared" ref="H61:H69" si="14">IFERROR(ROUNDDOWN($F$61*I61/2,4),"——")</f>
        <v>1.18E-2</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f t="shared" si="14"/>
        <v>1.23E-2</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f t="shared" si="14"/>
        <v>5.1999999999999998E-3</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f t="shared" si="14"/>
        <v>2.3E-3</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f t="shared" si="14"/>
        <v>2.3E-3</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f t="shared" si="14"/>
        <v>2.8E-3</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f t="shared" si="14"/>
        <v>2.8E-3</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f t="shared" si="14"/>
        <v>4.1999999999999997E-3</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f t="shared" si="14"/>
        <v>3.3E-3</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7" t="s">
        <v>3299</v>
      </c>
      <c r="B103" s="3757"/>
      <c r="C103" s="3757"/>
      <c r="D103" s="3757"/>
      <c r="E103" s="3757"/>
      <c r="F103" s="3757"/>
      <c r="G103" s="3757"/>
      <c r="H103" s="3757"/>
      <c r="I103" s="3757"/>
      <c r="J103" s="3757"/>
      <c r="K103" s="3390"/>
      <c r="L103" s="3390"/>
      <c r="M103" s="3390"/>
      <c r="N103" s="3390"/>
    </row>
    <row r="104" spans="1:14">
      <c r="A104" s="3758" t="s">
        <v>3300</v>
      </c>
      <c r="B104" s="3758" t="s">
        <v>3301</v>
      </c>
      <c r="C104" s="3391" t="s">
        <v>3302</v>
      </c>
      <c r="D104" s="3392"/>
      <c r="E104" s="3392"/>
      <c r="F104" s="3392"/>
      <c r="G104" s="3392"/>
      <c r="H104" s="3392"/>
      <c r="I104" s="3392"/>
      <c r="J104" s="3393"/>
      <c r="K104" s="3394"/>
      <c r="L104" s="3394"/>
      <c r="M104" s="3394"/>
      <c r="N104" s="3394"/>
    </row>
    <row r="105" spans="1:14">
      <c r="A105" s="3758"/>
      <c r="B105" s="3758"/>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4"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7" t="s">
        <v>3316</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6.68</v>
      </c>
      <c r="C116" s="3400" t="s">
        <v>3318</v>
      </c>
      <c r="D116" s="3401">
        <f>SUMPRODUCT((A118:A122=F116)*(B117:M117=H116)*B118:M122)</f>
        <v>0.84660000000000002</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0.92330000000000001</v>
      </c>
      <c r="C118" s="3388">
        <f>B118</f>
        <v>0.92330000000000001</v>
      </c>
      <c r="D118" s="3388">
        <f>ROUND(0.949-0.014*B116,4)</f>
        <v>0.85550000000000004</v>
      </c>
      <c r="E118" s="3388">
        <f>D118</f>
        <v>0.85550000000000004</v>
      </c>
      <c r="F118" s="3388">
        <f>E118</f>
        <v>0.85550000000000004</v>
      </c>
      <c r="G118" s="3388">
        <f>F118</f>
        <v>0.85550000000000004</v>
      </c>
      <c r="H118" s="3388">
        <f>G118</f>
        <v>0.85550000000000004</v>
      </c>
      <c r="I118" s="3388">
        <f>ROUND(0.8486-0.018*B116,4)</f>
        <v>0.72840000000000005</v>
      </c>
      <c r="J118" s="3388">
        <f t="shared" ref="J118:M122" si="36">I118</f>
        <v>0.72840000000000005</v>
      </c>
      <c r="K118" s="3388">
        <f t="shared" si="36"/>
        <v>0.72840000000000005</v>
      </c>
      <c r="L118" s="3388">
        <f t="shared" si="36"/>
        <v>0.72840000000000005</v>
      </c>
      <c r="M118" s="3411">
        <f t="shared" si="36"/>
        <v>0.72840000000000005</v>
      </c>
      <c r="N118" s="3398"/>
    </row>
    <row r="119" spans="1:14">
      <c r="A119" s="3410" t="s">
        <v>3334</v>
      </c>
      <c r="B119" s="3388">
        <f>ROUND(0.993-0.0112*B116,4)</f>
        <v>0.91820000000000002</v>
      </c>
      <c r="C119" s="3388">
        <f>B119</f>
        <v>0.91820000000000002</v>
      </c>
      <c r="D119" s="3388">
        <f>ROUND(0.9415-0.0142*B116,4)</f>
        <v>0.84660000000000002</v>
      </c>
      <c r="E119" s="3388">
        <f t="shared" ref="E119:H120" si="37">D119</f>
        <v>0.84660000000000002</v>
      </c>
      <c r="F119" s="3388">
        <f t="shared" si="37"/>
        <v>0.84660000000000002</v>
      </c>
      <c r="G119" s="3388">
        <f t="shared" si="37"/>
        <v>0.84660000000000002</v>
      </c>
      <c r="H119" s="3388">
        <f t="shared" si="37"/>
        <v>0.84660000000000002</v>
      </c>
      <c r="I119" s="3388">
        <f>ROUND(0.838-0.0182*B116,4)</f>
        <v>0.71640000000000004</v>
      </c>
      <c r="J119" s="3388">
        <f t="shared" si="36"/>
        <v>0.71640000000000004</v>
      </c>
      <c r="K119" s="3388">
        <f t="shared" si="36"/>
        <v>0.71640000000000004</v>
      </c>
      <c r="L119" s="3388">
        <f t="shared" si="36"/>
        <v>0.71640000000000004</v>
      </c>
      <c r="M119" s="3411">
        <f t="shared" si="36"/>
        <v>0.71640000000000004</v>
      </c>
      <c r="N119" s="3398"/>
    </row>
    <row r="120" spans="1:14">
      <c r="A120" s="3410" t="s">
        <v>3335</v>
      </c>
      <c r="B120" s="3388">
        <f>ROUND(0.9448-0.0115*B116,4)</f>
        <v>0.86799999999999999</v>
      </c>
      <c r="C120" s="3388">
        <f>B120</f>
        <v>0.86799999999999999</v>
      </c>
      <c r="D120" s="3388">
        <f>ROUND(0.937-0.0145*B116,4)</f>
        <v>0.84009999999999996</v>
      </c>
      <c r="E120" s="3388">
        <f t="shared" si="37"/>
        <v>0.84009999999999996</v>
      </c>
      <c r="F120" s="3388">
        <f t="shared" si="37"/>
        <v>0.84009999999999996</v>
      </c>
      <c r="G120" s="3388">
        <f t="shared" si="37"/>
        <v>0.84009999999999996</v>
      </c>
      <c r="H120" s="3388">
        <f t="shared" si="37"/>
        <v>0.84009999999999996</v>
      </c>
      <c r="I120" s="3388">
        <f>ROUND(0.7965-0.0185*B116,4)</f>
        <v>0.67290000000000005</v>
      </c>
      <c r="J120" s="3388">
        <f t="shared" si="36"/>
        <v>0.67290000000000005</v>
      </c>
      <c r="K120" s="3388">
        <f t="shared" si="36"/>
        <v>0.67290000000000005</v>
      </c>
      <c r="L120" s="3388">
        <f t="shared" si="36"/>
        <v>0.67290000000000005</v>
      </c>
      <c r="M120" s="3411">
        <f t="shared" si="36"/>
        <v>0.67290000000000005</v>
      </c>
      <c r="N120" s="3398"/>
    </row>
    <row r="121" spans="1:14" ht="13.5" thickBot="1">
      <c r="A121" s="3412" t="s">
        <v>3336</v>
      </c>
      <c r="B121" s="3413">
        <f>ROUND(0.7836-0.012*B116,4)</f>
        <v>0.70340000000000003</v>
      </c>
      <c r="C121" s="3413">
        <f>B121</f>
        <v>0.70340000000000003</v>
      </c>
      <c r="D121" s="3413">
        <f>ROUND(0.753-0.015*B116,4)</f>
        <v>0.65280000000000005</v>
      </c>
      <c r="E121" s="3413">
        <f>D121</f>
        <v>0.65280000000000005</v>
      </c>
      <c r="F121" s="3413">
        <f>E121</f>
        <v>0.65280000000000005</v>
      </c>
      <c r="G121" s="3413">
        <f>ROUND(0.6612-0.018*B116,4)</f>
        <v>0.54100000000000004</v>
      </c>
      <c r="H121" s="3413">
        <f>G121</f>
        <v>0.54100000000000004</v>
      </c>
      <c r="I121" s="3413">
        <f>ROUND(0.5905-0.019*B116,4)</f>
        <v>0.46360000000000001</v>
      </c>
      <c r="J121" s="3413">
        <f t="shared" si="36"/>
        <v>0.46360000000000001</v>
      </c>
      <c r="K121" s="3413">
        <f t="shared" si="36"/>
        <v>0.46360000000000001</v>
      </c>
      <c r="L121" s="3413">
        <f t="shared" si="36"/>
        <v>0.46360000000000001</v>
      </c>
      <c r="M121" s="3414">
        <f t="shared" si="36"/>
        <v>0.46360000000000001</v>
      </c>
      <c r="N121" s="3398"/>
    </row>
    <row r="122" spans="1:14">
      <c r="A122" s="3415" t="s">
        <v>2615</v>
      </c>
      <c r="B122" s="3388">
        <f>ROUND(0.9404-0.0106*B116,4)</f>
        <v>0.86960000000000004</v>
      </c>
      <c r="C122" s="3388">
        <f>B122</f>
        <v>0.86960000000000004</v>
      </c>
      <c r="D122" s="3388">
        <f>ROUND(0.8955-0.0135*B116,4)</f>
        <v>0.80530000000000002</v>
      </c>
      <c r="E122" s="3388">
        <f t="shared" ref="E122:H122" si="38">D122</f>
        <v>0.80530000000000002</v>
      </c>
      <c r="F122" s="3388">
        <f t="shared" si="38"/>
        <v>0.80530000000000002</v>
      </c>
      <c r="G122" s="3388">
        <f t="shared" si="38"/>
        <v>0.80530000000000002</v>
      </c>
      <c r="H122" s="3388">
        <f t="shared" si="38"/>
        <v>0.80530000000000002</v>
      </c>
      <c r="I122" s="3388">
        <f>ROUND(0.7632-0.0166*B116,4)</f>
        <v>0.65229999999999999</v>
      </c>
      <c r="J122" s="3388">
        <f t="shared" si="36"/>
        <v>0.65229999999999999</v>
      </c>
      <c r="K122" s="3388">
        <f t="shared" si="36"/>
        <v>0.65229999999999999</v>
      </c>
      <c r="L122" s="3388">
        <f t="shared" si="36"/>
        <v>0.65229999999999999</v>
      </c>
      <c r="M122" s="3411">
        <f t="shared" si="36"/>
        <v>0.65229999999999999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2" t="s">
        <v>2610</v>
      </c>
      <c r="B20" s="3767" t="s">
        <v>2631</v>
      </c>
      <c r="C20" s="3103" t="s">
        <v>2442</v>
      </c>
      <c r="D20" s="3104"/>
      <c r="E20" s="3105">
        <v>1</v>
      </c>
      <c r="F20" s="3106" t="s">
        <v>2443</v>
      </c>
      <c r="G20" s="3106"/>
    </row>
    <row r="21" spans="1:13" ht="19.5" customHeight="1">
      <c r="A21" s="3773"/>
      <c r="B21" s="3766"/>
      <c r="C21" s="3107" t="s">
        <v>2444</v>
      </c>
      <c r="D21" s="3108"/>
      <c r="E21" s="3109">
        <v>1</v>
      </c>
      <c r="F21" s="3106" t="s">
        <v>2445</v>
      </c>
      <c r="G21" s="3106"/>
    </row>
    <row r="22" spans="1:13" ht="19.5" customHeight="1">
      <c r="A22" s="3773"/>
      <c r="B22" s="3766"/>
      <c r="C22" s="3107" t="s">
        <v>2446</v>
      </c>
      <c r="D22" s="3108"/>
      <c r="E22" s="3109">
        <v>0.9</v>
      </c>
      <c r="F22" s="3106" t="s">
        <v>2447</v>
      </c>
      <c r="G22" s="3106"/>
    </row>
    <row r="23" spans="1:13" ht="19.5" customHeight="1">
      <c r="A23" s="3773"/>
      <c r="B23" s="3766"/>
      <c r="C23" s="3107" t="s">
        <v>2448</v>
      </c>
      <c r="D23" s="3108"/>
      <c r="E23" s="3109">
        <v>0.9</v>
      </c>
      <c r="F23" s="3106" t="s">
        <v>2449</v>
      </c>
      <c r="G23" s="3106"/>
    </row>
    <row r="24" spans="1:13" ht="19.5" customHeight="1">
      <c r="A24" s="3773"/>
      <c r="B24" s="3766"/>
      <c r="C24" s="3107" t="s">
        <v>2450</v>
      </c>
      <c r="D24" s="3108"/>
      <c r="E24" s="3109">
        <v>0.8</v>
      </c>
      <c r="F24" s="3106" t="s">
        <v>2451</v>
      </c>
      <c r="G24" s="3106"/>
    </row>
    <row r="25" spans="1:13" ht="19.5" customHeight="1" thickBot="1">
      <c r="A25" s="3774"/>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7" t="s">
        <v>2615</v>
      </c>
      <c r="C27" s="3103" t="s">
        <v>2455</v>
      </c>
      <c r="D27" s="3104"/>
      <c r="E27" s="3105">
        <v>1</v>
      </c>
      <c r="F27" s="3106" t="s">
        <v>2456</v>
      </c>
      <c r="G27" s="3106"/>
    </row>
    <row r="28" spans="1:13" ht="19.5" customHeight="1">
      <c r="A28" s="3770"/>
      <c r="B28" s="3766"/>
      <c r="C28" s="3107" t="s">
        <v>2457</v>
      </c>
      <c r="D28" s="3108"/>
      <c r="E28" s="3109">
        <v>1</v>
      </c>
      <c r="F28" s="3106" t="s">
        <v>2458</v>
      </c>
      <c r="G28" s="3106"/>
    </row>
    <row r="29" spans="1:13" ht="19.5" customHeight="1">
      <c r="A29" s="3770"/>
      <c r="B29" s="3766"/>
      <c r="C29" s="3107" t="s">
        <v>2459</v>
      </c>
      <c r="D29" s="3108"/>
      <c r="E29" s="3109">
        <v>0.8</v>
      </c>
      <c r="F29" s="3106" t="s">
        <v>2460</v>
      </c>
      <c r="G29" s="3106"/>
    </row>
    <row r="30" spans="1:13" ht="19.5" customHeight="1">
      <c r="A30" s="3770"/>
      <c r="B30" s="3766"/>
      <c r="C30" s="3107" t="s">
        <v>2461</v>
      </c>
      <c r="D30" s="3108"/>
      <c r="E30" s="3109">
        <v>0.8</v>
      </c>
      <c r="F30" s="3106" t="s">
        <v>2462</v>
      </c>
      <c r="G30" s="3106"/>
    </row>
    <row r="31" spans="1:13" ht="19.5" customHeight="1">
      <c r="A31" s="3770"/>
      <c r="B31" s="3766"/>
      <c r="C31" s="3107" t="s">
        <v>2463</v>
      </c>
      <c r="D31" s="3108"/>
      <c r="E31" s="3109">
        <v>0.8</v>
      </c>
      <c r="F31" s="3106" t="s">
        <v>2464</v>
      </c>
      <c r="G31" s="3106"/>
    </row>
    <row r="32" spans="1:13" ht="19.5" customHeight="1">
      <c r="A32" s="3770"/>
      <c r="B32" s="3766"/>
      <c r="C32" s="3107" t="s">
        <v>2465</v>
      </c>
      <c r="D32" s="3108"/>
      <c r="E32" s="3109">
        <v>0.7</v>
      </c>
      <c r="F32" s="3106" t="s">
        <v>2466</v>
      </c>
      <c r="G32" s="3106"/>
    </row>
    <row r="33" spans="1:7" ht="19.5" customHeight="1">
      <c r="A33" s="3770"/>
      <c r="B33" s="3766"/>
      <c r="C33" s="3107" t="s">
        <v>2467</v>
      </c>
      <c r="D33" s="3108"/>
      <c r="E33" s="3109">
        <v>0.8</v>
      </c>
      <c r="F33" s="3106" t="s">
        <v>2468</v>
      </c>
      <c r="G33" s="3106"/>
    </row>
    <row r="34" spans="1:7" ht="19.5" customHeight="1">
      <c r="A34" s="3770"/>
      <c r="B34" s="3766"/>
      <c r="C34" s="3107" t="s">
        <v>2469</v>
      </c>
      <c r="D34" s="3108"/>
      <c r="E34" s="3109">
        <v>0.6</v>
      </c>
      <c r="F34" s="3106" t="s">
        <v>2470</v>
      </c>
      <c r="G34" s="3106"/>
    </row>
    <row r="35" spans="1:7" ht="19.5" customHeight="1">
      <c r="A35" s="3770"/>
      <c r="B35" s="3766"/>
      <c r="C35" s="3107" t="s">
        <v>2471</v>
      </c>
      <c r="D35" s="3108"/>
      <c r="E35" s="3109">
        <v>0.2</v>
      </c>
      <c r="F35" s="3106" t="s">
        <v>2472</v>
      </c>
      <c r="G35" s="3106"/>
    </row>
    <row r="36" spans="1:7" ht="19.5" customHeight="1">
      <c r="A36" s="3770"/>
      <c r="B36" s="3766"/>
      <c r="C36" s="3107" t="s">
        <v>2473</v>
      </c>
      <c r="D36" s="3108"/>
      <c r="E36" s="3109">
        <v>0.2</v>
      </c>
      <c r="F36" s="3106" t="s">
        <v>2474</v>
      </c>
      <c r="G36" s="3106"/>
    </row>
    <row r="37" spans="1:7" ht="19.5" customHeight="1">
      <c r="A37" s="3770"/>
      <c r="B37" s="3764" t="s">
        <v>2635</v>
      </c>
      <c r="C37" s="3107" t="s">
        <v>2475</v>
      </c>
      <c r="D37" s="3108"/>
      <c r="E37" s="3109">
        <v>0.6</v>
      </c>
      <c r="F37" s="3106" t="s">
        <v>2476</v>
      </c>
      <c r="G37" s="3106"/>
    </row>
    <row r="38" spans="1:7" ht="19.5" customHeight="1">
      <c r="A38" s="3770"/>
      <c r="B38" s="3766"/>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2" t="s">
        <v>2613</v>
      </c>
      <c r="B41" s="3767" t="s">
        <v>2637</v>
      </c>
      <c r="C41" s="3103" t="s">
        <v>2482</v>
      </c>
      <c r="D41" s="3104"/>
      <c r="E41" s="3105">
        <v>1</v>
      </c>
      <c r="F41" s="3106" t="s">
        <v>2483</v>
      </c>
      <c r="G41" s="3106"/>
    </row>
    <row r="42" spans="1:7" ht="19.5" customHeight="1">
      <c r="A42" s="3773"/>
      <c r="B42" s="3766"/>
      <c r="C42" s="3107" t="s">
        <v>2484</v>
      </c>
      <c r="D42" s="3108"/>
      <c r="E42" s="3109">
        <v>1</v>
      </c>
      <c r="F42" s="3106" t="s">
        <v>2485</v>
      </c>
      <c r="G42" s="3106"/>
    </row>
    <row r="43" spans="1:7" ht="19.5" customHeight="1">
      <c r="A43" s="3773"/>
      <c r="B43" s="3765"/>
      <c r="C43" s="3107" t="s">
        <v>2486</v>
      </c>
      <c r="D43" s="3108"/>
      <c r="E43" s="3109">
        <v>1.5</v>
      </c>
      <c r="F43" s="3106" t="s">
        <v>2487</v>
      </c>
      <c r="G43" s="3106"/>
    </row>
    <row r="44" spans="1:7" ht="19.5" customHeight="1">
      <c r="A44" s="3773"/>
      <c r="B44" s="3118" t="s">
        <v>2638</v>
      </c>
      <c r="C44" s="3107" t="s">
        <v>2639</v>
      </c>
      <c r="D44" s="3108"/>
      <c r="E44" s="3109">
        <v>2</v>
      </c>
      <c r="F44" s="3106" t="s">
        <v>2488</v>
      </c>
      <c r="G44" s="3106"/>
    </row>
    <row r="45" spans="1:7" ht="19.5" customHeight="1">
      <c r="A45" s="3773"/>
      <c r="B45" s="3764" t="s">
        <v>2640</v>
      </c>
      <c r="C45" s="3107" t="s">
        <v>2489</v>
      </c>
      <c r="D45" s="3108"/>
      <c r="E45" s="3109">
        <v>1</v>
      </c>
      <c r="F45" s="3106" t="s">
        <v>2490</v>
      </c>
      <c r="G45" s="3106"/>
    </row>
    <row r="46" spans="1:7" ht="19.5" customHeight="1">
      <c r="A46" s="3773"/>
      <c r="B46" s="3766"/>
      <c r="C46" s="3107" t="s">
        <v>2491</v>
      </c>
      <c r="D46" s="3108"/>
      <c r="E46" s="3109">
        <v>1</v>
      </c>
      <c r="F46" s="3106" t="s">
        <v>2492</v>
      </c>
      <c r="G46" s="3106"/>
    </row>
    <row r="47" spans="1:7" ht="19.5" customHeight="1">
      <c r="A47" s="3773"/>
      <c r="B47" s="3766"/>
      <c r="C47" s="3107" t="s">
        <v>2493</v>
      </c>
      <c r="D47" s="3108"/>
      <c r="E47" s="3109">
        <v>1</v>
      </c>
      <c r="F47" s="3106" t="s">
        <v>2494</v>
      </c>
      <c r="G47" s="3106"/>
    </row>
    <row r="48" spans="1:7" ht="19.5" customHeight="1">
      <c r="A48" s="3773"/>
      <c r="B48" s="3766"/>
      <c r="C48" s="3107" t="s">
        <v>2495</v>
      </c>
      <c r="D48" s="3108"/>
      <c r="E48" s="3109">
        <v>1</v>
      </c>
      <c r="F48" s="3106" t="s">
        <v>2496</v>
      </c>
      <c r="G48" s="3106"/>
    </row>
    <row r="49" spans="1:7" ht="19.5" customHeight="1">
      <c r="A49" s="3773"/>
      <c r="B49" s="3766"/>
      <c r="C49" s="3107" t="s">
        <v>2497</v>
      </c>
      <c r="D49" s="3108"/>
      <c r="E49" s="3109">
        <v>1</v>
      </c>
      <c r="F49" s="3106" t="s">
        <v>2498</v>
      </c>
      <c r="G49" s="3106"/>
    </row>
    <row r="50" spans="1:7" ht="19.5" customHeight="1">
      <c r="A50" s="3773"/>
      <c r="B50" s="3766"/>
      <c r="C50" s="3107" t="s">
        <v>2499</v>
      </c>
      <c r="D50" s="3108"/>
      <c r="E50" s="3109">
        <v>1</v>
      </c>
      <c r="F50" s="3106" t="s">
        <v>2500</v>
      </c>
      <c r="G50" s="3106"/>
    </row>
    <row r="51" spans="1:7" ht="19.5" customHeight="1" thickBot="1">
      <c r="A51" s="3774"/>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66"/>
      <c r="C74" s="3092" t="s">
        <v>2657</v>
      </c>
      <c r="D74" s="3092" t="s">
        <v>2658</v>
      </c>
      <c r="E74" s="3118">
        <v>0.2</v>
      </c>
      <c r="F74" s="3118">
        <v>25</v>
      </c>
    </row>
    <row r="75" spans="1:7" ht="24">
      <c r="A75" s="3118">
        <v>3</v>
      </c>
      <c r="B75" s="3766"/>
      <c r="C75" s="3092" t="s">
        <v>2659</v>
      </c>
      <c r="D75" s="3092" t="s">
        <v>2660</v>
      </c>
      <c r="E75" s="3118">
        <v>0.2</v>
      </c>
      <c r="F75" s="3118">
        <v>25</v>
      </c>
    </row>
    <row r="76" spans="1:7" ht="13.5">
      <c r="A76" s="3118">
        <v>4</v>
      </c>
      <c r="B76" s="3766"/>
      <c r="C76" s="3092" t="s">
        <v>2661</v>
      </c>
      <c r="D76" s="3092" t="s">
        <v>2662</v>
      </c>
      <c r="E76" s="3118">
        <v>0.15</v>
      </c>
      <c r="F76" s="3118">
        <v>20</v>
      </c>
    </row>
    <row r="77" spans="1:7" ht="24">
      <c r="A77" s="3118">
        <v>5</v>
      </c>
      <c r="B77" s="3766"/>
      <c r="C77" s="3092" t="s">
        <v>2663</v>
      </c>
      <c r="D77" s="3092" t="s">
        <v>2664</v>
      </c>
      <c r="E77" s="3118">
        <v>0.15</v>
      </c>
      <c r="F77" s="3118">
        <v>20</v>
      </c>
    </row>
    <row r="78" spans="1:7" ht="24">
      <c r="A78" s="3118">
        <v>6</v>
      </c>
      <c r="B78" s="3766"/>
      <c r="C78" s="3092" t="s">
        <v>2665</v>
      </c>
      <c r="D78" s="3092" t="s">
        <v>2666</v>
      </c>
      <c r="E78" s="3118">
        <v>0.15</v>
      </c>
      <c r="F78" s="3118">
        <v>20</v>
      </c>
    </row>
    <row r="79" spans="1:7" ht="24">
      <c r="A79" s="3118">
        <v>7</v>
      </c>
      <c r="B79" s="3766"/>
      <c r="C79" s="3092" t="s">
        <v>2667</v>
      </c>
      <c r="D79" s="3092" t="s">
        <v>2668</v>
      </c>
      <c r="E79" s="3118">
        <v>0.15</v>
      </c>
      <c r="F79" s="3118">
        <v>20</v>
      </c>
    </row>
    <row r="80" spans="1:7" ht="24">
      <c r="A80" s="3118">
        <v>8</v>
      </c>
      <c r="B80" s="3766"/>
      <c r="C80" s="3092" t="s">
        <v>2669</v>
      </c>
      <c r="D80" s="3092" t="s">
        <v>2670</v>
      </c>
      <c r="E80" s="3118">
        <v>0.1</v>
      </c>
      <c r="F80" s="3118">
        <v>15</v>
      </c>
    </row>
    <row r="81" spans="1:6" ht="24">
      <c r="A81" s="3118">
        <v>9</v>
      </c>
      <c r="B81" s="3766"/>
      <c r="C81" s="3092" t="s">
        <v>2671</v>
      </c>
      <c r="D81" s="3092" t="s">
        <v>2672</v>
      </c>
      <c r="E81" s="3118">
        <v>0.1</v>
      </c>
      <c r="F81" s="3118">
        <v>15</v>
      </c>
    </row>
    <row r="82" spans="1:6" ht="24">
      <c r="A82" s="3118">
        <v>10</v>
      </c>
      <c r="B82" s="3766"/>
      <c r="C82" s="3092" t="s">
        <v>2673</v>
      </c>
      <c r="D82" s="3092" t="s">
        <v>2674</v>
      </c>
      <c r="E82" s="3118">
        <v>0.1</v>
      </c>
      <c r="F82" s="3118">
        <v>15</v>
      </c>
    </row>
    <row r="83" spans="1:6" ht="24">
      <c r="A83" s="3118">
        <v>11</v>
      </c>
      <c r="B83" s="3766"/>
      <c r="C83" s="3092" t="s">
        <v>2675</v>
      </c>
      <c r="D83" s="3092" t="s">
        <v>2676</v>
      </c>
      <c r="E83" s="3118">
        <v>0.1</v>
      </c>
      <c r="F83" s="3118">
        <v>15</v>
      </c>
    </row>
    <row r="84" spans="1:6" ht="24">
      <c r="A84" s="3118">
        <v>12</v>
      </c>
      <c r="B84" s="3766"/>
      <c r="C84" s="3092" t="s">
        <v>2677</v>
      </c>
      <c r="D84" s="3092" t="s">
        <v>2678</v>
      </c>
      <c r="E84" s="3118">
        <v>0.1</v>
      </c>
      <c r="F84" s="3118">
        <v>15</v>
      </c>
    </row>
    <row r="85" spans="1:6" ht="13.5">
      <c r="A85" s="3118">
        <v>13</v>
      </c>
      <c r="B85" s="3766"/>
      <c r="C85" s="3092" t="s">
        <v>2679</v>
      </c>
      <c r="D85" s="3092" t="s">
        <v>2680</v>
      </c>
      <c r="E85" s="3118">
        <v>0.1</v>
      </c>
      <c r="F85" s="3118">
        <v>15</v>
      </c>
    </row>
    <row r="86" spans="1:6" ht="13.5">
      <c r="A86" s="3118">
        <v>14</v>
      </c>
      <c r="B86" s="3766"/>
      <c r="C86" s="3092" t="s">
        <v>2681</v>
      </c>
      <c r="D86" s="3092" t="s">
        <v>2682</v>
      </c>
      <c r="E86" s="3118">
        <v>0.1</v>
      </c>
      <c r="F86" s="3118">
        <v>15</v>
      </c>
    </row>
    <row r="87" spans="1:6" ht="13.5">
      <c r="A87" s="3118">
        <v>15</v>
      </c>
      <c r="B87" s="3766"/>
      <c r="C87" s="3092" t="s">
        <v>2683</v>
      </c>
      <c r="D87" s="3092" t="s">
        <v>2684</v>
      </c>
      <c r="E87" s="3118">
        <v>0.1</v>
      </c>
      <c r="F87" s="3118">
        <v>15</v>
      </c>
    </row>
    <row r="88" spans="1:6" ht="24">
      <c r="A88" s="3118">
        <v>16</v>
      </c>
      <c r="B88" s="3766"/>
      <c r="C88" s="3092" t="s">
        <v>2685</v>
      </c>
      <c r="D88" s="3092" t="s">
        <v>2686</v>
      </c>
      <c r="E88" s="3118">
        <v>0.1</v>
      </c>
      <c r="F88" s="3118">
        <v>15</v>
      </c>
    </row>
    <row r="89" spans="1:6" ht="24">
      <c r="A89" s="3118">
        <v>17</v>
      </c>
      <c r="B89" s="3765"/>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66"/>
      <c r="C91" s="3092" t="s">
        <v>2692</v>
      </c>
      <c r="D91" s="3092" t="s">
        <v>2693</v>
      </c>
      <c r="E91" s="3118">
        <v>0.2</v>
      </c>
      <c r="F91" s="3118">
        <v>25</v>
      </c>
    </row>
    <row r="92" spans="1:6" ht="13.5">
      <c r="A92" s="3118">
        <v>20</v>
      </c>
      <c r="B92" s="3766"/>
      <c r="C92" s="3092" t="s">
        <v>2694</v>
      </c>
      <c r="D92" s="3092" t="s">
        <v>2695</v>
      </c>
      <c r="E92" s="3118">
        <v>0.15</v>
      </c>
      <c r="F92" s="3118">
        <v>20</v>
      </c>
    </row>
    <row r="93" spans="1:6" ht="13.5">
      <c r="A93" s="3118">
        <v>21</v>
      </c>
      <c r="B93" s="3766"/>
      <c r="C93" s="3092" t="s">
        <v>2696</v>
      </c>
      <c r="D93" s="3092" t="s">
        <v>2697</v>
      </c>
      <c r="E93" s="3118">
        <v>0.15</v>
      </c>
      <c r="F93" s="3118">
        <v>20</v>
      </c>
    </row>
    <row r="94" spans="1:6" ht="13.5">
      <c r="A94" s="3118">
        <v>22</v>
      </c>
      <c r="B94" s="3766"/>
      <c r="C94" s="3092" t="s">
        <v>2698</v>
      </c>
      <c r="D94" s="3092" t="s">
        <v>2699</v>
      </c>
      <c r="E94" s="3118">
        <v>0.15</v>
      </c>
      <c r="F94" s="3118">
        <v>20</v>
      </c>
    </row>
    <row r="95" spans="1:6" ht="36">
      <c r="A95" s="3118">
        <v>23</v>
      </c>
      <c r="B95" s="3766"/>
      <c r="C95" s="3092" t="s">
        <v>2700</v>
      </c>
      <c r="D95" s="3092" t="s">
        <v>2701</v>
      </c>
      <c r="E95" s="3118">
        <v>0.15</v>
      </c>
      <c r="F95" s="3118">
        <v>20</v>
      </c>
    </row>
    <row r="96" spans="1:6" ht="13.5">
      <c r="A96" s="3118">
        <v>24</v>
      </c>
      <c r="B96" s="3766"/>
      <c r="C96" s="3092" t="s">
        <v>2702</v>
      </c>
      <c r="D96" s="3092" t="s">
        <v>2703</v>
      </c>
      <c r="E96" s="3118">
        <v>0.1</v>
      </c>
      <c r="F96" s="3118">
        <v>15</v>
      </c>
    </row>
    <row r="97" spans="1:6" ht="13.5">
      <c r="A97" s="3118">
        <v>25</v>
      </c>
      <c r="B97" s="3766"/>
      <c r="C97" s="3092" t="s">
        <v>2704</v>
      </c>
      <c r="D97" s="3092" t="s">
        <v>2705</v>
      </c>
      <c r="E97" s="3118">
        <v>0.1</v>
      </c>
      <c r="F97" s="3118">
        <v>15</v>
      </c>
    </row>
    <row r="98" spans="1:6" ht="24">
      <c r="A98" s="3118">
        <v>26</v>
      </c>
      <c r="B98" s="3766"/>
      <c r="C98" s="3092" t="s">
        <v>2706</v>
      </c>
      <c r="D98" s="3092" t="s">
        <v>2707</v>
      </c>
      <c r="E98" s="3118">
        <v>0.1</v>
      </c>
      <c r="F98" s="3118">
        <v>15</v>
      </c>
    </row>
    <row r="99" spans="1:6" ht="24">
      <c r="A99" s="3118">
        <v>27</v>
      </c>
      <c r="B99" s="3766"/>
      <c r="C99" s="3092" t="s">
        <v>2708</v>
      </c>
      <c r="D99" s="3092" t="s">
        <v>2709</v>
      </c>
      <c r="E99" s="3118">
        <v>0.1</v>
      </c>
      <c r="F99" s="3118">
        <v>15</v>
      </c>
    </row>
    <row r="100" spans="1:6" ht="13.5">
      <c r="A100" s="3118">
        <v>28</v>
      </c>
      <c r="B100" s="3766"/>
      <c r="C100" s="3092" t="s">
        <v>2710</v>
      </c>
      <c r="D100" s="3092" t="s">
        <v>2711</v>
      </c>
      <c r="E100" s="3118">
        <v>0.1</v>
      </c>
      <c r="F100" s="3118">
        <v>15</v>
      </c>
    </row>
    <row r="101" spans="1:6" ht="13.5">
      <c r="A101" s="3118">
        <v>29</v>
      </c>
      <c r="B101" s="3766"/>
      <c r="C101" s="3092" t="s">
        <v>2712</v>
      </c>
      <c r="D101" s="3092" t="s">
        <v>2713</v>
      </c>
      <c r="E101" s="3118">
        <v>0.1</v>
      </c>
      <c r="F101" s="3118">
        <v>15</v>
      </c>
    </row>
    <row r="102" spans="1:6" ht="13.5">
      <c r="A102" s="3118">
        <v>30</v>
      </c>
      <c r="B102" s="3766"/>
      <c r="C102" s="3092" t="s">
        <v>2714</v>
      </c>
      <c r="D102" s="3092" t="s">
        <v>2715</v>
      </c>
      <c r="E102" s="3118">
        <v>0.1</v>
      </c>
      <c r="F102" s="3118">
        <v>15</v>
      </c>
    </row>
    <row r="103" spans="1:6" ht="24">
      <c r="A103" s="3118">
        <v>31</v>
      </c>
      <c r="B103" s="3766"/>
      <c r="C103" s="3092" t="s">
        <v>2716</v>
      </c>
      <c r="D103" s="3092" t="s">
        <v>2717</v>
      </c>
      <c r="E103" s="3118">
        <v>0.1</v>
      </c>
      <c r="F103" s="3118">
        <v>15</v>
      </c>
    </row>
    <row r="104" spans="1:6" ht="24">
      <c r="A104" s="3118">
        <v>32</v>
      </c>
      <c r="B104" s="3766"/>
      <c r="C104" s="3092" t="s">
        <v>2718</v>
      </c>
      <c r="D104" s="3092" t="s">
        <v>2719</v>
      </c>
      <c r="E104" s="3118">
        <v>0.1</v>
      </c>
      <c r="F104" s="3118">
        <v>15</v>
      </c>
    </row>
    <row r="105" spans="1:6" ht="24">
      <c r="A105" s="3118">
        <v>33</v>
      </c>
      <c r="B105" s="3766"/>
      <c r="C105" s="3092" t="s">
        <v>2720</v>
      </c>
      <c r="D105" s="3092" t="s">
        <v>2721</v>
      </c>
      <c r="E105" s="3118">
        <v>0.1</v>
      </c>
      <c r="F105" s="3118">
        <v>15</v>
      </c>
    </row>
    <row r="106" spans="1:6" ht="24">
      <c r="A106" s="3118">
        <v>34</v>
      </c>
      <c r="B106" s="3765"/>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66"/>
      <c r="C108" s="3118" t="s">
        <v>2727</v>
      </c>
      <c r="D108" s="3092" t="s">
        <v>2728</v>
      </c>
      <c r="E108" s="3118">
        <v>0.15</v>
      </c>
      <c r="F108" s="3118">
        <v>20</v>
      </c>
    </row>
    <row r="109" spans="1:6" ht="13.5">
      <c r="A109" s="3118">
        <v>37</v>
      </c>
      <c r="B109" s="3766"/>
      <c r="C109" s="3118" t="s">
        <v>2729</v>
      </c>
      <c r="D109" s="3092" t="s">
        <v>2730</v>
      </c>
      <c r="E109" s="3118">
        <v>0.15</v>
      </c>
      <c r="F109" s="3118">
        <v>20</v>
      </c>
    </row>
    <row r="110" spans="1:6" ht="13.5">
      <c r="A110" s="3118">
        <v>38</v>
      </c>
      <c r="B110" s="3766"/>
      <c r="C110" s="3118" t="s">
        <v>2731</v>
      </c>
      <c r="D110" s="3092" t="s">
        <v>2732</v>
      </c>
      <c r="E110" s="3118">
        <v>0.1</v>
      </c>
      <c r="F110" s="3118">
        <v>15</v>
      </c>
    </row>
    <row r="111" spans="1:6" ht="24">
      <c r="A111" s="3118">
        <v>39</v>
      </c>
      <c r="B111" s="3766"/>
      <c r="C111" s="3118" t="s">
        <v>2733</v>
      </c>
      <c r="D111" s="3092" t="s">
        <v>2734</v>
      </c>
      <c r="E111" s="3118">
        <v>0.1</v>
      </c>
      <c r="F111" s="3118">
        <v>15</v>
      </c>
    </row>
    <row r="112" spans="1:6" ht="24">
      <c r="A112" s="3118">
        <v>40</v>
      </c>
      <c r="B112" s="3765"/>
      <c r="C112" s="3118" t="s">
        <v>2735</v>
      </c>
      <c r="D112" s="3092" t="s">
        <v>2736</v>
      </c>
      <c r="E112" s="3118">
        <v>0.1</v>
      </c>
      <c r="F112" s="3118">
        <v>15</v>
      </c>
    </row>
    <row r="113" spans="1:6" ht="13.5">
      <c r="A113" s="3118">
        <v>41</v>
      </c>
      <c r="B113" s="3763" t="s">
        <v>2737</v>
      </c>
      <c r="C113" s="3118" t="s">
        <v>2738</v>
      </c>
      <c r="D113" s="3092" t="s">
        <v>2739</v>
      </c>
      <c r="E113" s="3118">
        <v>0.1</v>
      </c>
      <c r="F113" s="3118">
        <v>15</v>
      </c>
    </row>
    <row r="114" spans="1:6" ht="13.5">
      <c r="A114" s="3118">
        <v>42</v>
      </c>
      <c r="B114" s="3763"/>
      <c r="C114" s="3118" t="s">
        <v>2740</v>
      </c>
      <c r="D114" s="3092" t="s">
        <v>2741</v>
      </c>
      <c r="E114" s="3118">
        <v>0.1</v>
      </c>
      <c r="F114" s="3118">
        <v>15</v>
      </c>
    </row>
    <row r="115" spans="1:6" ht="24">
      <c r="A115" s="3118">
        <v>43</v>
      </c>
      <c r="B115" s="3763"/>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5"/>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5"/>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5"/>
      <c r="C121" s="3118" t="s">
        <v>2757</v>
      </c>
      <c r="D121" s="3092" t="s">
        <v>2758</v>
      </c>
      <c r="E121" s="3118">
        <v>0.1</v>
      </c>
      <c r="F121" s="3118">
        <v>15</v>
      </c>
    </row>
    <row r="122" spans="1:6" ht="24">
      <c r="A122" s="3118">
        <v>50</v>
      </c>
      <c r="B122" s="3763" t="s">
        <v>2759</v>
      </c>
      <c r="C122" s="3118" t="s">
        <v>2760</v>
      </c>
      <c r="D122" s="3092" t="s">
        <v>2761</v>
      </c>
      <c r="E122" s="3118">
        <v>0.1</v>
      </c>
      <c r="F122" s="3118">
        <v>15</v>
      </c>
    </row>
    <row r="123" spans="1:6" ht="24">
      <c r="A123" s="3118">
        <v>51</v>
      </c>
      <c r="B123" s="3763"/>
      <c r="C123" s="3118" t="s">
        <v>2762</v>
      </c>
      <c r="D123" s="3092" t="s">
        <v>2763</v>
      </c>
      <c r="E123" s="3118">
        <v>0.1</v>
      </c>
      <c r="F123" s="3118">
        <v>15</v>
      </c>
    </row>
    <row r="124" spans="1:6" ht="24">
      <c r="A124" s="3118">
        <v>52</v>
      </c>
      <c r="B124" s="3763" t="s">
        <v>2764</v>
      </c>
      <c r="C124" s="3118" t="s">
        <v>2765</v>
      </c>
      <c r="D124" s="3092" t="s">
        <v>2766</v>
      </c>
      <c r="E124" s="3118">
        <v>0.1</v>
      </c>
      <c r="F124" s="3118">
        <v>15</v>
      </c>
    </row>
    <row r="125" spans="1:6" ht="24">
      <c r="A125" s="3118">
        <v>53</v>
      </c>
      <c r="B125" s="376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3" t="s">
        <v>2772</v>
      </c>
      <c r="C127" s="3118" t="s">
        <v>2773</v>
      </c>
      <c r="D127" s="3092" t="s">
        <v>2774</v>
      </c>
      <c r="E127" s="3118">
        <v>0.1</v>
      </c>
      <c r="F127" s="3118">
        <v>15</v>
      </c>
    </row>
    <row r="128" spans="1:6" ht="13.5">
      <c r="A128" s="3118">
        <v>56</v>
      </c>
      <c r="B128" s="3763"/>
      <c r="C128" s="3118" t="s">
        <v>2775</v>
      </c>
      <c r="D128" s="3092" t="s">
        <v>2776</v>
      </c>
      <c r="E128" s="3118">
        <v>0.1</v>
      </c>
      <c r="F128" s="3118">
        <v>15</v>
      </c>
    </row>
    <row r="129" spans="1:6" ht="24">
      <c r="A129" s="3118">
        <v>57</v>
      </c>
      <c r="B129" s="3763"/>
      <c r="C129" s="3118" t="s">
        <v>2777</v>
      </c>
      <c r="D129" s="3092" t="s">
        <v>2778</v>
      </c>
      <c r="E129" s="3118">
        <v>0.1</v>
      </c>
      <c r="F129" s="3118">
        <v>15</v>
      </c>
    </row>
    <row r="130" spans="1:6" ht="24">
      <c r="A130" s="3118">
        <v>58</v>
      </c>
      <c r="B130" s="3763" t="s">
        <v>2779</v>
      </c>
      <c r="C130" s="3118" t="s">
        <v>2780</v>
      </c>
      <c r="D130" s="3092" t="s">
        <v>2781</v>
      </c>
      <c r="E130" s="3118">
        <v>0.1</v>
      </c>
      <c r="F130" s="3118">
        <v>15</v>
      </c>
    </row>
    <row r="131" spans="1:6" ht="13.5">
      <c r="A131" s="3118">
        <v>59</v>
      </c>
      <c r="B131" s="3763"/>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3" t="s">
        <v>2792</v>
      </c>
      <c r="C135" s="3118" t="s">
        <v>2793</v>
      </c>
      <c r="D135" s="3092" t="s">
        <v>2794</v>
      </c>
      <c r="E135" s="3118">
        <v>0.1</v>
      </c>
      <c r="F135" s="3118">
        <v>15</v>
      </c>
    </row>
    <row r="136" spans="1:6" ht="13.5">
      <c r="A136" s="3118">
        <v>64</v>
      </c>
      <c r="B136" s="376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0.85809999999999997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0.81620000000000004</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28500</v>
      </c>
      <c r="C2" s="2" t="s">
        <v>106</v>
      </c>
      <c r="D2" s="199"/>
      <c r="E2" s="199"/>
      <c r="F2" s="199"/>
      <c r="G2" s="199"/>
    </row>
    <row r="3" spans="1:7" s="200" customFormat="1" ht="18" customHeight="1" thickBot="1">
      <c r="A3" s="203" t="s">
        <v>58</v>
      </c>
      <c r="B3" s="204">
        <f ca="1">ROUND(B2*10000/'数据-汇总表'!E3,0)</f>
        <v>330423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v>
      </c>
      <c r="D10" s="845">
        <f>'数据-汇总表'!E6</f>
        <v>862.53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v>
      </c>
      <c r="D19" s="849">
        <f>'数据-汇总表'!E3</f>
        <v>862.53</v>
      </c>
      <c r="E19" s="211">
        <f>'数据-取费表'!B31</f>
        <v>200</v>
      </c>
      <c r="F19" s="231"/>
      <c r="G19" s="1" t="s">
        <v>436</v>
      </c>
    </row>
    <row r="20" spans="1:7" s="214" customFormat="1" ht="13.5" customHeight="1">
      <c r="A20" s="777" t="s">
        <v>419</v>
      </c>
      <c r="B20" s="210" t="s">
        <v>77</v>
      </c>
      <c r="C20" s="232">
        <f>ROUND((C5+C19)*F20,0)</f>
        <v>516</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1508</v>
      </c>
      <c r="D22" s="235">
        <f ca="1">C26</f>
        <v>8.9999999999999998E-4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3171</v>
      </c>
      <c r="D27" s="235">
        <f>C29</f>
        <v>3.8E-3</v>
      </c>
      <c r="E27" s="236" t="s">
        <v>99</v>
      </c>
      <c r="F27" s="246">
        <f>'数据-取费表'!Q16</f>
        <v>0.15</v>
      </c>
      <c r="G27" s="247" t="s">
        <v>431</v>
      </c>
    </row>
    <row r="28" spans="1:7" s="214" customFormat="1" ht="13.5" customHeight="1">
      <c r="A28" s="780" t="s">
        <v>349</v>
      </c>
      <c r="B28" s="248" t="s">
        <v>424</v>
      </c>
      <c r="C28" s="249">
        <f>ROUND((C5+C19+C20)*F27*'数据-取费表'!B21/'数据-取费表'!B20,0)</f>
        <v>3171</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345</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v>
      </c>
      <c r="D37" s="217">
        <f>'数据-汇总表'!E3</f>
        <v>862.53</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14</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8.9999999999999998E-4</v>
      </c>
      <c r="D44" s="238"/>
      <c r="E44" s="238"/>
      <c r="F44" s="239"/>
      <c r="G44" s="3641"/>
    </row>
    <row r="45" spans="1:7" s="214" customFormat="1" ht="13.5" customHeight="1">
      <c r="A45" s="777" t="s">
        <v>341</v>
      </c>
      <c r="B45" s="244" t="s">
        <v>85</v>
      </c>
      <c r="C45" s="245">
        <f>C46</f>
        <v>59</v>
      </c>
      <c r="D45" s="235">
        <f>C47</f>
        <v>3.8E-3</v>
      </c>
      <c r="E45" s="236" t="s">
        <v>102</v>
      </c>
      <c r="F45" s="246"/>
      <c r="G45" s="247" t="s">
        <v>434</v>
      </c>
    </row>
    <row r="46" spans="1:7" s="214" customFormat="1" ht="13.5" customHeight="1">
      <c r="A46" s="780" t="s">
        <v>349</v>
      </c>
      <c r="B46" s="248" t="s">
        <v>427</v>
      </c>
      <c r="C46" s="249">
        <f>ROUND((C33+C39)*F27,0)</f>
        <v>59</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509</v>
      </c>
      <c r="D49" s="232"/>
      <c r="E49" s="232"/>
      <c r="F49" s="264"/>
      <c r="G49" s="234" t="s">
        <v>435</v>
      </c>
    </row>
    <row r="50" spans="1:7" s="258" customFormat="1" ht="24">
      <c r="A50" s="777" t="s">
        <v>344</v>
      </c>
      <c r="B50" s="210" t="s">
        <v>97</v>
      </c>
      <c r="C50" s="232"/>
      <c r="D50" s="232"/>
      <c r="E50" s="232"/>
      <c r="F50" s="264">
        <f>IF('数据-取费表'!B24=0,'数据-取费表'!N16,1)</f>
        <v>0.66700000000000004</v>
      </c>
      <c r="G50" s="247" t="s">
        <v>98</v>
      </c>
    </row>
    <row r="51" spans="1:7" ht="16.5" customHeight="1">
      <c r="A51" s="777" t="s">
        <v>345</v>
      </c>
      <c r="B51" s="210" t="s">
        <v>105</v>
      </c>
      <c r="C51" s="232">
        <f ca="1">ROUND(C49*F50,0)</f>
        <v>340</v>
      </c>
      <c r="D51" s="232"/>
      <c r="E51" s="232"/>
      <c r="F51" s="264"/>
      <c r="G51" s="234" t="s">
        <v>37</v>
      </c>
    </row>
    <row r="52" spans="1:7" s="208" customFormat="1" ht="16.5" thickBot="1">
      <c r="A52" s="265" t="s">
        <v>38</v>
      </c>
      <c r="B52" s="266"/>
      <c r="C52" s="267">
        <f ca="1">C31+C51</f>
        <v>28500</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2734</v>
      </c>
      <c r="E5" s="1491"/>
    </row>
    <row r="6" spans="1:5" ht="15.75">
      <c r="A6" s="1491"/>
      <c r="B6" s="3458"/>
      <c r="C6" s="1494" t="s">
        <v>911</v>
      </c>
      <c r="D6" s="850" t="str">
        <f ca="1">NUMBERSTRING(INT(D5*10000),2)&amp;"元整"</f>
        <v>贰仟柒佰叁拾肆万元整</v>
      </c>
      <c r="E6" s="1491"/>
    </row>
    <row r="7" spans="1:5" ht="15.75">
      <c r="A7" s="1491"/>
      <c r="B7" s="3463"/>
      <c r="C7" s="1495" t="s">
        <v>912</v>
      </c>
      <c r="D7" s="851">
        <f ca="1">结果表!H102</f>
        <v>31697</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2734</v>
      </c>
      <c r="E13" s="1491"/>
    </row>
    <row r="14" spans="1:5" ht="15.75">
      <c r="A14" s="1491"/>
      <c r="B14" s="3458"/>
      <c r="C14" s="1494" t="s">
        <v>911</v>
      </c>
      <c r="D14" s="850" t="str">
        <f ca="1">NUMBERSTRING(INT(D13*10000),2)&amp;"元整"</f>
        <v>贰仟柒佰叁拾肆万元整</v>
      </c>
      <c r="E14" s="1491"/>
    </row>
    <row r="15" spans="1:5" ht="15">
      <c r="A15" s="1491"/>
      <c r="B15" s="3463"/>
      <c r="C15" s="1495" t="s">
        <v>921</v>
      </c>
      <c r="D15" s="859">
        <f ca="1">结果表!H108</f>
        <v>31697</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4.抵押净值</v>
      </c>
      <c r="C19" s="1499" t="s">
        <v>910</v>
      </c>
      <c r="D19" s="851">
        <f ca="1">结果表!H111</f>
        <v>1699</v>
      </c>
      <c r="E19" s="1491"/>
    </row>
    <row r="20" spans="1:5" ht="15.75">
      <c r="A20" s="1491"/>
      <c r="B20" s="3458"/>
      <c r="C20" s="1494" t="s">
        <v>923</v>
      </c>
      <c r="D20" s="850" t="str">
        <f ca="1">NUMBERSTRING(INT(D19*10000),2)&amp;"元整"</f>
        <v>壹仟陆佰玖拾玖万元整</v>
      </c>
      <c r="E20" s="1491"/>
    </row>
    <row r="21" spans="1:5" ht="15.75" thickBot="1">
      <c r="A21" s="1491"/>
      <c r="B21" s="3459"/>
      <c r="C21" s="1501" t="s">
        <v>921</v>
      </c>
      <c r="D21" s="860">
        <f ca="1">结果表!H112</f>
        <v>19698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7" t="s">
        <v>2844</v>
      </c>
      <c r="B1" s="3777"/>
      <c r="C1" s="3777"/>
      <c r="D1" s="3777"/>
      <c r="E1" s="3777"/>
      <c r="F1" s="3777"/>
      <c r="G1" s="3778"/>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5"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6"/>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9" t="s">
        <v>3186</v>
      </c>
      <c r="B1" s="3779"/>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0" t="s">
        <v>3237</v>
      </c>
      <c r="B1" s="3780"/>
      <c r="C1" s="3780"/>
      <c r="D1" s="3780"/>
      <c r="E1" s="3780"/>
      <c r="F1" s="3781"/>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RowHeight="13.5"/>
  <cols>
    <col min="1" max="1" width="13.875" customWidth="1"/>
    <col min="11" max="17" width="0" hidden="1" customWidth="1"/>
    <col min="25" max="30" width="0" hidden="1" customWidth="1"/>
  </cols>
  <sheetData>
    <row r="1" spans="1:30">
      <c r="A1" s="3221">
        <f>基准地价修正!G23</f>
        <v>45146</v>
      </c>
      <c r="B1" s="3210" t="s">
        <v>2843</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2" t="s">
        <v>2831</v>
      </c>
      <c r="S21" s="3783"/>
      <c r="T21" s="3783"/>
      <c r="U21" s="3783"/>
      <c r="V21" s="3783"/>
      <c r="W21" s="3783"/>
      <c r="X21" s="3165"/>
      <c r="Y21" s="3782" t="s">
        <v>2832</v>
      </c>
      <c r="Z21" s="3783"/>
      <c r="AA21" s="3783"/>
      <c r="AB21" s="3783"/>
      <c r="AC21" s="3783"/>
      <c r="AD21" s="3783"/>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2312</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0"/>
  <sheetViews>
    <sheetView topLeftCell="A46" zoomScale="85" zoomScaleNormal="85" workbookViewId="0">
      <selection activeCell="S67" sqref="S67"/>
    </sheetView>
  </sheetViews>
  <sheetFormatPr defaultRowHeight="13.5"/>
  <sheetData>
    <row r="150" spans="2:2">
      <c r="B150" s="3452"/>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862.53</v>
      </c>
      <c r="C4" s="854">
        <f>项目基本情况!C18</f>
        <v>0</v>
      </c>
      <c r="D4" s="854" t="e">
        <f ca="1">结果表!D118</f>
        <v>#REF!</v>
      </c>
      <c r="E4" s="854" t="e">
        <f ca="1">结果表!E118</f>
        <v>#REF!</v>
      </c>
      <c r="F4" s="854" t="e">
        <f ca="1">结果表!F118</f>
        <v>#REF!</v>
      </c>
      <c r="G4" s="854" t="e">
        <f ca="1">结果表!G118</f>
        <v>#REF!</v>
      </c>
      <c r="H4" s="854">
        <f ca="1">结果表!H118</f>
        <v>2734</v>
      </c>
      <c r="I4" s="854">
        <f ca="1">结果表!I118</f>
        <v>31697</v>
      </c>
    </row>
    <row r="5" spans="1:9" ht="30" customHeight="1">
      <c r="A5" s="3470" t="s">
        <v>927</v>
      </c>
      <c r="B5" s="3470"/>
      <c r="C5" s="3470"/>
      <c r="D5" s="3470" t="e">
        <f ca="1">结果表!D119</f>
        <v>#REF!</v>
      </c>
      <c r="E5" s="3470"/>
      <c r="F5" s="3470" t="e">
        <f ca="1">结果表!F119</f>
        <v>#REF!</v>
      </c>
      <c r="G5" s="3470"/>
      <c r="H5" s="3470" t="str">
        <f ca="1">结果表!H119</f>
        <v>贰仟柒佰叁拾肆万元整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2734</v>
      </c>
      <c r="E8" s="3469"/>
      <c r="F8" s="3469"/>
      <c r="G8" s="3469"/>
      <c r="H8" s="3469"/>
      <c r="I8" s="3469"/>
    </row>
    <row r="9" spans="1:9" ht="15">
      <c r="A9" s="3470" t="s">
        <v>927</v>
      </c>
      <c r="B9" s="3470"/>
      <c r="C9" s="3470"/>
      <c r="D9" s="3470" t="str">
        <f ca="1">结果表!D123</f>
        <v>贰仟柒佰叁拾肆万元整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抵押净值</v>
      </c>
      <c r="B12" s="3469"/>
      <c r="C12" s="3469"/>
      <c r="D12" s="3469">
        <f ca="1">结果表!D126</f>
        <v>1699</v>
      </c>
      <c r="E12" s="3469"/>
      <c r="F12" s="3469"/>
      <c r="G12" s="3469"/>
      <c r="H12" s="3469"/>
      <c r="I12" s="3469"/>
    </row>
    <row r="13" spans="1:9" ht="15.75" thickBot="1">
      <c r="A13" s="3467" t="s">
        <v>927</v>
      </c>
      <c r="B13" s="3467"/>
      <c r="C13" s="3467"/>
      <c r="D13" s="3467" t="str">
        <f ca="1">结果表!D127</f>
        <v>壹仟陆佰玖拾玖万元整</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45146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3"/>
      <c r="E18" s="3495" t="s">
        <v>2161</v>
      </c>
      <c r="F18" s="3494"/>
      <c r="G18" s="349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2023-08-08T08:24:40Z</dcterms:modified>
</cp:coreProperties>
</file>