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5" r:id="rId24"/>
    <sheet name="基准地价修正" sheetId="4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 name="Sheet2" sheetId="81" r:id="rId48"/>
    <sheet name="办公" sheetId="82" r:id="rId49"/>
    <sheet name="商业" sheetId="83" r:id="rId50"/>
    <sheet name="车库" sheetId="84"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3" hidden="1">土地案例!$A$1:$W$61</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9" i="39" l="1"/>
  <c r="AA9" i="39" s="1"/>
  <c r="H9" i="39"/>
  <c r="AB9" i="39"/>
  <c r="J9" i="39"/>
  <c r="AC9" i="39"/>
  <c r="E117" i="39"/>
  <c r="F117" i="39" s="1"/>
  <c r="G117" i="39" s="1"/>
  <c r="D117" i="39"/>
  <c r="Z36" i="1"/>
  <c r="V35" i="1"/>
  <c r="Z35" i="1" s="1"/>
  <c r="Z37" i="1" s="1"/>
  <c r="I46" i="39"/>
  <c r="V46" i="39"/>
  <c r="I38" i="39"/>
  <c r="J38" i="39" s="1"/>
  <c r="AC38" i="39" s="1"/>
  <c r="I6" i="39"/>
  <c r="I5" i="39"/>
  <c r="G46" i="39"/>
  <c r="T46" i="39" s="1"/>
  <c r="G38" i="39"/>
  <c r="G7" i="39"/>
  <c r="G6" i="39"/>
  <c r="G5" i="39"/>
  <c r="E46" i="39"/>
  <c r="E38" i="39"/>
  <c r="F38" i="39" s="1"/>
  <c r="E7" i="39"/>
  <c r="E6" i="39"/>
  <c r="E5" i="39"/>
  <c r="D80" i="39"/>
  <c r="E80" i="39"/>
  <c r="D90" i="39"/>
  <c r="E90" i="39" s="1"/>
  <c r="D94" i="39"/>
  <c r="D96" i="39"/>
  <c r="E96" i="39" s="1"/>
  <c r="D98" i="39"/>
  <c r="J25" i="39" s="1"/>
  <c r="AC25" i="39" s="1"/>
  <c r="D100" i="39"/>
  <c r="J27" i="39"/>
  <c r="AC27" i="39" s="1"/>
  <c r="J29" i="39"/>
  <c r="AC29" i="39" s="1"/>
  <c r="R46" i="39"/>
  <c r="F29" i="39"/>
  <c r="AA29" i="39" s="1"/>
  <c r="H38" i="39"/>
  <c r="AB38" i="39" s="1"/>
  <c r="H21" i="39"/>
  <c r="AB21" i="39" s="1"/>
  <c r="H23" i="39"/>
  <c r="AB23" i="39" s="1"/>
  <c r="H25" i="39"/>
  <c r="AB25" i="39" s="1"/>
  <c r="H27" i="39"/>
  <c r="AB27" i="39" s="1"/>
  <c r="H29" i="39"/>
  <c r="AB29" i="39" s="1"/>
  <c r="C38" i="39"/>
  <c r="D70" i="39"/>
  <c r="E70" i="39" s="1"/>
  <c r="F70" i="39" s="1"/>
  <c r="G70" i="39" s="1"/>
  <c r="H70" i="39" s="1"/>
  <c r="I70" i="39" s="1"/>
  <c r="J70" i="39" s="1"/>
  <c r="K70" i="39" s="1"/>
  <c r="L70" i="39" s="1"/>
  <c r="M70" i="39" s="1"/>
  <c r="N70" i="39" s="1"/>
  <c r="O70" i="39" s="1"/>
  <c r="P70" i="39" s="1"/>
  <c r="N46" i="83"/>
  <c r="N28" i="83"/>
  <c r="O70" i="83"/>
  <c r="N70" i="83"/>
  <c r="Z23" i="1"/>
  <c r="V32" i="1"/>
  <c r="V31" i="1"/>
  <c r="Z27" i="1"/>
  <c r="Z28" i="1"/>
  <c r="Z29" i="1"/>
  <c r="Z30" i="1"/>
  <c r="C34" i="34"/>
  <c r="F20" i="68"/>
  <c r="F21" i="68"/>
  <c r="C21" i="68"/>
  <c r="F38" i="68"/>
  <c r="C40" i="68"/>
  <c r="F18" i="15"/>
  <c r="F20" i="15"/>
  <c r="F21" i="15"/>
  <c r="M47" i="15"/>
  <c r="AE7" i="1"/>
  <c r="U5" i="43"/>
  <c r="U4" i="43"/>
  <c r="U3" i="43"/>
  <c r="U2" i="43"/>
  <c r="G24" i="43"/>
  <c r="N6" i="1"/>
  <c r="C37" i="34" s="1"/>
  <c r="N23" i="1"/>
  <c r="J52" i="15"/>
  <c r="N21" i="1"/>
  <c r="I16" i="3"/>
  <c r="I15" i="3"/>
  <c r="I14" i="3"/>
  <c r="I13" i="3"/>
  <c r="E11" i="80"/>
  <c r="D3" i="4"/>
  <c r="B3" i="78" s="1"/>
  <c r="AB28" i="79"/>
  <c r="AA28" i="79"/>
  <c r="Z28" i="79"/>
  <c r="N28" i="79"/>
  <c r="M28" i="79"/>
  <c r="P28" i="79" s="1"/>
  <c r="L28" i="79"/>
  <c r="I28" i="79"/>
  <c r="AD28" i="79" s="1"/>
  <c r="AC5" i="79"/>
  <c r="AB5" i="79"/>
  <c r="AA5" i="79"/>
  <c r="AD5" i="79" s="1"/>
  <c r="Z5" i="79"/>
  <c r="Y5" i="79"/>
  <c r="O5" i="79"/>
  <c r="N5" i="79"/>
  <c r="M5" i="79"/>
  <c r="P5" i="79" s="1"/>
  <c r="L5" i="79"/>
  <c r="K5" i="79"/>
  <c r="I5" i="79"/>
  <c r="I8" i="79"/>
  <c r="I31" i="79"/>
  <c r="I30" i="79"/>
  <c r="N30" i="79"/>
  <c r="M30" i="79"/>
  <c r="P30" i="79"/>
  <c r="L30" i="79"/>
  <c r="N31" i="79"/>
  <c r="M31" i="79"/>
  <c r="P31" i="79" s="1"/>
  <c r="L31" i="79"/>
  <c r="O7" i="79"/>
  <c r="N7" i="79"/>
  <c r="M7" i="79"/>
  <c r="P7" i="79"/>
  <c r="L7" i="79"/>
  <c r="K7" i="79"/>
  <c r="O8" i="79"/>
  <c r="N8" i="79"/>
  <c r="M8" i="79"/>
  <c r="P8" i="79"/>
  <c r="L8" i="79"/>
  <c r="K8" i="79"/>
  <c r="G14" i="73"/>
  <c r="F14" i="73"/>
  <c r="E14" i="73"/>
  <c r="A6" i="1"/>
  <c r="B6" i="1"/>
  <c r="E6" i="1" s="1"/>
  <c r="L32" i="79"/>
  <c r="M32" i="79"/>
  <c r="P32" i="79"/>
  <c r="N32" i="79"/>
  <c r="L33" i="79"/>
  <c r="M33" i="79"/>
  <c r="P33" i="79"/>
  <c r="N33" i="79"/>
  <c r="L34" i="79"/>
  <c r="M34" i="79"/>
  <c r="P34" i="79" s="1"/>
  <c r="N34" i="79"/>
  <c r="I32" i="79"/>
  <c r="I33" i="79"/>
  <c r="I34" i="79"/>
  <c r="I9" i="79"/>
  <c r="I10" i="79"/>
  <c r="I11" i="79"/>
  <c r="K9" i="79"/>
  <c r="L9" i="79"/>
  <c r="M9" i="79"/>
  <c r="P9" i="79"/>
  <c r="N9" i="79"/>
  <c r="O9" i="79"/>
  <c r="K10" i="79"/>
  <c r="L10" i="79"/>
  <c r="M10" i="79"/>
  <c r="P10" i="79"/>
  <c r="N10" i="79"/>
  <c r="O10" i="79"/>
  <c r="K11" i="79"/>
  <c r="L11" i="79"/>
  <c r="M11" i="79"/>
  <c r="P11" i="79"/>
  <c r="N11" i="79"/>
  <c r="O11" i="79"/>
  <c r="B10" i="74"/>
  <c r="E111" i="9"/>
  <c r="H112" i="9"/>
  <c r="E109" i="9"/>
  <c r="H109" i="9" s="1"/>
  <c r="H110" i="9" s="1"/>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I23" i="43"/>
  <c r="G17" i="43"/>
  <c r="C13" i="43"/>
  <c r="G2" i="43"/>
  <c r="AB42" i="79"/>
  <c r="AA42" i="79"/>
  <c r="Z42" i="79"/>
  <c r="W42" i="79"/>
  <c r="N42" i="79"/>
  <c r="M42" i="79"/>
  <c r="P42" i="79" s="1"/>
  <c r="L42" i="79"/>
  <c r="I42" i="79"/>
  <c r="AD42" i="79"/>
  <c r="AB41" i="79"/>
  <c r="AA41" i="79"/>
  <c r="Z41" i="79"/>
  <c r="N41" i="79"/>
  <c r="U41" i="79" s="1"/>
  <c r="M41" i="79"/>
  <c r="L41" i="79"/>
  <c r="S41" i="79"/>
  <c r="I41" i="79"/>
  <c r="AD41" i="79"/>
  <c r="AB40" i="79"/>
  <c r="AA40" i="79"/>
  <c r="Z40" i="79"/>
  <c r="N40" i="79"/>
  <c r="U40" i="79" s="1"/>
  <c r="M40" i="79"/>
  <c r="L40" i="79"/>
  <c r="S40" i="79"/>
  <c r="I40" i="79"/>
  <c r="AD40" i="79"/>
  <c r="AB39" i="79"/>
  <c r="AA39" i="79"/>
  <c r="Z39" i="79"/>
  <c r="N39" i="79"/>
  <c r="U39" i="79" s="1"/>
  <c r="M39" i="79"/>
  <c r="L39" i="79"/>
  <c r="S39" i="79"/>
  <c r="I39" i="79"/>
  <c r="AD39" i="79"/>
  <c r="AB38" i="79"/>
  <c r="AA38" i="79"/>
  <c r="Z38" i="79"/>
  <c r="N38" i="79"/>
  <c r="M38" i="79"/>
  <c r="L38" i="79"/>
  <c r="S38" i="79"/>
  <c r="I38" i="79"/>
  <c r="AD38" i="79"/>
  <c r="AB37" i="79"/>
  <c r="AA37" i="79"/>
  <c r="Z37" i="79"/>
  <c r="N37" i="79"/>
  <c r="U37" i="79" s="1"/>
  <c r="M37" i="79"/>
  <c r="T26" i="79" s="1"/>
  <c r="W26" i="79" s="1"/>
  <c r="L37" i="79"/>
  <c r="S37" i="79"/>
  <c r="I37" i="79"/>
  <c r="AD37" i="79"/>
  <c r="AB36" i="79"/>
  <c r="AA36" i="79"/>
  <c r="Z36" i="79"/>
  <c r="N36" i="79"/>
  <c r="U36" i="79" s="1"/>
  <c r="M36" i="79"/>
  <c r="L36" i="79"/>
  <c r="S32" i="79" s="1"/>
  <c r="I36" i="79"/>
  <c r="AD36" i="79"/>
  <c r="AB35" i="79"/>
  <c r="AA35" i="79"/>
  <c r="Z35" i="79"/>
  <c r="N35" i="79"/>
  <c r="U30" i="79" s="1"/>
  <c r="M35" i="79"/>
  <c r="L35" i="79"/>
  <c r="S30" i="79"/>
  <c r="I35" i="79"/>
  <c r="AB29" i="79"/>
  <c r="AA29" i="79"/>
  <c r="AA26" i="79"/>
  <c r="AD26" i="79" s="1"/>
  <c r="Z29" i="79"/>
  <c r="N29" i="79"/>
  <c r="M29" i="79"/>
  <c r="L29" i="79"/>
  <c r="I29" i="79"/>
  <c r="AD29" i="79"/>
  <c r="N26" i="79"/>
  <c r="G26" i="79"/>
  <c r="F26" i="79"/>
  <c r="I26" i="79"/>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c r="K18" i="79"/>
  <c r="R18" i="79"/>
  <c r="I18" i="79"/>
  <c r="AD17" i="79"/>
  <c r="AC17" i="79"/>
  <c r="AB17" i="79"/>
  <c r="AA17" i="79"/>
  <c r="Z17" i="79"/>
  <c r="Y17" i="79"/>
  <c r="O17" i="79"/>
  <c r="V17" i="79" s="1"/>
  <c r="N17" i="79"/>
  <c r="M17" i="79"/>
  <c r="T17" i="79" s="1"/>
  <c r="W17" i="79"/>
  <c r="L17" i="79"/>
  <c r="S17" i="79"/>
  <c r="K17" i="79"/>
  <c r="R17" i="79"/>
  <c r="I17" i="79"/>
  <c r="AC16" i="79"/>
  <c r="AB16" i="79"/>
  <c r="AA16" i="79"/>
  <c r="AD16" i="79" s="1"/>
  <c r="Z16" i="79"/>
  <c r="Y16" i="79"/>
  <c r="O16" i="79"/>
  <c r="N16" i="79"/>
  <c r="M16" i="79"/>
  <c r="L16" i="79"/>
  <c r="S16" i="79" s="1"/>
  <c r="K16" i="79"/>
  <c r="R13" i="79" s="1"/>
  <c r="I16" i="79"/>
  <c r="AD15" i="79"/>
  <c r="AC15" i="79"/>
  <c r="AB15" i="79"/>
  <c r="AB3" i="79" s="1"/>
  <c r="AA15" i="79"/>
  <c r="Z15" i="79"/>
  <c r="Y15" i="79"/>
  <c r="O15" i="79"/>
  <c r="V15" i="79" s="1"/>
  <c r="N15" i="79"/>
  <c r="M15" i="79"/>
  <c r="T15" i="79"/>
  <c r="W15" i="79" s="1"/>
  <c r="L15" i="79"/>
  <c r="S15" i="79" s="1"/>
  <c r="K15" i="79"/>
  <c r="I15" i="79"/>
  <c r="AC14" i="79"/>
  <c r="AC3" i="79" s="1"/>
  <c r="AB14" i="79"/>
  <c r="AA14" i="79"/>
  <c r="AD14" i="79" s="1"/>
  <c r="Z14" i="79"/>
  <c r="Y14" i="79"/>
  <c r="O14" i="79"/>
  <c r="N14" i="79"/>
  <c r="M14" i="79"/>
  <c r="L14" i="79"/>
  <c r="S14" i="79"/>
  <c r="K14" i="79"/>
  <c r="I14" i="79"/>
  <c r="AC13" i="79"/>
  <c r="AB13" i="79"/>
  <c r="AA13" i="79"/>
  <c r="AD13" i="79"/>
  <c r="Z13" i="79"/>
  <c r="Y13" i="79"/>
  <c r="O13" i="79"/>
  <c r="N13" i="79"/>
  <c r="M13" i="79"/>
  <c r="T13" i="79" s="1"/>
  <c r="L13" i="79"/>
  <c r="S13" i="79"/>
  <c r="K13" i="79"/>
  <c r="I13" i="79"/>
  <c r="AC12" i="79"/>
  <c r="AB12" i="79"/>
  <c r="AA12" i="79"/>
  <c r="AD12" i="79" s="1"/>
  <c r="Z12" i="79"/>
  <c r="Y12" i="79"/>
  <c r="O12" i="79"/>
  <c r="V5" i="79" s="1"/>
  <c r="N12" i="79"/>
  <c r="M12" i="79"/>
  <c r="L12" i="79"/>
  <c r="S5" i="79" s="1"/>
  <c r="K12" i="79"/>
  <c r="I12" i="79"/>
  <c r="AC6" i="79"/>
  <c r="AB6" i="79"/>
  <c r="AA6" i="79"/>
  <c r="AD6" i="79"/>
  <c r="Z6" i="79"/>
  <c r="Z3" i="79"/>
  <c r="Y6" i="79"/>
  <c r="Y3" i="79"/>
  <c r="O6" i="79"/>
  <c r="V3" i="79" s="1"/>
  <c r="N6" i="79"/>
  <c r="M6" i="79"/>
  <c r="P6" i="79" s="1"/>
  <c r="L6" i="79"/>
  <c r="K6" i="79"/>
  <c r="K3" i="79" s="1"/>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N3" i="79"/>
  <c r="O3" i="79"/>
  <c r="W13" i="79"/>
  <c r="R15" i="79"/>
  <c r="R16" i="79"/>
  <c r="V16" i="79"/>
  <c r="S3" i="79"/>
  <c r="U13" i="79"/>
  <c r="R14" i="79"/>
  <c r="V14" i="79"/>
  <c r="T5" i="79"/>
  <c r="W5" i="79"/>
  <c r="U3" i="79"/>
  <c r="M3" i="79"/>
  <c r="P3" i="79" s="1"/>
  <c r="T3" i="79"/>
  <c r="W3" i="79" s="1"/>
  <c r="U29" i="79"/>
  <c r="AD35" i="79"/>
  <c r="T34" i="79"/>
  <c r="T35" i="79"/>
  <c r="W35" i="79" s="1"/>
  <c r="T33" i="79"/>
  <c r="W33" i="79" s="1"/>
  <c r="S36" i="79"/>
  <c r="T37" i="79"/>
  <c r="W37" i="79" s="1"/>
  <c r="T39" i="79"/>
  <c r="W39" i="79" s="1"/>
  <c r="T41" i="79"/>
  <c r="W41" i="79" s="1"/>
  <c r="S35" i="79"/>
  <c r="S33" i="79"/>
  <c r="S34" i="79"/>
  <c r="S31" i="79"/>
  <c r="U35" i="79"/>
  <c r="U33" i="79"/>
  <c r="U34" i="79"/>
  <c r="U32" i="79"/>
  <c r="U31" i="79"/>
  <c r="T38" i="79"/>
  <c r="W38" i="79" s="1"/>
  <c r="T40" i="79"/>
  <c r="W40" i="79" s="1"/>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s="1"/>
  <c r="P18" i="79"/>
  <c r="T18" i="79"/>
  <c r="W18" i="79"/>
  <c r="AA3" i="79"/>
  <c r="AD3" i="79"/>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E23" i="78"/>
  <c r="E22" i="78"/>
  <c r="G22" i="78" s="1"/>
  <c r="F12" i="78"/>
  <c r="B15" i="78" s="1"/>
  <c r="F11" i="78"/>
  <c r="C18" i="78" s="1"/>
  <c r="H100" i="43"/>
  <c r="H97" i="43"/>
  <c r="H95" i="43"/>
  <c r="H94" i="43"/>
  <c r="H98" i="43"/>
  <c r="H93" i="43"/>
  <c r="H101" i="43"/>
  <c r="H99" i="43"/>
  <c r="H96" i="43"/>
  <c r="G23"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C29" i="77" s="1"/>
  <c r="R27" i="77"/>
  <c r="M24" i="77"/>
  <c r="R23" i="77"/>
  <c r="D23" i="77"/>
  <c r="E23"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R24" i="77"/>
  <c r="D26" i="77"/>
  <c r="R35" i="77"/>
  <c r="U34" i="77" s="1"/>
  <c r="AH9" i="71"/>
  <c r="AG9" i="71"/>
  <c r="AE9" i="71"/>
  <c r="AF9" i="71" s="1"/>
  <c r="AD9" i="71"/>
  <c r="Q9" i="71"/>
  <c r="P9" i="71"/>
  <c r="O9" i="71"/>
  <c r="N9" i="71"/>
  <c r="R19" i="77"/>
  <c r="AH10" i="71"/>
  <c r="AG10" i="71"/>
  <c r="AE10" i="71"/>
  <c r="AF10" i="71" s="1"/>
  <c r="AD10" i="71"/>
  <c r="Q10" i="71"/>
  <c r="P10" i="71"/>
  <c r="O10" i="71"/>
  <c r="N10" i="71"/>
  <c r="E24" i="43"/>
  <c r="Q32" i="43" s="1"/>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c r="K3" i="71"/>
  <c r="AG3" i="71"/>
  <c r="J3" i="71"/>
  <c r="AE3" i="7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c r="A20" i="62"/>
  <c r="A22" i="51"/>
  <c r="A21" i="51"/>
  <c r="A20" i="51"/>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A126" i="9"/>
  <c r="A12" i="52" s="1"/>
  <c r="B56" i="72"/>
  <c r="A124" i="9"/>
  <c r="A10" i="52"/>
  <c r="B55" i="72" s="1"/>
  <c r="B44" i="72"/>
  <c r="B42" i="72"/>
  <c r="B69" i="72"/>
  <c r="B68" i="72"/>
  <c r="B63" i="72"/>
  <c r="B62" i="72"/>
  <c r="B16" i="72"/>
  <c r="B60" i="72"/>
  <c r="B66" i="72"/>
  <c r="B10" i="72"/>
  <c r="C53" i="10"/>
  <c r="B51" i="10"/>
  <c r="B19" i="72"/>
  <c r="A18" i="51"/>
  <c r="B13" i="72"/>
  <c r="B49" i="48"/>
  <c r="B5" i="72"/>
  <c r="D89" i="71"/>
  <c r="F88" i="71"/>
  <c r="E88" i="71"/>
  <c r="E87" i="71"/>
  <c r="E86" i="71" s="1"/>
  <c r="C88" i="71"/>
  <c r="D88" i="71" s="1"/>
  <c r="B88" i="71"/>
  <c r="B87" i="71" s="1"/>
  <c r="F87" i="71"/>
  <c r="F86" i="71" s="1"/>
  <c r="B86" i="71"/>
  <c r="D85" i="71"/>
  <c r="F84" i="71"/>
  <c r="F83" i="71" s="1"/>
  <c r="F82" i="71" s="1"/>
  <c r="E84" i="71"/>
  <c r="E83" i="71"/>
  <c r="E82" i="71" s="1"/>
  <c r="C84" i="71"/>
  <c r="D84" i="71" s="1"/>
  <c r="B84" i="71"/>
  <c r="B83" i="71" s="1"/>
  <c r="B82" i="71"/>
  <c r="D81" i="71"/>
  <c r="Q80" i="71"/>
  <c r="P80" i="71"/>
  <c r="O80" i="71"/>
  <c r="N80" i="71"/>
  <c r="F80" i="71"/>
  <c r="V80" i="71" s="1"/>
  <c r="E80" i="71"/>
  <c r="U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s="1"/>
  <c r="E72" i="71"/>
  <c r="U72" i="71" s="1"/>
  <c r="C72" i="71"/>
  <c r="T72" i="71"/>
  <c r="B72" i="71"/>
  <c r="S72" i="71" s="1"/>
  <c r="Q71" i="71"/>
  <c r="P71" i="71"/>
  <c r="O71" i="71"/>
  <c r="N71" i="71"/>
  <c r="B71" i="71"/>
  <c r="B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s="1"/>
  <c r="B44" i="71" s="1"/>
  <c r="S44" i="71" s="1"/>
  <c r="D41" i="71"/>
  <c r="Q40" i="71"/>
  <c r="P40" i="71"/>
  <c r="O40" i="71"/>
  <c r="N40" i="71"/>
  <c r="AB39" i="71"/>
  <c r="Q39" i="71"/>
  <c r="P39" i="71"/>
  <c r="AA39" i="71"/>
  <c r="O39" i="71"/>
  <c r="Y39" i="71" s="1"/>
  <c r="Z39" i="71" s="1"/>
  <c r="N39" i="71"/>
  <c r="X39" i="71" s="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s="1"/>
  <c r="P34" i="71"/>
  <c r="O34" i="71"/>
  <c r="Y34" i="71" s="1"/>
  <c r="Z34" i="71" s="1"/>
  <c r="N34" i="71"/>
  <c r="Q33" i="71"/>
  <c r="F34" i="71" s="1"/>
  <c r="F35" i="71" s="1"/>
  <c r="F36" i="71" s="1"/>
  <c r="V36" i="71" s="1"/>
  <c r="P33" i="71"/>
  <c r="E34" i="71" s="1"/>
  <c r="E35" i="71" s="1"/>
  <c r="E36" i="71" s="1"/>
  <c r="U36" i="71" s="1"/>
  <c r="O33" i="71"/>
  <c r="N33" i="71"/>
  <c r="D33" i="71"/>
  <c r="Q32" i="71"/>
  <c r="AB32" i="71" s="1"/>
  <c r="P32" i="71"/>
  <c r="O32" i="71"/>
  <c r="Y32" i="71"/>
  <c r="Z32" i="71" s="1"/>
  <c r="N32" i="71"/>
  <c r="Q31" i="71"/>
  <c r="AB29" i="71" s="1"/>
  <c r="AB31" i="71"/>
  <c r="P31" i="71"/>
  <c r="O31" i="71"/>
  <c r="Y31" i="71"/>
  <c r="Z31" i="71"/>
  <c r="N31" i="71"/>
  <c r="Q30" i="71"/>
  <c r="AB30" i="71"/>
  <c r="P30" i="71"/>
  <c r="AA29" i="71" s="1"/>
  <c r="O30" i="71"/>
  <c r="Y30" i="71" s="1"/>
  <c r="Z30" i="71" s="1"/>
  <c r="N30" i="71"/>
  <c r="Q29" i="71"/>
  <c r="F30" i="71" s="1"/>
  <c r="F31" i="71" s="1"/>
  <c r="F32" i="71" s="1"/>
  <c r="V32" i="71" s="1"/>
  <c r="P29" i="71"/>
  <c r="O29" i="71"/>
  <c r="N29" i="71"/>
  <c r="D29" i="71"/>
  <c r="O28" i="71"/>
  <c r="N28" i="71"/>
  <c r="B30" i="71"/>
  <c r="B31" i="71" s="1"/>
  <c r="B32" i="71" s="1"/>
  <c r="S32" i="71" s="1"/>
  <c r="X29" i="71"/>
  <c r="E30" i="71"/>
  <c r="E31" i="71" s="1"/>
  <c r="E32" i="71" s="1"/>
  <c r="U32" i="71" s="1"/>
  <c r="B34" i="71"/>
  <c r="B35" i="71"/>
  <c r="B36" i="71"/>
  <c r="S36" i="71" s="1"/>
  <c r="B38" i="71"/>
  <c r="B39" i="71"/>
  <c r="B40" i="71" s="1"/>
  <c r="S40" i="71" s="1"/>
  <c r="X37" i="71"/>
  <c r="E38" i="71"/>
  <c r="E39" i="71" s="1"/>
  <c r="E40" i="71" s="1"/>
  <c r="U40" i="71" s="1"/>
  <c r="AA37" i="71"/>
  <c r="N68" i="71"/>
  <c r="C30" i="71"/>
  <c r="Y29" i="71"/>
  <c r="Z29" i="71" s="1"/>
  <c r="X30" i="71"/>
  <c r="AA30" i="71"/>
  <c r="X31" i="71"/>
  <c r="AA31" i="71"/>
  <c r="X32" i="71"/>
  <c r="AA32" i="71"/>
  <c r="C34" i="71"/>
  <c r="C35" i="71" s="1"/>
  <c r="Y33" i="71"/>
  <c r="Z33" i="71"/>
  <c r="AB33" i="71"/>
  <c r="X34" i="71"/>
  <c r="AA34" i="71"/>
  <c r="X35" i="71"/>
  <c r="AA35" i="71"/>
  <c r="X36" i="71"/>
  <c r="AA36" i="71"/>
  <c r="C38" i="71"/>
  <c r="D38" i="71" s="1"/>
  <c r="Y37" i="71"/>
  <c r="Z37" i="71" s="1"/>
  <c r="AB37" i="71"/>
  <c r="X38" i="71"/>
  <c r="AA38" i="71"/>
  <c r="F51" i="71"/>
  <c r="F52" i="71"/>
  <c r="V52" i="71"/>
  <c r="C28" i="71"/>
  <c r="Y25" i="71"/>
  <c r="Z25" i="71"/>
  <c r="Y26" i="71"/>
  <c r="Z26" i="71" s="1"/>
  <c r="Y27" i="71"/>
  <c r="Z27" i="71"/>
  <c r="Y28" i="71"/>
  <c r="Z28" i="71" s="1"/>
  <c r="B28" i="71"/>
  <c r="B27" i="71"/>
  <c r="B26" i="71"/>
  <c r="X25" i="71"/>
  <c r="X26" i="71"/>
  <c r="X27" i="71"/>
  <c r="X28" i="71"/>
  <c r="C31" i="71"/>
  <c r="D30" i="71"/>
  <c r="D34" i="71"/>
  <c r="C39" i="71"/>
  <c r="C47" i="71"/>
  <c r="D47" i="71" s="1"/>
  <c r="D46" i="71"/>
  <c r="C51" i="71"/>
  <c r="D50" i="71"/>
  <c r="P28" i="71"/>
  <c r="E63" i="71"/>
  <c r="E64" i="71" s="1"/>
  <c r="U64" i="71" s="1"/>
  <c r="U68" i="71"/>
  <c r="E67" i="71"/>
  <c r="Q28" i="71"/>
  <c r="AB23" i="71" s="1"/>
  <c r="C55" i="71"/>
  <c r="D54" i="71"/>
  <c r="C59" i="71"/>
  <c r="D58" i="71"/>
  <c r="Q67" i="71"/>
  <c r="T68" i="71"/>
  <c r="O68" i="71"/>
  <c r="D68" i="71"/>
  <c r="C67" i="71"/>
  <c r="D67" i="71" s="1"/>
  <c r="Q68" i="71"/>
  <c r="C71" i="71"/>
  <c r="E71" i="71"/>
  <c r="E70" i="71"/>
  <c r="D72" i="71"/>
  <c r="C75" i="71"/>
  <c r="E75" i="71"/>
  <c r="E74" i="71"/>
  <c r="D76" i="71"/>
  <c r="C79" i="71"/>
  <c r="E79" i="71"/>
  <c r="E78" i="71"/>
  <c r="D80" i="71"/>
  <c r="C83" i="71"/>
  <c r="C87" i="71"/>
  <c r="T28" i="71"/>
  <c r="C27" i="71"/>
  <c r="C26" i="71" s="1"/>
  <c r="D26" i="71" s="1"/>
  <c r="S28" i="71"/>
  <c r="F28" i="71"/>
  <c r="F27" i="71"/>
  <c r="F26" i="71"/>
  <c r="AB25" i="71"/>
  <c r="AB26" i="71"/>
  <c r="AB27" i="71"/>
  <c r="AB28" i="71"/>
  <c r="E28" i="71"/>
  <c r="E27" i="71"/>
  <c r="E26" i="71"/>
  <c r="AA3" i="71"/>
  <c r="AA25" i="71"/>
  <c r="AA26" i="71"/>
  <c r="AA27" i="71"/>
  <c r="AA28" i="71"/>
  <c r="D28" i="71"/>
  <c r="U28" i="71"/>
  <c r="C66" i="71"/>
  <c r="O65" i="71" s="1"/>
  <c r="O67" i="71"/>
  <c r="D83" i="71"/>
  <c r="C82" i="71"/>
  <c r="D82" i="71"/>
  <c r="D75" i="71"/>
  <c r="C74" i="71"/>
  <c r="D74" i="71" s="1"/>
  <c r="D87" i="71"/>
  <c r="C86" i="71"/>
  <c r="D86" i="71"/>
  <c r="D79" i="71"/>
  <c r="C78" i="71"/>
  <c r="D78" i="71" s="1"/>
  <c r="D71" i="71"/>
  <c r="C70" i="71"/>
  <c r="D70" i="71"/>
  <c r="C60" i="71"/>
  <c r="D59" i="71"/>
  <c r="C56" i="71"/>
  <c r="D56" i="71" s="1"/>
  <c r="D55" i="71"/>
  <c r="P67" i="71"/>
  <c r="E66" i="71"/>
  <c r="P65" i="71" s="1"/>
  <c r="C52" i="71"/>
  <c r="T52" i="71" s="1"/>
  <c r="D51" i="71"/>
  <c r="C40" i="71"/>
  <c r="T40" i="71" s="1"/>
  <c r="D39" i="71"/>
  <c r="C32" i="71"/>
  <c r="T32" i="71" s="1"/>
  <c r="D31" i="71"/>
  <c r="D27" i="71"/>
  <c r="V28" i="71"/>
  <c r="P66" i="71"/>
  <c r="O66" i="71"/>
  <c r="D66" i="71"/>
  <c r="D32" i="71"/>
  <c r="D40"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Q18" i="36"/>
  <c r="Z18" i="36" s="1"/>
  <c r="D66" i="36"/>
  <c r="E66" i="36" s="1"/>
  <c r="F66" i="36" s="1"/>
  <c r="G66" i="36" s="1"/>
  <c r="H18" i="36"/>
  <c r="AB18" i="36" s="1"/>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C25" i="40" s="1"/>
  <c r="B88" i="43"/>
  <c r="C22" i="20"/>
  <c r="B100" i="43" s="1"/>
  <c r="B77" i="43"/>
  <c r="B57" i="43"/>
  <c r="B68" i="43"/>
  <c r="C29" i="39"/>
  <c r="S25" i="40"/>
  <c r="S18" i="36"/>
  <c r="U18" i="36"/>
  <c r="S21" i="34"/>
  <c r="H25" i="40"/>
  <c r="AB25" i="40" s="1"/>
  <c r="J25" i="40"/>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c r="F20" i="69"/>
  <c r="F39" i="69"/>
  <c r="E10" i="69"/>
  <c r="E9" i="69"/>
  <c r="C7" i="69"/>
  <c r="AC21" i="34"/>
  <c r="AB21" i="21"/>
  <c r="J21" i="21"/>
  <c r="AC21" i="21" s="1"/>
  <c r="C40" i="69"/>
  <c r="E37" i="68"/>
  <c r="F36" i="68"/>
  <c r="F35" i="68"/>
  <c r="F40" i="68"/>
  <c r="F39" i="68"/>
  <c r="E10" i="68"/>
  <c r="E9" i="68"/>
  <c r="W21" i="21"/>
  <c r="Q72" i="67"/>
  <c r="Q59" i="67"/>
  <c r="Q58" i="67"/>
  <c r="Q51" i="67"/>
  <c r="J50" i="67"/>
  <c r="M47" i="67"/>
  <c r="D46" i="67"/>
  <c r="F33" i="67"/>
  <c r="F61" i="67"/>
  <c r="F23" i="67"/>
  <c r="D24" i="67"/>
  <c r="F21" i="67"/>
  <c r="F20" i="67"/>
  <c r="M19" i="67"/>
  <c r="F18" i="67"/>
  <c r="F17" i="67"/>
  <c r="F15" i="67"/>
  <c r="S2" i="4"/>
  <c r="C51" i="10"/>
  <c r="A13" i="51" s="1"/>
  <c r="B11" i="72" s="1"/>
  <c r="S1" i="4"/>
  <c r="B1" i="4"/>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c r="D77" i="43"/>
  <c r="M76" i="43"/>
  <c r="N76" i="43"/>
  <c r="K76" i="43"/>
  <c r="J76" i="43" s="1"/>
  <c r="M75" i="43"/>
  <c r="N75" i="43"/>
  <c r="K75" i="43"/>
  <c r="J75" i="43" s="1"/>
  <c r="M74" i="43"/>
  <c r="N74" i="43"/>
  <c r="K74" i="43"/>
  <c r="J74" i="43" s="1"/>
  <c r="M73" i="43"/>
  <c r="N73" i="43"/>
  <c r="K73" i="43"/>
  <c r="J73" i="43" s="1"/>
  <c r="M72" i="43"/>
  <c r="N72" i="43"/>
  <c r="K72" i="43"/>
  <c r="J72" i="43" s="1"/>
  <c r="M69" i="43"/>
  <c r="N69" i="43"/>
  <c r="K69" i="43"/>
  <c r="J69" i="43" s="1"/>
  <c r="M68" i="43"/>
  <c r="N68" i="43"/>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D50" i="43"/>
  <c r="Q58" i="15"/>
  <c r="Q51" i="15"/>
  <c r="AE13" i="1"/>
  <c r="AG13" i="1"/>
  <c r="J50" i="15"/>
  <c r="J51" i="15" s="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E15" i="4"/>
  <c r="F8" i="1"/>
  <c r="A7" i="1"/>
  <c r="A8" i="1"/>
  <c r="B8" i="1" s="1"/>
  <c r="E8" i="1" s="1"/>
  <c r="A9" i="1"/>
  <c r="B9" i="1" s="1"/>
  <c r="E9" i="1" s="1"/>
  <c r="A10" i="1"/>
  <c r="B10" i="1" s="1"/>
  <c r="E10" i="1" s="1"/>
  <c r="A11" i="1"/>
  <c r="B11" i="1" s="1"/>
  <c r="E11" i="1" s="1"/>
  <c r="A12" i="1"/>
  <c r="B12" i="1" s="1"/>
  <c r="E12" i="1" s="1"/>
  <c r="A13" i="1"/>
  <c r="B13" i="1" s="1"/>
  <c r="E13" i="1" s="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BC91" i="3"/>
  <c r="BB91" i="3"/>
  <c r="AZ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G54" i="3" s="1"/>
  <c r="H54" i="3"/>
  <c r="BT53" i="3"/>
  <c r="BS53" i="3"/>
  <c r="BR53" i="3"/>
  <c r="BQ53" i="3"/>
  <c r="BP53" i="3"/>
  <c r="BO53" i="3"/>
  <c r="BN53" i="3"/>
  <c r="BM53" i="3"/>
  <c r="BL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BC267" i="3"/>
  <c r="BB267" i="3"/>
  <c r="AZ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c r="C59" i="40" s="1"/>
  <c r="H58" i="40"/>
  <c r="I58" i="40"/>
  <c r="C58" i="40" s="1"/>
  <c r="H57" i="40"/>
  <c r="I57" i="40"/>
  <c r="C57" i="40"/>
  <c r="H56" i="40"/>
  <c r="I56" i="40" s="1"/>
  <c r="C56" i="40" s="1"/>
  <c r="H54" i="40"/>
  <c r="I54" i="40" s="1"/>
  <c r="C54" i="40" s="1"/>
  <c r="H53" i="40"/>
  <c r="I53" i="40"/>
  <c r="C53" i="40" s="1"/>
  <c r="H52" i="40"/>
  <c r="I52" i="40"/>
  <c r="C52" i="40"/>
  <c r="H64" i="39"/>
  <c r="I64" i="39" s="1"/>
  <c r="C64" i="39" s="1"/>
  <c r="H63" i="39"/>
  <c r="I63" i="39" s="1"/>
  <c r="C63" i="39" s="1"/>
  <c r="H59" i="39"/>
  <c r="I59" i="39"/>
  <c r="C59" i="39" s="1"/>
  <c r="H58" i="39"/>
  <c r="I58" i="39"/>
  <c r="C58" i="39"/>
  <c r="H57" i="39"/>
  <c r="I57" i="39" s="1"/>
  <c r="C57" i="39" s="1"/>
  <c r="H60" i="39"/>
  <c r="I60" i="39" s="1"/>
  <c r="C60" i="39" s="1"/>
  <c r="H62" i="39"/>
  <c r="I62" i="39"/>
  <c r="C62" i="39" s="1"/>
  <c r="H61" i="39"/>
  <c r="I61" i="39"/>
  <c r="C61" i="39"/>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s="1"/>
  <c r="R266" i="31"/>
  <c r="R267" i="31"/>
  <c r="S267" i="31"/>
  <c r="R268" i="31"/>
  <c r="R269" i="31"/>
  <c r="S269" i="31"/>
  <c r="R270" i="31"/>
  <c r="R271" i="31"/>
  <c r="S271" i="31" s="1"/>
  <c r="R272" i="31"/>
  <c r="R273" i="31"/>
  <c r="S273" i="31" s="1"/>
  <c r="R274" i="31"/>
  <c r="R275" i="31"/>
  <c r="S275" i="31"/>
  <c r="R276" i="31"/>
  <c r="R277" i="31"/>
  <c r="S277" i="31"/>
  <c r="R278" i="31"/>
  <c r="R279" i="31"/>
  <c r="S279" i="31" s="1"/>
  <c r="R280" i="31"/>
  <c r="R281" i="31"/>
  <c r="S281" i="31" s="1"/>
  <c r="R282" i="31"/>
  <c r="R283" i="31"/>
  <c r="S283" i="3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s="1"/>
  <c r="R306" i="31"/>
  <c r="R307" i="31"/>
  <c r="S307" i="31"/>
  <c r="R308" i="31"/>
  <c r="R309" i="31"/>
  <c r="S309" i="31"/>
  <c r="R310" i="31"/>
  <c r="R311" i="31"/>
  <c r="S311" i="31" s="1"/>
  <c r="R312" i="31"/>
  <c r="R313" i="31"/>
  <c r="S313" i="31" s="1"/>
  <c r="R314" i="31"/>
  <c r="R315" i="31"/>
  <c r="S315" i="31"/>
  <c r="R316" i="31"/>
  <c r="R317" i="31"/>
  <c r="S317" i="31"/>
  <c r="R318" i="31"/>
  <c r="R319" i="31"/>
  <c r="S319" i="31" s="1"/>
  <c r="R320" i="31"/>
  <c r="R321" i="31"/>
  <c r="S321" i="31" s="1"/>
  <c r="R322" i="31"/>
  <c r="R323" i="31"/>
  <c r="S323" i="31"/>
  <c r="R324" i="31"/>
  <c r="R325" i="31"/>
  <c r="S325" i="31"/>
  <c r="R326" i="31"/>
  <c r="R327" i="31"/>
  <c r="S327" i="31" s="1"/>
  <c r="R328" i="31"/>
  <c r="R329" i="31"/>
  <c r="S329" i="31" s="1"/>
  <c r="R330" i="31"/>
  <c r="R331" i="31"/>
  <c r="S331" i="31"/>
  <c r="R332" i="31"/>
  <c r="R333" i="31"/>
  <c r="S333" i="31"/>
  <c r="R334" i="31"/>
  <c r="R335" i="31"/>
  <c r="S335" i="31" s="1"/>
  <c r="R336" i="31"/>
  <c r="R337" i="31"/>
  <c r="S337" i="31" s="1"/>
  <c r="R338" i="31"/>
  <c r="R339" i="31"/>
  <c r="S339" i="31"/>
  <c r="R340" i="31"/>
  <c r="R341" i="31"/>
  <c r="S341" i="31"/>
  <c r="R342" i="31"/>
  <c r="R343" i="31"/>
  <c r="S343" i="31" s="1"/>
  <c r="R344" i="31"/>
  <c r="R345" i="31"/>
  <c r="S345" i="31" s="1"/>
  <c r="R346" i="31"/>
  <c r="R347" i="31"/>
  <c r="S347" i="3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c r="R364" i="31"/>
  <c r="R365" i="31"/>
  <c r="S365" i="31"/>
  <c r="R366" i="31"/>
  <c r="R367" i="31"/>
  <c r="S367" i="31" s="1"/>
  <c r="R368" i="31"/>
  <c r="R369" i="31"/>
  <c r="S369" i="31" s="1"/>
  <c r="R370" i="31"/>
  <c r="R371" i="31"/>
  <c r="S371" i="31"/>
  <c r="R372" i="31"/>
  <c r="R373" i="31"/>
  <c r="S373" i="31"/>
  <c r="R374" i="31"/>
  <c r="R375" i="31"/>
  <c r="S375" i="31" s="1"/>
  <c r="R376" i="31"/>
  <c r="R377" i="31"/>
  <c r="S377" i="31" s="1"/>
  <c r="R378" i="31"/>
  <c r="R379" i="31"/>
  <c r="S379" i="31"/>
  <c r="R380" i="31"/>
  <c r="R381" i="31"/>
  <c r="S381" i="31"/>
  <c r="R382" i="31"/>
  <c r="R383" i="31"/>
  <c r="S383" i="31" s="1"/>
  <c r="R384" i="31"/>
  <c r="R385" i="31"/>
  <c r="S385" i="31" s="1"/>
  <c r="R386" i="31"/>
  <c r="R387" i="31"/>
  <c r="S387" i="31"/>
  <c r="R388" i="31"/>
  <c r="R389" i="31"/>
  <c r="S389" i="31"/>
  <c r="R390" i="31"/>
  <c r="R391" i="31"/>
  <c r="S391" i="31" s="1"/>
  <c r="R392" i="31"/>
  <c r="R393" i="31"/>
  <c r="S393" i="31" s="1"/>
  <c r="R394" i="31"/>
  <c r="R395" i="31"/>
  <c r="S395" i="31"/>
  <c r="R396" i="31"/>
  <c r="R397" i="31"/>
  <c r="S397" i="31"/>
  <c r="R398" i="31"/>
  <c r="R399" i="31"/>
  <c r="S399" i="31" s="1"/>
  <c r="R400" i="31"/>
  <c r="R401" i="31"/>
  <c r="S401" i="31" s="1"/>
  <c r="R402" i="31"/>
  <c r="R403" i="31"/>
  <c r="S403" i="31"/>
  <c r="R404" i="31"/>
  <c r="R405" i="31"/>
  <c r="S405" i="31"/>
  <c r="R406" i="31"/>
  <c r="R407" i="31"/>
  <c r="S407" i="31" s="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37" i="48"/>
  <c r="B2" i="72"/>
  <c r="B13" i="53"/>
  <c r="B29" i="72" s="1"/>
  <c r="R35" i="4"/>
  <c r="Q35" i="4"/>
  <c r="P35" i="4"/>
  <c r="O35" i="4"/>
  <c r="N35" i="4"/>
  <c r="M35" i="4"/>
  <c r="L35" i="4"/>
  <c r="K34" i="4"/>
  <c r="T34" i="4"/>
  <c r="G13" i="1"/>
  <c r="H15" i="4"/>
  <c r="F9" i="1"/>
  <c r="G9" i="1"/>
  <c r="G15" i="4"/>
  <c r="F12" i="1"/>
  <c r="F15" i="4"/>
  <c r="F11" i="1"/>
  <c r="G11" i="1" s="1"/>
  <c r="D15" i="4"/>
  <c r="G44" i="43" s="1"/>
  <c r="F7" i="1"/>
  <c r="G7" i="1"/>
  <c r="C15" i="4"/>
  <c r="F6" i="1"/>
  <c r="L21" i="4"/>
  <c r="F19" i="4"/>
  <c r="F2" i="52"/>
  <c r="B50" i="72" s="1"/>
  <c r="D2" i="52"/>
  <c r="B46" i="72"/>
  <c r="B8" i="53"/>
  <c r="B23" i="72" s="1"/>
  <c r="L4" i="9"/>
  <c r="B17" i="72"/>
  <c r="B15" i="72"/>
  <c r="A3" i="51"/>
  <c r="C8" i="11"/>
  <c r="B40" i="48"/>
  <c r="B3" i="72" s="1"/>
  <c r="F35" i="4"/>
  <c r="J55" i="39"/>
  <c r="H38" i="43"/>
  <c r="H39" i="43"/>
  <c r="H40" i="43"/>
  <c r="H41" i="43"/>
  <c r="H42" i="43"/>
  <c r="H37" i="43"/>
  <c r="J24" i="43"/>
  <c r="C22" i="43"/>
  <c r="C10" i="43"/>
  <c r="C11" i="43" s="1"/>
  <c r="C9" i="43"/>
  <c r="F33" i="15"/>
  <c r="F61" i="15"/>
  <c r="M19" i="15"/>
  <c r="BR13" i="3"/>
  <c r="B22" i="1"/>
  <c r="G41" i="69"/>
  <c r="B23" i="1"/>
  <c r="B24" i="1"/>
  <c r="B43" i="1"/>
  <c r="D78" i="9"/>
  <c r="BQ13" i="3"/>
  <c r="BQ14" i="3"/>
  <c r="BQ15" i="3"/>
  <c r="BQ16" i="3"/>
  <c r="BL16" i="3" s="1"/>
  <c r="BQ17" i="3"/>
  <c r="BS13" i="3"/>
  <c r="BS14" i="3"/>
  <c r="BS15" i="3"/>
  <c r="BS16" i="3"/>
  <c r="BS17" i="3"/>
  <c r="BR14" i="3"/>
  <c r="BR15" i="3"/>
  <c r="BR16" i="3"/>
  <c r="BR17" i="3"/>
  <c r="BT13" i="3"/>
  <c r="BT14" i="3"/>
  <c r="BT15" i="3"/>
  <c r="BT16" i="3"/>
  <c r="BT17" i="3"/>
  <c r="BM14" i="3"/>
  <c r="BM15" i="3"/>
  <c r="BN15" i="3"/>
  <c r="BO15" i="3"/>
  <c r="BP15" i="3"/>
  <c r="BL15" i="3" s="1"/>
  <c r="BM16" i="3"/>
  <c r="BM17" i="3"/>
  <c r="BO13" i="3"/>
  <c r="BO14" i="3"/>
  <c r="BO16" i="3"/>
  <c r="BO17" i="3"/>
  <c r="BN13" i="3"/>
  <c r="BN14" i="3"/>
  <c r="BN16" i="3"/>
  <c r="BN17" i="3"/>
  <c r="BP13" i="3"/>
  <c r="BP14" i="3"/>
  <c r="BP16" i="3"/>
  <c r="BP17" i="3"/>
  <c r="E20" i="6"/>
  <c r="E21" i="6"/>
  <c r="K8" i="1"/>
  <c r="M8" i="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c r="D89" i="9"/>
  <c r="C89" i="9" s="1"/>
  <c r="C87" i="9" s="1"/>
  <c r="G12" i="1"/>
  <c r="J55" i="9"/>
  <c r="B31" i="1"/>
  <c r="B52" i="1"/>
  <c r="M20" i="15"/>
  <c r="T4" i="1"/>
  <c r="F15" i="15"/>
  <c r="F17" i="15"/>
  <c r="D3" i="35"/>
  <c r="N55" i="9"/>
  <c r="K55" i="9"/>
  <c r="O55" i="9"/>
  <c r="N54" i="9"/>
  <c r="N53" i="9"/>
  <c r="E48" i="9"/>
  <c r="N52" i="9"/>
  <c r="F56" i="9"/>
  <c r="O54" i="9" s="1"/>
  <c r="D101" i="9"/>
  <c r="C101" i="9"/>
  <c r="D10" i="53"/>
  <c r="B26" i="72" s="1"/>
  <c r="C30" i="40"/>
  <c r="C28" i="40"/>
  <c r="C23" i="39"/>
  <c r="C19" i="40"/>
  <c r="D77" i="9"/>
  <c r="E90" i="9"/>
  <c r="H77" i="9"/>
  <c r="H105" i="9"/>
  <c r="D11" i="53"/>
  <c r="B27" i="72"/>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A551" i="3" s="1"/>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c r="J31" i="35"/>
  <c r="W31" i="35" s="1"/>
  <c r="H31" i="35"/>
  <c r="F31" i="35"/>
  <c r="D87" i="35"/>
  <c r="E87" i="35" s="1"/>
  <c r="F87" i="35" s="1"/>
  <c r="G87" i="35"/>
  <c r="H87" i="35"/>
  <c r="I87" i="35" s="1"/>
  <c r="J87" i="35" s="1"/>
  <c r="K87" i="35" s="1"/>
  <c r="L87" i="35" s="1"/>
  <c r="M87" i="35" s="1"/>
  <c r="H34" i="37"/>
  <c r="D101" i="37"/>
  <c r="F34" i="37"/>
  <c r="D99" i="37"/>
  <c r="E99" i="37"/>
  <c r="F99" i="37"/>
  <c r="G99" i="37"/>
  <c r="H99" i="37" s="1"/>
  <c r="I99" i="37" s="1"/>
  <c r="J99" i="37" s="1"/>
  <c r="K99" i="37" s="1"/>
  <c r="L99" i="37" s="1"/>
  <c r="M99" i="37" s="1"/>
  <c r="H42" i="34"/>
  <c r="J42" i="34"/>
  <c r="W42" i="34" s="1"/>
  <c r="F42" i="34"/>
  <c r="J38" i="34"/>
  <c r="W38" i="34"/>
  <c r="D114" i="34"/>
  <c r="F38" i="34"/>
  <c r="S38" i="34"/>
  <c r="D112" i="34"/>
  <c r="E112" i="34" s="1"/>
  <c r="F112" i="34" s="1"/>
  <c r="G112" i="34"/>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F80" i="39"/>
  <c r="G80" i="39" s="1"/>
  <c r="H80" i="39"/>
  <c r="I80" i="39"/>
  <c r="J80" i="39"/>
  <c r="K80" i="39" s="1"/>
  <c r="L80" i="39" s="1"/>
  <c r="M80" i="39" s="1"/>
  <c r="D76" i="40"/>
  <c r="E76" i="40" s="1"/>
  <c r="F76" i="40"/>
  <c r="G76" i="40" s="1"/>
  <c r="H76" i="40" s="1"/>
  <c r="I76" i="40" s="1"/>
  <c r="J76" i="40" s="1"/>
  <c r="K76" i="40" s="1"/>
  <c r="L76" i="40" s="1"/>
  <c r="M76" i="40" s="1"/>
  <c r="B120" i="40"/>
  <c r="F40" i="40" s="1"/>
  <c r="AA40" i="40" s="1"/>
  <c r="B118" i="40"/>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c r="D100" i="40"/>
  <c r="E100" i="40"/>
  <c r="F100" i="40"/>
  <c r="G100" i="40"/>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c r="D90" i="40"/>
  <c r="E90" i="40"/>
  <c r="F90" i="40"/>
  <c r="G90" i="40"/>
  <c r="D88" i="40"/>
  <c r="E88" i="40"/>
  <c r="D86" i="40"/>
  <c r="E86" i="40"/>
  <c r="F86" i="40" s="1"/>
  <c r="G86" i="40"/>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Q39" i="40"/>
  <c r="Z39" i="40" s="1"/>
  <c r="H39" i="40"/>
  <c r="U39" i="40" s="1"/>
  <c r="Q38" i="40"/>
  <c r="Z38" i="40" s="1"/>
  <c r="J38" i="40"/>
  <c r="AC38" i="40"/>
  <c r="H38" i="40"/>
  <c r="AB38" i="40" s="1"/>
  <c r="Q37" i="40"/>
  <c r="Z37" i="40"/>
  <c r="Q36" i="40"/>
  <c r="Z36" i="40" s="1"/>
  <c r="Q35" i="40"/>
  <c r="Z35" i="40"/>
  <c r="Q34" i="40"/>
  <c r="Z34" i="40" s="1"/>
  <c r="J34" i="40"/>
  <c r="AC34" i="40" s="1"/>
  <c r="H34" i="40"/>
  <c r="AB34" i="40" s="1"/>
  <c r="F34" i="40"/>
  <c r="AA34" i="40"/>
  <c r="Q33" i="40"/>
  <c r="Z33" i="40" s="1"/>
  <c r="Q32" i="40"/>
  <c r="Z32" i="40"/>
  <c r="Q31" i="40"/>
  <c r="Z31" i="40" s="1"/>
  <c r="Q30" i="40"/>
  <c r="Z30" i="40"/>
  <c r="Q28" i="40"/>
  <c r="Z28" i="40" s="1"/>
  <c r="Q27" i="40"/>
  <c r="Z27" i="40" s="1"/>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s="1"/>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03" i="39"/>
  <c r="E94" i="39"/>
  <c r="F94" i="39" s="1"/>
  <c r="G94" i="39" s="1"/>
  <c r="D92" i="39"/>
  <c r="E92" i="39"/>
  <c r="F92" i="39" s="1"/>
  <c r="G92" i="39" s="1"/>
  <c r="D88" i="39"/>
  <c r="E88" i="39"/>
  <c r="F88" i="39" s="1"/>
  <c r="G88" i="39" s="1"/>
  <c r="B85" i="39"/>
  <c r="B83" i="39"/>
  <c r="B81" i="39"/>
  <c r="J12" i="39"/>
  <c r="W12" i="39" s="1"/>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H23" i="36" s="1"/>
  <c r="AB23" i="36" s="1"/>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s="1"/>
  <c r="AC24" i="35" s="1"/>
  <c r="B73" i="35"/>
  <c r="J23" i="35" s="1"/>
  <c r="AC23" i="35" s="1"/>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F12" i="35"/>
  <c r="S12" i="35" s="1"/>
  <c r="Q11" i="35"/>
  <c r="Z11" i="35"/>
  <c r="Q10" i="35"/>
  <c r="Z10" i="35" s="1"/>
  <c r="Q9" i="35"/>
  <c r="Z9" i="35"/>
  <c r="J8" i="35"/>
  <c r="W8" i="35" s="1"/>
  <c r="H8" i="35"/>
  <c r="AB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H12" i="34"/>
  <c r="F12" i="34"/>
  <c r="S12" i="34" s="1"/>
  <c r="Q11" i="34"/>
  <c r="Z11" i="34" s="1"/>
  <c r="Q10" i="34"/>
  <c r="Z10" i="34" s="1"/>
  <c r="F10" i="34"/>
  <c r="AA10" i="34" s="1"/>
  <c r="Q9" i="34"/>
  <c r="Z9" i="34" s="1"/>
  <c r="J9" i="34"/>
  <c r="AC9" i="34" s="1"/>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c r="E108" i="39"/>
  <c r="H31" i="39"/>
  <c r="AB31" i="39" s="1"/>
  <c r="F31" i="39"/>
  <c r="AA31" i="39" s="1"/>
  <c r="E100" i="39"/>
  <c r="F27" i="39" s="1"/>
  <c r="H19" i="39"/>
  <c r="AB19" i="39" s="1"/>
  <c r="F19" i="39"/>
  <c r="AA19" i="39" s="1"/>
  <c r="J23" i="40"/>
  <c r="AC23" i="40" s="1"/>
  <c r="F21" i="40"/>
  <c r="AA21" i="40" s="1"/>
  <c r="J21" i="40"/>
  <c r="W21" i="40" s="1"/>
  <c r="H42" i="39"/>
  <c r="AB42" i="39" s="1"/>
  <c r="J34" i="39"/>
  <c r="AC34" i="39" s="1"/>
  <c r="F108" i="39"/>
  <c r="G108" i="39" s="1"/>
  <c r="H108" i="39" s="1"/>
  <c r="I108" i="39" s="1"/>
  <c r="J108" i="39" s="1"/>
  <c r="K108" i="39" s="1"/>
  <c r="L108" i="39" s="1"/>
  <c r="M108" i="39" s="1"/>
  <c r="J31" i="39"/>
  <c r="U27"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F14" i="35"/>
  <c r="AA14" i="35" s="1"/>
  <c r="F23" i="35"/>
  <c r="AA23" i="35" s="1"/>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S15" i="34" s="1"/>
  <c r="J15" i="34"/>
  <c r="H15" i="34"/>
  <c r="AB15" i="34"/>
  <c r="W8" i="34"/>
  <c r="J28" i="34"/>
  <c r="W28" i="34" s="1"/>
  <c r="F41" i="33"/>
  <c r="AA41" i="33" s="1"/>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W31" i="34" s="1"/>
  <c r="AC31" i="34"/>
  <c r="H31" i="34"/>
  <c r="AB31" i="34" s="1"/>
  <c r="F31" i="34"/>
  <c r="S31" i="34"/>
  <c r="H45" i="34"/>
  <c r="U45" i="34" s="1"/>
  <c r="J45" i="34"/>
  <c r="W45" i="34"/>
  <c r="F45" i="34"/>
  <c r="S45" i="34" s="1"/>
  <c r="H47" i="34"/>
  <c r="U47" i="34"/>
  <c r="F47" i="34"/>
  <c r="S47" i="34" s="1"/>
  <c r="J47" i="34"/>
  <c r="AC47" i="34"/>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J10" i="36"/>
  <c r="AC10" i="36" s="1"/>
  <c r="AB26" i="33"/>
  <c r="AB30" i="21"/>
  <c r="AA14" i="37"/>
  <c r="AC13" i="36"/>
  <c r="W13" i="36"/>
  <c r="S11" i="36"/>
  <c r="AC30" i="34"/>
  <c r="AA14" i="34"/>
  <c r="S45" i="33"/>
  <c r="AB31" i="33"/>
  <c r="U31" i="33"/>
  <c r="W29" i="33"/>
  <c r="AC28" i="21"/>
  <c r="S44" i="34"/>
  <c r="BA586" i="3"/>
  <c r="BA585" i="3"/>
  <c r="AZ585" i="3" s="1"/>
  <c r="F17" i="21"/>
  <c r="AA17" i="21"/>
  <c r="H17" i="21"/>
  <c r="AB17" i="21" s="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BA582" i="3"/>
  <c r="AZ582" i="3" s="1"/>
  <c r="BA580" i="3"/>
  <c r="AZ580" i="3"/>
  <c r="BA578" i="3"/>
  <c r="AZ578" i="3" s="1"/>
  <c r="BA576" i="3"/>
  <c r="AZ576" i="3"/>
  <c r="BA574" i="3"/>
  <c r="AZ574" i="3" s="1"/>
  <c r="BA572" i="3"/>
  <c r="AZ572" i="3"/>
  <c r="BA570" i="3"/>
  <c r="AZ570" i="3" s="1"/>
  <c r="BA568" i="3"/>
  <c r="AZ568" i="3"/>
  <c r="BA566" i="3"/>
  <c r="AZ566" i="3" s="1"/>
  <c r="BA564" i="3"/>
  <c r="AZ564" i="3"/>
  <c r="BA562" i="3"/>
  <c r="AZ562" i="3" s="1"/>
  <c r="BA560" i="3"/>
  <c r="BA558" i="3"/>
  <c r="AZ558" i="3" s="1"/>
  <c r="BA556" i="3"/>
  <c r="AZ556" i="3"/>
  <c r="BA554" i="3"/>
  <c r="AZ554" i="3" s="1"/>
  <c r="BA552" i="3"/>
  <c r="AZ552" i="3"/>
  <c r="BA548" i="3"/>
  <c r="AZ548" i="3" s="1"/>
  <c r="BA546" i="3"/>
  <c r="BA544" i="3"/>
  <c r="BA542" i="3"/>
  <c r="AZ542" i="3" s="1"/>
  <c r="BA540" i="3"/>
  <c r="BA538" i="3"/>
  <c r="AZ538" i="3" s="1"/>
  <c r="BA536" i="3"/>
  <c r="AZ536" i="3"/>
  <c r="BA534" i="3"/>
  <c r="AZ534" i="3" s="1"/>
  <c r="BA532" i="3"/>
  <c r="BA530" i="3"/>
  <c r="BA528" i="3"/>
  <c r="AZ528" i="3" s="1"/>
  <c r="BA526" i="3"/>
  <c r="AZ526" i="3"/>
  <c r="BA524" i="3"/>
  <c r="AZ524" i="3" s="1"/>
  <c r="BA522" i="3"/>
  <c r="BA520" i="3"/>
  <c r="AZ520" i="3" s="1"/>
  <c r="BA518" i="3"/>
  <c r="AZ518" i="3" s="1"/>
  <c r="BA516" i="3"/>
  <c r="AZ516" i="3"/>
  <c r="BA514" i="3"/>
  <c r="BA512" i="3"/>
  <c r="AZ512" i="3"/>
  <c r="BA510" i="3"/>
  <c r="AZ510" i="3" s="1"/>
  <c r="BA508" i="3"/>
  <c r="BA506" i="3"/>
  <c r="BA504" i="3"/>
  <c r="AZ504" i="3" s="1"/>
  <c r="BA502" i="3"/>
  <c r="BA500" i="3"/>
  <c r="BA498" i="3"/>
  <c r="AZ498" i="3" s="1"/>
  <c r="BA496" i="3"/>
  <c r="BA494" i="3"/>
  <c r="BA587" i="3"/>
  <c r="AZ587" i="3" s="1"/>
  <c r="BA583" i="3"/>
  <c r="BA581" i="3"/>
  <c r="BA579" i="3"/>
  <c r="BA577" i="3"/>
  <c r="BA575" i="3"/>
  <c r="BA573" i="3"/>
  <c r="AZ573" i="3" s="1"/>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AZ583" i="3" s="1"/>
  <c r="BQ581" i="3"/>
  <c r="BL581" i="3" s="1"/>
  <c r="AZ581" i="3" s="1"/>
  <c r="BQ579" i="3"/>
  <c r="BL579" i="3"/>
  <c r="AZ579" i="3"/>
  <c r="BQ577" i="3"/>
  <c r="BL577" i="3" s="1"/>
  <c r="AZ577" i="3" s="1"/>
  <c r="BQ575" i="3"/>
  <c r="BL575" i="3" s="1"/>
  <c r="BQ573" i="3"/>
  <c r="BL573" i="3"/>
  <c r="BQ571" i="3"/>
  <c r="BL571" i="3"/>
  <c r="AZ571" i="3"/>
  <c r="BQ569" i="3"/>
  <c r="BL569" i="3" s="1"/>
  <c r="AZ569" i="3" s="1"/>
  <c r="BQ567" i="3"/>
  <c r="BL567" i="3" s="1"/>
  <c r="BQ565" i="3"/>
  <c r="BL565" i="3"/>
  <c r="BQ563" i="3"/>
  <c r="BL563" i="3"/>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c r="BQ549" i="3"/>
  <c r="BQ547" i="3"/>
  <c r="BL547" i="3" s="1"/>
  <c r="AZ547" i="3" s="1"/>
  <c r="BQ545" i="3"/>
  <c r="BL545" i="3" s="1"/>
  <c r="BQ543" i="3"/>
  <c r="BL543" i="3"/>
  <c r="AZ543" i="3" s="1"/>
  <c r="BQ541" i="3"/>
  <c r="BL541" i="3"/>
  <c r="AZ541" i="3"/>
  <c r="BQ539" i="3"/>
  <c r="BL539" i="3" s="1"/>
  <c r="AZ539" i="3" s="1"/>
  <c r="BQ537" i="3"/>
  <c r="BL537" i="3" s="1"/>
  <c r="BQ535" i="3"/>
  <c r="BL535" i="3"/>
  <c r="AZ535" i="3" s="1"/>
  <c r="BQ533" i="3"/>
  <c r="BL533" i="3"/>
  <c r="AZ533" i="3"/>
  <c r="BQ531" i="3"/>
  <c r="BL531" i="3" s="1"/>
  <c r="AZ531" i="3" s="1"/>
  <c r="BQ529" i="3"/>
  <c r="BL529" i="3" s="1"/>
  <c r="BQ527" i="3"/>
  <c r="BL527" i="3"/>
  <c r="AZ527" i="3" s="1"/>
  <c r="BQ525" i="3"/>
  <c r="BL525" i="3"/>
  <c r="AZ525" i="3"/>
  <c r="BQ523" i="3"/>
  <c r="BL523" i="3" s="1"/>
  <c r="AZ523" i="3" s="1"/>
  <c r="BA521" i="3"/>
  <c r="AC521" i="3"/>
  <c r="G521" i="3"/>
  <c r="BQ521" i="3"/>
  <c r="BL521" i="3" s="1"/>
  <c r="BL520" i="3"/>
  <c r="G519" i="3"/>
  <c r="G517" i="3"/>
  <c r="G515" i="3"/>
  <c r="G513" i="3"/>
  <c r="G511" i="3"/>
  <c r="BQ519" i="3"/>
  <c r="BL519" i="3" s="1"/>
  <c r="BQ517" i="3"/>
  <c r="BL517" i="3" s="1"/>
  <c r="BQ515" i="3"/>
  <c r="BL515" i="3"/>
  <c r="AZ515" i="3" s="1"/>
  <c r="BQ513" i="3"/>
  <c r="BL513" i="3"/>
  <c r="AZ513" i="3"/>
  <c r="BQ511" i="3"/>
  <c r="BL511" i="3" s="1"/>
  <c r="BA509" i="3"/>
  <c r="AC509" i="3"/>
  <c r="BQ509" i="3"/>
  <c r="BL509" i="3"/>
  <c r="BL508" i="3"/>
  <c r="AZ508" i="3" s="1"/>
  <c r="G507" i="3"/>
  <c r="G505" i="3"/>
  <c r="G503" i="3"/>
  <c r="G501" i="3"/>
  <c r="G499" i="3"/>
  <c r="G497" i="3"/>
  <c r="G495" i="3"/>
  <c r="BQ507" i="3"/>
  <c r="BL507" i="3" s="1"/>
  <c r="BQ505" i="3"/>
  <c r="BL505" i="3" s="1"/>
  <c r="AZ505" i="3" s="1"/>
  <c r="BQ503" i="3"/>
  <c r="BL503" i="3"/>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AA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H37" i="39"/>
  <c r="AB37" i="39"/>
  <c r="AC37" i="39"/>
  <c r="W37" i="39"/>
  <c r="F15" i="39"/>
  <c r="AA15" i="39"/>
  <c r="H15" i="39"/>
  <c r="U15" i="39"/>
  <c r="J15" i="39"/>
  <c r="W15" i="39"/>
  <c r="W27" i="39"/>
  <c r="AB34" i="39"/>
  <c r="U40" i="39"/>
  <c r="S42"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c r="AZ20" i="3"/>
  <c r="AZ24" i="3"/>
  <c r="AZ28" i="3"/>
  <c r="AZ32" i="3"/>
  <c r="AZ497" i="3"/>
  <c r="BL549" i="3"/>
  <c r="AZ549" i="3" s="1"/>
  <c r="AZ494" i="3"/>
  <c r="AZ502" i="3"/>
  <c r="AZ514" i="3"/>
  <c r="AZ522" i="3"/>
  <c r="AZ530" i="3"/>
  <c r="AZ546" i="3"/>
  <c r="G546" i="3"/>
  <c r="G524" i="3"/>
  <c r="G303" i="3"/>
  <c r="BL304" i="3"/>
  <c r="AZ304" i="3" s="1"/>
  <c r="G305" i="3"/>
  <c r="BL306" i="3"/>
  <c r="BA308" i="3"/>
  <c r="AZ308" i="3"/>
  <c r="BA309" i="3"/>
  <c r="BL309" i="3"/>
  <c r="G310" i="3"/>
  <c r="BA311" i="3"/>
  <c r="G319" i="3"/>
  <c r="BL320" i="3"/>
  <c r="G321" i="3"/>
  <c r="BL322" i="3"/>
  <c r="BA324" i="3"/>
  <c r="AZ324" i="3"/>
  <c r="BA325" i="3"/>
  <c r="BL325" i="3"/>
  <c r="AZ325" i="3" s="1"/>
  <c r="G326" i="3"/>
  <c r="BA327" i="3"/>
  <c r="AZ327" i="3" s="1"/>
  <c r="G335" i="3"/>
  <c r="BL336" i="3"/>
  <c r="AZ336" i="3" s="1"/>
  <c r="G337" i="3"/>
  <c r="BL338" i="3"/>
  <c r="BA340" i="3"/>
  <c r="AZ340" i="3"/>
  <c r="BA341" i="3"/>
  <c r="BL341" i="3"/>
  <c r="BA343" i="3"/>
  <c r="AZ343" i="3" s="1"/>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AZ136" i="3" s="1"/>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AZ168" i="3" s="1"/>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AZ200" i="3" s="1"/>
  <c r="G201" i="3"/>
  <c r="BA203" i="3"/>
  <c r="AZ203" i="3"/>
  <c r="BL204" i="3"/>
  <c r="AZ204" i="3"/>
  <c r="AZ39" i="3"/>
  <c r="AZ43" i="3"/>
  <c r="AZ47" i="3"/>
  <c r="AZ51" i="3"/>
  <c r="AZ55" i="3"/>
  <c r="AZ63" i="3"/>
  <c r="AZ67" i="3"/>
  <c r="AZ71" i="3"/>
  <c r="AZ75" i="3"/>
  <c r="AZ79" i="3"/>
  <c r="AZ83" i="3"/>
  <c r="AZ152" i="3"/>
  <c r="AZ160" i="3"/>
  <c r="AZ184" i="3"/>
  <c r="AZ192"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AZ310" i="3" s="1"/>
  <c r="BA312" i="3"/>
  <c r="AZ312" i="3"/>
  <c r="BA313" i="3"/>
  <c r="AZ313" i="3" s="1"/>
  <c r="BL313" i="3"/>
  <c r="G314" i="3"/>
  <c r="G317" i="3"/>
  <c r="BL318" i="3"/>
  <c r="BA320" i="3"/>
  <c r="AZ320" i="3"/>
  <c r="BA321" i="3"/>
  <c r="AZ321" i="3"/>
  <c r="BL321" i="3"/>
  <c r="G322" i="3"/>
  <c r="G325" i="3"/>
  <c r="BL326" i="3"/>
  <c r="BA328" i="3"/>
  <c r="BA329" i="3"/>
  <c r="AZ329" i="3" s="1"/>
  <c r="BL329" i="3"/>
  <c r="G330" i="3"/>
  <c r="G333" i="3"/>
  <c r="BL334" i="3"/>
  <c r="BA336" i="3"/>
  <c r="BA337" i="3"/>
  <c r="AZ337" i="3"/>
  <c r="BL337" i="3"/>
  <c r="G338" i="3"/>
  <c r="G341" i="3"/>
  <c r="BA342" i="3"/>
  <c r="AZ342" i="3" s="1"/>
  <c r="BL342" i="3"/>
  <c r="BA344" i="3"/>
  <c r="AZ344" i="3" s="1"/>
  <c r="BL344" i="3"/>
  <c r="BA346" i="3"/>
  <c r="AZ346" i="3" s="1"/>
  <c r="BA347" i="3"/>
  <c r="AZ347" i="3" s="1"/>
  <c r="BL347" i="3"/>
  <c r="G350" i="3"/>
  <c r="BA351" i="3"/>
  <c r="AZ351" i="3" s="1"/>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9" i="3"/>
  <c r="AZ273" i="3"/>
  <c r="AZ370" i="3"/>
  <c r="BA379" i="3"/>
  <c r="AZ379" i="3"/>
  <c r="BL380" i="3"/>
  <c r="G381" i="3"/>
  <c r="BA383" i="3"/>
  <c r="AZ383" i="3"/>
  <c r="BL384" i="3"/>
  <c r="G385" i="3"/>
  <c r="BA387" i="3"/>
  <c r="AZ387" i="3"/>
  <c r="BL388" i="3"/>
  <c r="G389" i="3"/>
  <c r="BA391" i="3"/>
  <c r="BL392" i="3"/>
  <c r="G393" i="3"/>
  <c r="AZ275" i="3"/>
  <c r="AZ283" i="3"/>
  <c r="AZ287" i="3"/>
  <c r="AZ291" i="3"/>
  <c r="AZ295" i="3"/>
  <c r="AZ299" i="3"/>
  <c r="BO5" i="3"/>
  <c r="BM5" i="3"/>
  <c r="F29" i="6" s="1"/>
  <c r="BJ5" i="3"/>
  <c r="BH5" i="3"/>
  <c r="BF5" i="3"/>
  <c r="BD5" i="3"/>
  <c r="AZ309" i="3"/>
  <c r="AZ333" i="3"/>
  <c r="AZ341" i="3"/>
  <c r="BQ5" i="3"/>
  <c r="AC5" i="3"/>
  <c r="AZ506" i="3"/>
  <c r="AZ496" i="3"/>
  <c r="G548" i="3"/>
  <c r="G538" i="3"/>
  <c r="G520" i="3"/>
  <c r="G502" i="3"/>
  <c r="BS5" i="3"/>
  <c r="BP5" i="3"/>
  <c r="BN5" i="3"/>
  <c r="BK5" i="3"/>
  <c r="BI5" i="3"/>
  <c r="BG5" i="3"/>
  <c r="BE5" i="3"/>
  <c r="BC5" i="3"/>
  <c r="G17" i="3"/>
  <c r="BA17" i="3"/>
  <c r="BT5" i="3"/>
  <c r="BR5" i="3"/>
  <c r="G28" i="6" s="1"/>
  <c r="AZ350" i="3"/>
  <c r="AZ352" i="3"/>
  <c r="AZ364" i="3"/>
  <c r="AZ368" i="3"/>
  <c r="BA15" i="3"/>
  <c r="AZ15" i="3" s="1"/>
  <c r="BB5" i="3"/>
  <c r="AZ384" i="3"/>
  <c r="AZ388" i="3"/>
  <c r="AZ392" i="3"/>
  <c r="AZ396" i="3"/>
  <c r="AZ509" i="3"/>
  <c r="G509" i="3"/>
  <c r="BL493" i="3"/>
  <c r="AZ493" i="3" s="1"/>
  <c r="AZ491" i="3"/>
  <c r="AZ376" i="3"/>
  <c r="AZ382" i="3"/>
  <c r="U36" i="40"/>
  <c r="F83" i="43"/>
  <c r="H85" i="43"/>
  <c r="F50" i="43"/>
  <c r="H54" i="43"/>
  <c r="G54" i="43" s="1"/>
  <c r="F72" i="43"/>
  <c r="H75" i="43"/>
  <c r="S14" i="35"/>
  <c r="U43" i="21"/>
  <c r="U35" i="21"/>
  <c r="AC35" i="21"/>
  <c r="G8" i="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J27" i="36"/>
  <c r="W27" i="36" s="1"/>
  <c r="AB25" i="37"/>
  <c r="AC33" i="40"/>
  <c r="F111" i="40"/>
  <c r="G111" i="40" s="1"/>
  <c r="H111" i="40" s="1"/>
  <c r="I111" i="40" s="1"/>
  <c r="J111" i="40" s="1"/>
  <c r="K111" i="40" s="1"/>
  <c r="L111" i="40" s="1"/>
  <c r="M111" i="40" s="1"/>
  <c r="H35" i="40"/>
  <c r="U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s="1"/>
  <c r="AC21" i="40"/>
  <c r="S31" i="39"/>
  <c r="S11" i="40"/>
  <c r="E98" i="40"/>
  <c r="F98" i="40"/>
  <c r="G98" i="40"/>
  <c r="H98" i="40" s="1"/>
  <c r="I98" i="40" s="1"/>
  <c r="J98" i="40" s="1"/>
  <c r="K98" i="40" s="1"/>
  <c r="L98" i="40" s="1"/>
  <c r="M98" i="40" s="1"/>
  <c r="F10" i="33"/>
  <c r="S10" i="33"/>
  <c r="F34" i="33"/>
  <c r="S34" i="33" s="1"/>
  <c r="H34" i="33"/>
  <c r="U34" i="33"/>
  <c r="F35" i="33"/>
  <c r="S35" i="33" s="1"/>
  <c r="F39" i="34"/>
  <c r="AA39" i="34" s="1"/>
  <c r="S39" i="34"/>
  <c r="J39" i="34"/>
  <c r="W39" i="34" s="1"/>
  <c r="F40" i="34"/>
  <c r="S40" i="34"/>
  <c r="F43" i="34"/>
  <c r="AA43" i="34" s="1"/>
  <c r="H44" i="34"/>
  <c r="AB44" i="34" s="1"/>
  <c r="F39" i="39"/>
  <c r="S39" i="39" s="1"/>
  <c r="J39" i="39"/>
  <c r="AC39" i="39" s="1"/>
  <c r="F96" i="39"/>
  <c r="G96" i="39" s="1"/>
  <c r="AZ353" i="3"/>
  <c r="AZ354" i="3"/>
  <c r="AZ386" i="3"/>
  <c r="C40" i="11"/>
  <c r="AZ215" i="3"/>
  <c r="AZ223" i="3"/>
  <c r="AZ227" i="3"/>
  <c r="AZ232" i="3"/>
  <c r="AZ235" i="3"/>
  <c r="AZ240" i="3"/>
  <c r="AZ243" i="3"/>
  <c r="AZ248" i="3"/>
  <c r="AZ251" i="3"/>
  <c r="AZ259" i="3"/>
  <c r="AZ271" i="3"/>
  <c r="AZ280" i="3"/>
  <c r="AZ288" i="3"/>
  <c r="AZ296" i="3"/>
  <c r="AZ114" i="3"/>
  <c r="AZ117" i="3"/>
  <c r="AZ130" i="3"/>
  <c r="AZ133" i="3"/>
  <c r="AZ21" i="3"/>
  <c r="AZ29" i="3"/>
  <c r="AZ31" i="3"/>
  <c r="AZ33" i="3"/>
  <c r="AZ37" i="3"/>
  <c r="AZ42" i="3"/>
  <c r="AZ45" i="3"/>
  <c r="AZ50" i="3"/>
  <c r="AZ53" i="3"/>
  <c r="AZ58" i="3"/>
  <c r="AZ61" i="3"/>
  <c r="AZ66" i="3"/>
  <c r="AZ69" i="3"/>
  <c r="AZ74" i="3"/>
  <c r="AZ94" i="3"/>
  <c r="AZ102" i="3"/>
  <c r="AZ110" i="3"/>
  <c r="H27" i="36"/>
  <c r="U27" i="36" s="1"/>
  <c r="F27" i="36"/>
  <c r="AA27" i="36"/>
  <c r="H33" i="34"/>
  <c r="U33" i="34" s="1"/>
  <c r="F32" i="37"/>
  <c r="AA32" i="37"/>
  <c r="G96" i="37"/>
  <c r="H96" i="37" s="1"/>
  <c r="I96" i="37" s="1"/>
  <c r="J96" i="37" s="1"/>
  <c r="K96" i="37" s="1"/>
  <c r="L96" i="37" s="1"/>
  <c r="M96" i="37" s="1"/>
  <c r="F20" i="36"/>
  <c r="AA20" i="36" s="1"/>
  <c r="J33" i="34"/>
  <c r="AC33" i="34" s="1"/>
  <c r="U23" i="39"/>
  <c r="D48" i="9"/>
  <c r="M52" i="9"/>
  <c r="K9" i="1"/>
  <c r="M9" i="1"/>
  <c r="D93" i="9"/>
  <c r="AP6" i="1"/>
  <c r="G29" i="6"/>
  <c r="AC26" i="33"/>
  <c r="W26" i="33"/>
  <c r="W27" i="34"/>
  <c r="AC27" i="34"/>
  <c r="AB34" i="36"/>
  <c r="U34" i="36"/>
  <c r="AB33" i="36"/>
  <c r="U33" i="36"/>
  <c r="AC12" i="39"/>
  <c r="AC39" i="40"/>
  <c r="W39" i="40"/>
  <c r="AZ401" i="3"/>
  <c r="AZ412" i="3"/>
  <c r="AZ417" i="3"/>
  <c r="AZ428" i="3"/>
  <c r="AZ433" i="3"/>
  <c r="AZ465" i="3"/>
  <c r="W12" i="33"/>
  <c r="AC12" i="33"/>
  <c r="AA32" i="36"/>
  <c r="S32" i="36"/>
  <c r="AZ551" i="3"/>
  <c r="AZ408" i="3"/>
  <c r="AZ437" i="3"/>
  <c r="AZ441" i="3"/>
  <c r="AZ457" i="3"/>
  <c r="AZ473" i="3"/>
  <c r="AZ490" i="3"/>
  <c r="F28" i="6"/>
  <c r="BL14"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AZ84" i="3"/>
  <c r="AZ88" i="3"/>
  <c r="AZ107" i="3"/>
  <c r="AZ111" i="3"/>
  <c r="K12" i="1"/>
  <c r="M12" i="1" s="1"/>
  <c r="S13" i="1"/>
  <c r="AR13" i="1" s="1"/>
  <c r="R13" i="1"/>
  <c r="J51" i="67"/>
  <c r="C42" i="1"/>
  <c r="C24" i="12" s="1"/>
  <c r="AC34" i="33"/>
  <c r="AA34" i="33"/>
  <c r="B41" i="1"/>
  <c r="F48" i="9" s="1"/>
  <c r="O52" i="9" s="1"/>
  <c r="AB37" i="40"/>
  <c r="S35" i="40"/>
  <c r="AC36" i="40"/>
  <c r="W38" i="40"/>
  <c r="AA32" i="40"/>
  <c r="S17" i="40"/>
  <c r="S23" i="40"/>
  <c r="AC17" i="40"/>
  <c r="AC15" i="40"/>
  <c r="AB27" i="40"/>
  <c r="S30" i="40"/>
  <c r="AA19" i="40"/>
  <c r="S28" i="40"/>
  <c r="AA27" i="40"/>
  <c r="U21" i="40"/>
  <c r="AB19" i="40"/>
  <c r="U37" i="39"/>
  <c r="S43" i="39"/>
  <c r="S37" i="39"/>
  <c r="U35" i="39"/>
  <c r="F32" i="39"/>
  <c r="F106" i="39"/>
  <c r="G106" i="39"/>
  <c r="H106" i="39" s="1"/>
  <c r="I106" i="39" s="1"/>
  <c r="J106" i="39" s="1"/>
  <c r="K106" i="39" s="1"/>
  <c r="L106" i="39" s="1"/>
  <c r="M106" i="39" s="1"/>
  <c r="U25" i="39"/>
  <c r="U31" i="39"/>
  <c r="W19" i="39"/>
  <c r="U19"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c r="M20" i="67"/>
  <c r="F34" i="15"/>
  <c r="F62" i="15" s="1"/>
  <c r="G13" i="3"/>
  <c r="BA13" i="3"/>
  <c r="BL17" i="3"/>
  <c r="AZ17" i="3" s="1"/>
  <c r="BL13" i="3"/>
  <c r="J56" i="9"/>
  <c r="J57" i="9" s="1"/>
  <c r="J59" i="9" s="1"/>
  <c r="J61" i="9" s="1"/>
  <c r="A24" i="51"/>
  <c r="B18" i="72" s="1"/>
  <c r="U29" i="34"/>
  <c r="E5" i="6"/>
  <c r="D9" i="68" s="1"/>
  <c r="E32" i="6"/>
  <c r="G1" i="68"/>
  <c r="K1" i="12"/>
  <c r="E19" i="69"/>
  <c r="E19" i="68"/>
  <c r="E19" i="11"/>
  <c r="E1" i="73"/>
  <c r="G22" i="69"/>
  <c r="G22" i="68"/>
  <c r="G26" i="12"/>
  <c r="G22" i="11"/>
  <c r="C6" i="43"/>
  <c r="B19" i="53"/>
  <c r="B37" i="72" s="1"/>
  <c r="C7" i="39"/>
  <c r="C67" i="39" s="1"/>
  <c r="C7" i="35"/>
  <c r="C48" i="35" s="1"/>
  <c r="D48" i="35" s="1"/>
  <c r="C7" i="33"/>
  <c r="C7" i="21"/>
  <c r="C7" i="40"/>
  <c r="C63" i="40"/>
  <c r="M47" i="9"/>
  <c r="G23" i="43"/>
  <c r="C52" i="37"/>
  <c r="D52" i="37"/>
  <c r="A4" i="51"/>
  <c r="B6" i="72"/>
  <c r="L20" i="6"/>
  <c r="K11" i="1"/>
  <c r="M11" i="1" s="1"/>
  <c r="O11" i="1"/>
  <c r="K7" i="1"/>
  <c r="M7"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W25" i="39"/>
  <c r="U13" i="39"/>
  <c r="AB13" i="39"/>
  <c r="AA13" i="39"/>
  <c r="S13" i="39"/>
  <c r="S14" i="39"/>
  <c r="AA14" i="39"/>
  <c r="U43" i="39"/>
  <c r="AB43"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F30" i="11"/>
  <c r="C48" i="11"/>
  <c r="F31" i="12"/>
  <c r="F52" i="9"/>
  <c r="M18" i="67"/>
  <c r="F30" i="69"/>
  <c r="F48" i="69"/>
  <c r="M18" i="15"/>
  <c r="F28" i="15"/>
  <c r="AA39" i="40"/>
  <c r="S39" i="40"/>
  <c r="S12" i="33"/>
  <c r="AA12" i="33"/>
  <c r="F54" i="9"/>
  <c r="J32" i="39"/>
  <c r="H32" i="39"/>
  <c r="AB32" i="39" s="1"/>
  <c r="AA32" i="39"/>
  <c r="S32" i="39"/>
  <c r="U21" i="39"/>
  <c r="AC17" i="37"/>
  <c r="S17" i="37"/>
  <c r="J19" i="37"/>
  <c r="G75" i="37"/>
  <c r="S19" i="37"/>
  <c r="AA19" i="37"/>
  <c r="AA23" i="37"/>
  <c r="J23" i="37"/>
  <c r="G79" i="37"/>
  <c r="J10" i="37"/>
  <c r="W10" i="37"/>
  <c r="G63" i="37"/>
  <c r="H11" i="37"/>
  <c r="AB11" i="37"/>
  <c r="G70" i="34"/>
  <c r="H11" i="34"/>
  <c r="U11" i="34" s="1"/>
  <c r="J10" i="34"/>
  <c r="AC10" i="34" s="1"/>
  <c r="AB41" i="33"/>
  <c r="U41" i="33"/>
  <c r="W35" i="33"/>
  <c r="AC35" i="33"/>
  <c r="H111" i="33"/>
  <c r="I111" i="33" s="1"/>
  <c r="J111" i="33"/>
  <c r="K111" i="33" s="1"/>
  <c r="L111" i="33" s="1"/>
  <c r="M111" i="33" s="1"/>
  <c r="J36" i="33"/>
  <c r="W36" i="33"/>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AA17" i="33" s="1"/>
  <c r="W17" i="33"/>
  <c r="AC17" i="33"/>
  <c r="S37" i="21"/>
  <c r="AA23" i="21"/>
  <c r="AB15" i="21"/>
  <c r="J23" i="21"/>
  <c r="AC23" i="21" s="1"/>
  <c r="F85" i="21"/>
  <c r="G85" i="21"/>
  <c r="H23" i="21"/>
  <c r="S13" i="21"/>
  <c r="D6" i="52"/>
  <c r="AP7" i="1"/>
  <c r="AB45" i="21"/>
  <c r="AB9" i="21"/>
  <c r="U9" i="21"/>
  <c r="AA32" i="21"/>
  <c r="S32" i="21"/>
  <c r="W9" i="21"/>
  <c r="AC9" i="21"/>
  <c r="AB32" i="21"/>
  <c r="U32" i="21"/>
  <c r="K120" i="9"/>
  <c r="A18" i="62" s="1"/>
  <c r="B64" i="72" s="1"/>
  <c r="U32" i="39"/>
  <c r="AC32" i="39"/>
  <c r="W32" i="39"/>
  <c r="W19" i="37"/>
  <c r="AC19" i="37"/>
  <c r="W23" i="37"/>
  <c r="AC23" i="37"/>
  <c r="H63" i="37"/>
  <c r="I63" i="37" s="1"/>
  <c r="J63" i="37" s="1"/>
  <c r="K63" i="37" s="1"/>
  <c r="L63" i="37" s="1"/>
  <c r="M63" i="37" s="1"/>
  <c r="J11" i="37"/>
  <c r="W11" i="37" s="1"/>
  <c r="H70" i="34"/>
  <c r="I70" i="34" s="1"/>
  <c r="J70" i="34" s="1"/>
  <c r="K70" i="34" s="1"/>
  <c r="L70" i="34" s="1"/>
  <c r="M70" i="34" s="1"/>
  <c r="J11" i="34"/>
  <c r="W11" i="34" s="1"/>
  <c r="AB36" i="33"/>
  <c r="W27" i="33"/>
  <c r="AC27" i="33"/>
  <c r="W25" i="33"/>
  <c r="AC25" i="33"/>
  <c r="AA23" i="33"/>
  <c r="S23" i="33"/>
  <c r="AB19" i="33"/>
  <c r="U19" i="33"/>
  <c r="S17" i="33"/>
  <c r="U17" i="33"/>
  <c r="AB17" i="33"/>
  <c r="U23" i="21"/>
  <c r="AB23" i="21"/>
  <c r="W23" i="21"/>
  <c r="D16" i="53"/>
  <c r="B34" i="72"/>
  <c r="D21" i="53"/>
  <c r="B39" i="72"/>
  <c r="H111" i="9"/>
  <c r="D19" i="53" s="1"/>
  <c r="D126" i="9"/>
  <c r="AD3" i="71"/>
  <c r="J1" i="73"/>
  <c r="H69" i="43"/>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c r="X3" i="71"/>
  <c r="C21" i="71"/>
  <c r="D21" i="71" s="1"/>
  <c r="E21" i="71"/>
  <c r="E20" i="71"/>
  <c r="E19" i="71" s="1"/>
  <c r="E18" i="71" s="1"/>
  <c r="E17" i="71" s="1"/>
  <c r="E16" i="71" s="1"/>
  <c r="C20" i="71"/>
  <c r="C19" i="71" s="1"/>
  <c r="C18" i="71" s="1"/>
  <c r="C17" i="71" s="1"/>
  <c r="D18" i="71"/>
  <c r="D19" i="71"/>
  <c r="I24" i="43"/>
  <c r="C24" i="43"/>
  <c r="H67" i="43"/>
  <c r="H50" i="43"/>
  <c r="G50" i="43" s="1"/>
  <c r="H83" i="43"/>
  <c r="S22" i="31"/>
  <c r="R22" i="3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AA8" i="37"/>
  <c r="AA9" i="37"/>
  <c r="AA12" i="37"/>
  <c r="AB9" i="37"/>
  <c r="U11" i="37"/>
  <c r="U12" i="37"/>
  <c r="AC8" i="37"/>
  <c r="AB37" i="34"/>
  <c r="S9" i="34"/>
  <c r="U33" i="21"/>
  <c r="AB13" i="33"/>
  <c r="S9" i="33"/>
  <c r="S8" i="33"/>
  <c r="U8" i="33"/>
  <c r="W8" i="21"/>
  <c r="S8" i="21"/>
  <c r="AA11" i="21"/>
  <c r="AC11" i="21"/>
  <c r="AB11" i="21"/>
  <c r="C30" i="69"/>
  <c r="F53" i="9"/>
  <c r="C5" i="11"/>
  <c r="C4" i="12"/>
  <c r="E14" i="6"/>
  <c r="E63" i="39"/>
  <c r="I4" i="6"/>
  <c r="C11" i="39" s="1"/>
  <c r="E29" i="6"/>
  <c r="K15" i="1"/>
  <c r="F30" i="6"/>
  <c r="G30" i="6"/>
  <c r="G31" i="6" s="1"/>
  <c r="E28" i="6"/>
  <c r="L19" i="6"/>
  <c r="L27" i="6"/>
  <c r="O6" i="1"/>
  <c r="T13" i="1"/>
  <c r="C58" i="21"/>
  <c r="D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77" i="9"/>
  <c r="C74" i="9" s="1"/>
  <c r="C30" i="11"/>
  <c r="C21" i="69"/>
  <c r="J84" i="43"/>
  <c r="J85" i="43"/>
  <c r="J86" i="43"/>
  <c r="J87" i="43"/>
  <c r="J88" i="43"/>
  <c r="J89" i="43"/>
  <c r="J90" i="43"/>
  <c r="D83" i="43"/>
  <c r="E83" i="43"/>
  <c r="B81" i="43" s="1"/>
  <c r="D66" i="43"/>
  <c r="D64" i="43"/>
  <c r="D62" i="43"/>
  <c r="D67" i="43"/>
  <c r="D65" i="43"/>
  <c r="D63" i="43"/>
  <c r="D69" i="43"/>
  <c r="D73" i="43"/>
  <c r="D75" i="43"/>
  <c r="D79" i="43"/>
  <c r="D22" i="67"/>
  <c r="AQ13" i="1"/>
  <c r="E8" i="6"/>
  <c r="E12" i="6"/>
  <c r="E57" i="40" s="1"/>
  <c r="E15" i="6"/>
  <c r="E64" i="39"/>
  <c r="E11" i="6"/>
  <c r="E60" i="39"/>
  <c r="E10" i="6"/>
  <c r="E13" i="6"/>
  <c r="P6" i="1"/>
  <c r="C13" i="12"/>
  <c r="P11" i="1"/>
  <c r="E59" i="40"/>
  <c r="K14" i="1"/>
  <c r="D9" i="11"/>
  <c r="C9" i="11" s="1"/>
  <c r="D19" i="12"/>
  <c r="C19" i="12" s="1"/>
  <c r="AZ13" i="3"/>
  <c r="O9" i="1"/>
  <c r="P9" i="1"/>
  <c r="O12" i="1"/>
  <c r="P12" i="1"/>
  <c r="O8" i="1"/>
  <c r="P8" i="1"/>
  <c r="H73" i="43"/>
  <c r="H90" i="43"/>
  <c r="O23" i="43"/>
  <c r="I18" i="43"/>
  <c r="E17" i="43"/>
  <c r="C17" i="43"/>
  <c r="A1" i="79"/>
  <c r="H55" i="43"/>
  <c r="G55" i="43" s="1"/>
  <c r="H86" i="43"/>
  <c r="H87" i="43"/>
  <c r="H89" i="43"/>
  <c r="H88" i="43"/>
  <c r="H84" i="43"/>
  <c r="C69" i="39"/>
  <c r="D67" i="39"/>
  <c r="D69" i="39"/>
  <c r="T35" i="4"/>
  <c r="A19" i="51"/>
  <c r="B14" i="72" s="1"/>
  <c r="D18" i="53"/>
  <c r="B35" i="72" s="1"/>
  <c r="H52" i="43"/>
  <c r="G52" i="43" s="1"/>
  <c r="K5" i="4"/>
  <c r="B47" i="48"/>
  <c r="Y8" i="71"/>
  <c r="Z8" i="71"/>
  <c r="X8" i="71"/>
  <c r="AB8" i="71"/>
  <c r="AA8" i="71"/>
  <c r="B8" i="74"/>
  <c r="C8" i="74" s="1"/>
  <c r="D127" i="9"/>
  <c r="D13" i="52"/>
  <c r="D12" i="52"/>
  <c r="H76" i="43"/>
  <c r="H72" i="43"/>
  <c r="H63" i="43"/>
  <c r="H61" i="43"/>
  <c r="H53" i="43"/>
  <c r="G53" i="43" s="1"/>
  <c r="H79" i="43"/>
  <c r="D17" i="53"/>
  <c r="B36" i="72" s="1"/>
  <c r="D124" i="9"/>
  <c r="H74" i="43"/>
  <c r="H57" i="43"/>
  <c r="G57" i="43" s="1"/>
  <c r="H66" i="43"/>
  <c r="H68" i="43"/>
  <c r="H80" i="43"/>
  <c r="H77" i="43"/>
  <c r="E44" i="43"/>
  <c r="L52" i="15" s="1"/>
  <c r="C44" i="43"/>
  <c r="AB15" i="39"/>
  <c r="AC15" i="39"/>
  <c r="W39" i="39"/>
  <c r="W42" i="39"/>
  <c r="W14" i="39"/>
  <c r="S29" i="39"/>
  <c r="G21" i="43"/>
  <c r="C20" i="43" s="1"/>
  <c r="D5" i="43" s="1"/>
  <c r="E11" i="43"/>
  <c r="E9" i="43"/>
  <c r="E10" i="43"/>
  <c r="E8" i="43"/>
  <c r="D23" i="67"/>
  <c r="G25" i="12"/>
  <c r="G41" i="11"/>
  <c r="G27" i="12"/>
  <c r="G41" i="68"/>
  <c r="J46" i="36"/>
  <c r="K46" i="36"/>
  <c r="L46" i="36" s="1"/>
  <c r="E52" i="37"/>
  <c r="E48" i="35"/>
  <c r="D63" i="40"/>
  <c r="C65" i="40"/>
  <c r="D58" i="33"/>
  <c r="E58" i="33"/>
  <c r="F58" i="33" s="1"/>
  <c r="D9" i="53"/>
  <c r="B25" i="72" s="1"/>
  <c r="B24" i="72"/>
  <c r="Y16" i="71"/>
  <c r="Z16" i="71" s="1"/>
  <c r="Y15" i="71"/>
  <c r="Z15" i="71" s="1"/>
  <c r="AA16" i="71"/>
  <c r="AB3" i="71"/>
  <c r="B16" i="71"/>
  <c r="S16" i="71" s="1"/>
  <c r="X16" i="71"/>
  <c r="AB16" i="71"/>
  <c r="Y3" i="71"/>
  <c r="Z3" i="71" s="1"/>
  <c r="F16" i="71"/>
  <c r="F15" i="71" s="1"/>
  <c r="F14" i="71" s="1"/>
  <c r="F13" i="71" s="1"/>
  <c r="F12" i="71" s="1"/>
  <c r="F11" i="71" s="1"/>
  <c r="F10" i="71" s="1"/>
  <c r="F9" i="71" s="1"/>
  <c r="F8" i="71" s="1"/>
  <c r="F7" i="71" s="1"/>
  <c r="F6" i="71" s="1"/>
  <c r="F5" i="71" s="1"/>
  <c r="AF3" i="71"/>
  <c r="P26" i="43"/>
  <c r="K1" i="73"/>
  <c r="D9" i="69"/>
  <c r="C9" i="69" s="1"/>
  <c r="C36" i="69"/>
  <c r="E61" i="43"/>
  <c r="B59" i="43"/>
  <c r="E30" i="6"/>
  <c r="E56" i="39"/>
  <c r="E65" i="39" s="1"/>
  <c r="E67" i="39"/>
  <c r="E69" i="39" s="1"/>
  <c r="AA26" i="35"/>
  <c r="S26" i="35"/>
  <c r="AC26" i="35"/>
  <c r="W26" i="35"/>
  <c r="AB26" i="35"/>
  <c r="U26" i="35"/>
  <c r="E61" i="39"/>
  <c r="E56" i="40"/>
  <c r="E72" i="43"/>
  <c r="B70" i="43" s="1"/>
  <c r="E60" i="40"/>
  <c r="E51" i="40"/>
  <c r="E16" i="6"/>
  <c r="E58" i="40"/>
  <c r="E62" i="39"/>
  <c r="M14" i="1"/>
  <c r="C25" i="43"/>
  <c r="C7" i="43"/>
  <c r="C5" i="43" s="1"/>
  <c r="D10" i="52"/>
  <c r="D125" i="9"/>
  <c r="D11" i="52"/>
  <c r="B7" i="74"/>
  <c r="C7" i="74" s="1"/>
  <c r="F67" i="39"/>
  <c r="F59" i="67"/>
  <c r="D65" i="40"/>
  <c r="E63" i="40"/>
  <c r="F48" i="35"/>
  <c r="E58" i="21"/>
  <c r="M17" i="67"/>
  <c r="M17" i="15"/>
  <c r="F59" i="15"/>
  <c r="P28" i="43"/>
  <c r="B66" i="40" s="1"/>
  <c r="P25" i="43"/>
  <c r="B70" i="39" s="1"/>
  <c r="P29" i="43"/>
  <c r="P27" i="43"/>
  <c r="AE11" i="1"/>
  <c r="AE9" i="1"/>
  <c r="AE8" i="1"/>
  <c r="AE12" i="1"/>
  <c r="AE10" i="1"/>
  <c r="AG11" i="1"/>
  <c r="AG9" i="1"/>
  <c r="AG10" i="1"/>
  <c r="AG8" i="1"/>
  <c r="AG12" i="1"/>
  <c r="AG7" i="1"/>
  <c r="AG6" i="1"/>
  <c r="S8" i="1"/>
  <c r="AR8" i="1" s="1"/>
  <c r="E8" i="70"/>
  <c r="O14" i="1"/>
  <c r="O16" i="1"/>
  <c r="G67" i="39"/>
  <c r="F69" i="39"/>
  <c r="F58" i="21"/>
  <c r="F63" i="40"/>
  <c r="E65" i="40"/>
  <c r="G48" i="35"/>
  <c r="H48" i="35" s="1"/>
  <c r="S11" i="1"/>
  <c r="E11" i="70"/>
  <c r="S9" i="1"/>
  <c r="AQ9" i="1" s="1"/>
  <c r="AQ8" i="1"/>
  <c r="T8" i="1"/>
  <c r="S7" i="1"/>
  <c r="E7" i="70"/>
  <c r="S10" i="1"/>
  <c r="AQ10" i="1" s="1"/>
  <c r="E10" i="70"/>
  <c r="S12" i="1"/>
  <c r="T12" i="1" s="1"/>
  <c r="P14" i="1"/>
  <c r="P16" i="1" s="1"/>
  <c r="C11" i="12" s="1"/>
  <c r="H67" i="39"/>
  <c r="G69" i="39"/>
  <c r="G63" i="40"/>
  <c r="F65" i="40"/>
  <c r="G58" i="21"/>
  <c r="E12" i="70"/>
  <c r="F34" i="11"/>
  <c r="C36" i="11" s="1"/>
  <c r="F11" i="12"/>
  <c r="E9" i="70"/>
  <c r="AR9" i="1"/>
  <c r="AQ11" i="1"/>
  <c r="AR11" i="1"/>
  <c r="T11" i="1"/>
  <c r="AQ12" i="1"/>
  <c r="AR10" i="1"/>
  <c r="AR7" i="1"/>
  <c r="AQ7" i="1"/>
  <c r="T7" i="1"/>
  <c r="R11" i="1"/>
  <c r="R9" i="1"/>
  <c r="R10" i="1"/>
  <c r="R8" i="1"/>
  <c r="R12" i="1"/>
  <c r="H69" i="39"/>
  <c r="I67" i="39"/>
  <c r="I69" i="39" s="1"/>
  <c r="G65" i="40"/>
  <c r="H63" i="40"/>
  <c r="H58" i="21"/>
  <c r="C19" i="68"/>
  <c r="J67" i="39"/>
  <c r="J69" i="39" s="1"/>
  <c r="I63" i="40"/>
  <c r="H65" i="40"/>
  <c r="I58" i="21"/>
  <c r="J63" i="40"/>
  <c r="I65" i="40"/>
  <c r="J65" i="40"/>
  <c r="K63" i="40"/>
  <c r="K65" i="40"/>
  <c r="L63" i="40"/>
  <c r="M63" i="40"/>
  <c r="N63" i="40" s="1"/>
  <c r="L65" i="40"/>
  <c r="B2" i="21"/>
  <c r="M65" i="40"/>
  <c r="B2" i="33"/>
  <c r="B2" i="36"/>
  <c r="B3" i="36"/>
  <c r="B2" i="35"/>
  <c r="B3" i="35"/>
  <c r="B2" i="37"/>
  <c r="U42" i="39"/>
  <c r="J41" i="39"/>
  <c r="AC41" i="39" s="1"/>
  <c r="F41" i="39"/>
  <c r="H41" i="39"/>
  <c r="U41" i="39" s="1"/>
  <c r="H123" i="39"/>
  <c r="I123" i="39"/>
  <c r="J123" i="39" s="1"/>
  <c r="K123" i="39" s="1"/>
  <c r="L123" i="39" s="1"/>
  <c r="M123" i="39" s="1"/>
  <c r="W38" i="39"/>
  <c r="S12" i="39"/>
  <c r="AA27" i="39"/>
  <c r="S27" i="39"/>
  <c r="F21" i="39"/>
  <c r="J21" i="39"/>
  <c r="W21" i="39" s="1"/>
  <c r="H17" i="39"/>
  <c r="J17" i="39"/>
  <c r="AC17" i="39" s="1"/>
  <c r="F90" i="39"/>
  <c r="U12" i="39"/>
  <c r="AA38" i="39"/>
  <c r="S38" i="39"/>
  <c r="F7" i="49"/>
  <c r="H7" i="49" s="1"/>
  <c r="B6" i="49"/>
  <c r="D6" i="49" s="1"/>
  <c r="F14" i="49"/>
  <c r="H14" i="49" s="1"/>
  <c r="F11" i="49"/>
  <c r="H11" i="49" s="1"/>
  <c r="B9" i="49"/>
  <c r="D9" i="49" s="1"/>
  <c r="C9" i="68"/>
  <c r="B14" i="49"/>
  <c r="D14" i="49" s="1"/>
  <c r="F13" i="49"/>
  <c r="H13" i="49" s="1"/>
  <c r="F9" i="49"/>
  <c r="H9" i="49" s="1"/>
  <c r="B10" i="49"/>
  <c r="E4" i="4" s="1"/>
  <c r="B5" i="62" s="1"/>
  <c r="B73" i="72" s="1"/>
  <c r="B5" i="49"/>
  <c r="D5" i="49" s="1"/>
  <c r="F12" i="49"/>
  <c r="H12" i="49" s="1"/>
  <c r="F5" i="49"/>
  <c r="H5" i="49" s="1"/>
  <c r="B13" i="49"/>
  <c r="D13" i="49" s="1"/>
  <c r="F10" i="49"/>
  <c r="H10" i="49" s="1"/>
  <c r="F8" i="49"/>
  <c r="H8" i="49" s="1"/>
  <c r="F6" i="49"/>
  <c r="H6" i="49" s="1"/>
  <c r="F4" i="49"/>
  <c r="H4" i="49" s="1"/>
  <c r="B12" i="49"/>
  <c r="D12" i="49" s="1"/>
  <c r="B8" i="49"/>
  <c r="D8" i="49" s="1"/>
  <c r="B4" i="49"/>
  <c r="D4" i="49" s="1"/>
  <c r="B11" i="49"/>
  <c r="D11" i="49" s="1"/>
  <c r="B7" i="49"/>
  <c r="D7" i="49" s="1"/>
  <c r="AB41" i="39"/>
  <c r="S41" i="39"/>
  <c r="AA41" i="39"/>
  <c r="AC21" i="39"/>
  <c r="AA21" i="39"/>
  <c r="S21" i="39"/>
  <c r="G90" i="39"/>
  <c r="F17" i="39"/>
  <c r="S17" i="39" s="1"/>
  <c r="U17" i="39"/>
  <c r="AB17" i="39"/>
  <c r="AA17" i="39"/>
  <c r="M29" i="67"/>
  <c r="F26" i="67"/>
  <c r="F8" i="67"/>
  <c r="M26" i="67"/>
  <c r="M6" i="67"/>
  <c r="D4" i="73"/>
  <c r="F13" i="67"/>
  <c r="C76" i="67"/>
  <c r="D2" i="36"/>
  <c r="M8" i="67"/>
  <c r="F38" i="67"/>
  <c r="F36" i="67"/>
  <c r="F3" i="73"/>
  <c r="B11" i="76"/>
  <c r="E12" i="76"/>
  <c r="L47" i="67"/>
  <c r="E2" i="69"/>
  <c r="D5" i="73"/>
  <c r="D2" i="35"/>
  <c r="AO13" i="1"/>
  <c r="F43" i="67"/>
  <c r="AO8" i="1"/>
  <c r="E10" i="76"/>
  <c r="D6" i="73"/>
  <c r="F37" i="67"/>
  <c r="J15" i="67"/>
  <c r="E13" i="76"/>
  <c r="M24" i="67"/>
  <c r="E9" i="76"/>
  <c r="B10" i="76"/>
  <c r="B7" i="76"/>
  <c r="M28" i="67"/>
  <c r="D3" i="73"/>
  <c r="F6" i="67"/>
  <c r="D2" i="34"/>
  <c r="B8" i="76"/>
  <c r="F16" i="67"/>
  <c r="D2" i="21"/>
  <c r="M9" i="67"/>
  <c r="F7" i="73"/>
  <c r="D2" i="33"/>
  <c r="E7" i="76"/>
  <c r="F20" i="31"/>
  <c r="M27" i="67"/>
  <c r="B9" i="76"/>
  <c r="F40" i="67"/>
  <c r="L48" i="67"/>
  <c r="M23" i="67"/>
  <c r="E8" i="76"/>
  <c r="D2" i="37"/>
  <c r="D7" i="73"/>
  <c r="F7" i="67"/>
  <c r="E2" i="68"/>
  <c r="F6" i="73"/>
  <c r="F9" i="67"/>
  <c r="F4" i="73"/>
  <c r="AO12" i="1"/>
  <c r="AO7" i="1"/>
  <c r="F5" i="73"/>
  <c r="B12" i="76"/>
  <c r="F41" i="67"/>
  <c r="B13" i="76"/>
  <c r="M22" i="67"/>
  <c r="AO11" i="1"/>
  <c r="F42" i="67"/>
  <c r="AO10" i="1"/>
  <c r="AO9" i="1"/>
  <c r="E11" i="76"/>
  <c r="I48" i="35" l="1"/>
  <c r="J48" i="35" s="1"/>
  <c r="K48" i="35" s="1"/>
  <c r="L48" i="35" s="1"/>
  <c r="M48" i="35" s="1"/>
  <c r="N48" i="35" s="1"/>
  <c r="O48" i="35" s="1"/>
  <c r="F7" i="35"/>
  <c r="H7" i="35"/>
  <c r="J7" i="35"/>
  <c r="N65" i="40"/>
  <c r="F7" i="40" s="1"/>
  <c r="O63" i="40"/>
  <c r="O65" i="40" s="1"/>
  <c r="J7" i="40" s="1"/>
  <c r="C12" i="12"/>
  <c r="C15" i="12"/>
  <c r="W17" i="39"/>
  <c r="W41" i="39"/>
  <c r="K67" i="39"/>
  <c r="T10" i="1"/>
  <c r="AR12" i="1"/>
  <c r="T9" i="1"/>
  <c r="D20" i="53"/>
  <c r="B40" i="72" s="1"/>
  <c r="B38" i="72"/>
  <c r="H7" i="40"/>
  <c r="J58" i="21"/>
  <c r="K58" i="21" s="1"/>
  <c r="L58" i="21" s="1"/>
  <c r="M58" i="21" s="1"/>
  <c r="N58" i="21" s="1"/>
  <c r="O58" i="21" s="1"/>
  <c r="M46" i="36"/>
  <c r="N46" i="36" s="1"/>
  <c r="O46" i="36" s="1"/>
  <c r="H7" i="36"/>
  <c r="J7" i="21"/>
  <c r="G58" i="33"/>
  <c r="M53" i="43"/>
  <c r="N53" i="43" s="1"/>
  <c r="K53" i="43"/>
  <c r="C16" i="71"/>
  <c r="D17" i="71"/>
  <c r="AA29" i="21"/>
  <c r="AZ511" i="3"/>
  <c r="AZ519" i="3"/>
  <c r="AZ529" i="3"/>
  <c r="AZ537" i="3"/>
  <c r="AZ545" i="3"/>
  <c r="AZ555" i="3"/>
  <c r="B15" i="71"/>
  <c r="B14" i="71" s="1"/>
  <c r="B13" i="71" s="1"/>
  <c r="B12" i="71" s="1"/>
  <c r="F7" i="36"/>
  <c r="F52" i="37"/>
  <c r="Q72" i="15"/>
  <c r="Q59" i="15"/>
  <c r="K56" i="43"/>
  <c r="M56" i="43"/>
  <c r="N56" i="43" s="1"/>
  <c r="AC11" i="34"/>
  <c r="T20" i="71"/>
  <c r="V20" i="71"/>
  <c r="AC11" i="37"/>
  <c r="AZ495" i="3"/>
  <c r="AZ567" i="3"/>
  <c r="AZ575" i="3"/>
  <c r="M57" i="43"/>
  <c r="N57" i="43" s="1"/>
  <c r="K57" i="43"/>
  <c r="J57" i="43" s="1"/>
  <c r="D57" i="43" s="1"/>
  <c r="K52" i="43"/>
  <c r="M52" i="43"/>
  <c r="N52" i="43" s="1"/>
  <c r="K55" i="43"/>
  <c r="M55" i="43"/>
  <c r="N55" i="43" s="1"/>
  <c r="K51" i="43"/>
  <c r="M51" i="43"/>
  <c r="N51" i="43" s="1"/>
  <c r="K50" i="43"/>
  <c r="J50" i="43" s="1"/>
  <c r="M50" i="43"/>
  <c r="N50" i="43" s="1"/>
  <c r="E15" i="71"/>
  <c r="E14" i="71" s="1"/>
  <c r="E13" i="71" s="1"/>
  <c r="E12" i="71" s="1"/>
  <c r="V16" i="71"/>
  <c r="AZ521" i="3"/>
  <c r="M58" i="43"/>
  <c r="N58" i="43" s="1"/>
  <c r="K58" i="43"/>
  <c r="J11" i="39"/>
  <c r="F11" i="39"/>
  <c r="H11" i="39"/>
  <c r="D20" i="71"/>
  <c r="U20" i="71" s="1"/>
  <c r="AZ517" i="3"/>
  <c r="AB35" i="40"/>
  <c r="E7" i="34"/>
  <c r="F7" i="34" s="1"/>
  <c r="I7" i="34"/>
  <c r="J7" i="34" s="1"/>
  <c r="G7" i="34"/>
  <c r="H7" i="34" s="1"/>
  <c r="AB45" i="33"/>
  <c r="AB46" i="34"/>
  <c r="AA13" i="35"/>
  <c r="F100" i="39"/>
  <c r="G100" i="39" s="1"/>
  <c r="AC15" i="21"/>
  <c r="M54" i="43"/>
  <c r="N54" i="43" s="1"/>
  <c r="K54" i="43"/>
  <c r="AA29" i="35"/>
  <c r="D68" i="9"/>
  <c r="F32" i="15"/>
  <c r="F60" i="15" s="1"/>
  <c r="F32" i="67"/>
  <c r="F60" i="67" s="1"/>
  <c r="F28" i="67"/>
  <c r="C28" i="67" s="1"/>
  <c r="F30" i="68"/>
  <c r="W33" i="34"/>
  <c r="J24" i="36"/>
  <c r="G566" i="3"/>
  <c r="BL550" i="3"/>
  <c r="AZ550" i="3" s="1"/>
  <c r="AZ398" i="3"/>
  <c r="AZ402" i="3"/>
  <c r="AZ413" i="3"/>
  <c r="AZ415" i="3"/>
  <c r="AZ316" i="3"/>
  <c r="AZ403" i="3"/>
  <c r="AZ414" i="3"/>
  <c r="AZ422" i="3"/>
  <c r="AZ426" i="3"/>
  <c r="AZ440" i="3"/>
  <c r="AZ442" i="3"/>
  <c r="AZ450" i="3"/>
  <c r="AZ458" i="3"/>
  <c r="AZ459" i="3"/>
  <c r="AZ464" i="3"/>
  <c r="AZ479" i="3"/>
  <c r="AZ480" i="3"/>
  <c r="AZ482" i="3"/>
  <c r="AZ486" i="3"/>
  <c r="AZ492" i="3"/>
  <c r="H12" i="36"/>
  <c r="G582" i="3"/>
  <c r="AZ438" i="3"/>
  <c r="AZ439" i="3"/>
  <c r="AZ447" i="3"/>
  <c r="AZ471" i="3"/>
  <c r="AZ429" i="3"/>
  <c r="AZ431" i="3"/>
  <c r="AZ453" i="3"/>
  <c r="AZ460" i="3"/>
  <c r="F34" i="68"/>
  <c r="C36" i="68" s="1"/>
  <c r="A15" i="62"/>
  <c r="B61" i="72" s="1"/>
  <c r="BL317" i="3"/>
  <c r="AZ317" i="3" s="1"/>
  <c r="G327" i="3"/>
  <c r="AZ216" i="3"/>
  <c r="AZ219" i="3"/>
  <c r="AZ225" i="3"/>
  <c r="AZ226" i="3"/>
  <c r="AZ262" i="3"/>
  <c r="BL328" i="3"/>
  <c r="AZ328" i="3" s="1"/>
  <c r="BA332" i="3"/>
  <c r="AZ332" i="3" s="1"/>
  <c r="AZ260" i="3"/>
  <c r="AZ212" i="3"/>
  <c r="AZ230" i="3"/>
  <c r="AZ242" i="3"/>
  <c r="AZ246" i="3"/>
  <c r="AZ252" i="3"/>
  <c r="BA277" i="3"/>
  <c r="AZ277" i="3" s="1"/>
  <c r="BA256" i="3"/>
  <c r="AZ256" i="3" s="1"/>
  <c r="BA261" i="3"/>
  <c r="AZ261" i="3" s="1"/>
  <c r="G265" i="3"/>
  <c r="BL265" i="3"/>
  <c r="AZ265" i="3" s="1"/>
  <c r="G267" i="3"/>
  <c r="AZ276" i="3"/>
  <c r="BL258" i="3"/>
  <c r="AZ258" i="3" s="1"/>
  <c r="BA264" i="3"/>
  <c r="AZ264" i="3" s="1"/>
  <c r="BL268" i="3"/>
  <c r="AZ268" i="3" s="1"/>
  <c r="G278" i="3"/>
  <c r="AZ292" i="3"/>
  <c r="AZ113" i="3"/>
  <c r="AZ122" i="3"/>
  <c r="AZ34" i="3"/>
  <c r="AZ52" i="3"/>
  <c r="AZ57" i="3"/>
  <c r="BL263" i="3"/>
  <c r="AZ263" i="3" s="1"/>
  <c r="BA266" i="3"/>
  <c r="AZ266" i="3" s="1"/>
  <c r="G272" i="3"/>
  <c r="BL279" i="3"/>
  <c r="AZ279" i="3" s="1"/>
  <c r="AZ289" i="3"/>
  <c r="AZ301" i="3"/>
  <c r="AZ121" i="3"/>
  <c r="AZ125" i="3"/>
  <c r="AZ185" i="3"/>
  <c r="AZ193" i="3"/>
  <c r="AZ201" i="3"/>
  <c r="AZ27" i="3"/>
  <c r="AZ81" i="3"/>
  <c r="BL65" i="3"/>
  <c r="AZ65" i="3" s="1"/>
  <c r="G74" i="3"/>
  <c r="BA78" i="3"/>
  <c r="AZ78" i="3" s="1"/>
  <c r="BL82" i="3"/>
  <c r="AZ82" i="3" s="1"/>
  <c r="AZ87" i="3"/>
  <c r="AZ90" i="3"/>
  <c r="AZ92" i="3"/>
  <c r="AZ98" i="3"/>
  <c r="AZ104" i="3"/>
  <c r="AZ106" i="3"/>
  <c r="C36" i="71"/>
  <c r="D35" i="71"/>
  <c r="BA60" i="3"/>
  <c r="AZ60" i="3" s="1"/>
  <c r="G69" i="3"/>
  <c r="BA73" i="3"/>
  <c r="AZ73" i="3" s="1"/>
  <c r="BL77" i="3"/>
  <c r="AZ77" i="3" s="1"/>
  <c r="G81" i="3"/>
  <c r="AZ95" i="3"/>
  <c r="AZ96" i="3"/>
  <c r="BL99" i="3"/>
  <c r="AZ99" i="3" s="1"/>
  <c r="D62" i="71"/>
  <c r="C63" i="71"/>
  <c r="Q66" i="71"/>
  <c r="Q65" i="71"/>
  <c r="BL59" i="3"/>
  <c r="AZ59" i="3" s="1"/>
  <c r="BL62" i="3"/>
  <c r="BA68" i="3"/>
  <c r="AZ68" i="3" s="1"/>
  <c r="BL72" i="3"/>
  <c r="AZ72" i="3" s="1"/>
  <c r="G76" i="3"/>
  <c r="BA80" i="3"/>
  <c r="AZ80" i="3" s="1"/>
  <c r="BL86" i="3"/>
  <c r="AZ86" i="3" s="1"/>
  <c r="AZ112" i="3"/>
  <c r="C43" i="71"/>
  <c r="D42" i="71"/>
  <c r="AZ62" i="3"/>
  <c r="AC21" i="33"/>
  <c r="AC21" i="37"/>
  <c r="S68" i="71"/>
  <c r="B67" i="71"/>
  <c r="X21" i="71"/>
  <c r="X24" i="71"/>
  <c r="AA22" i="71"/>
  <c r="AA21" i="71"/>
  <c r="Y11" i="71"/>
  <c r="Z11" i="71" s="1"/>
  <c r="X12" i="71"/>
  <c r="X11" i="71"/>
  <c r="R5" i="77"/>
  <c r="U5" i="77" s="1"/>
  <c r="R25" i="77"/>
  <c r="E26" i="77"/>
  <c r="E29" i="77"/>
  <c r="E38" i="77"/>
  <c r="E39" i="77" s="1"/>
  <c r="E32" i="77"/>
  <c r="K13" i="1"/>
  <c r="M13" i="1" s="1"/>
  <c r="B7" i="1"/>
  <c r="E7" i="1" s="1"/>
  <c r="R7" i="1"/>
  <c r="AA33" i="71"/>
  <c r="Y21" i="71"/>
  <c r="Z21" i="71" s="1"/>
  <c r="Y22" i="71"/>
  <c r="Z22" i="71" s="1"/>
  <c r="F71" i="71"/>
  <c r="F70" i="71" s="1"/>
  <c r="Y23" i="71"/>
  <c r="Z23" i="71" s="1"/>
  <c r="Y10" i="71"/>
  <c r="Z10" i="71" s="1"/>
  <c r="AB10" i="71"/>
  <c r="AA24" i="71"/>
  <c r="AB18" i="71"/>
  <c r="AB9" i="71"/>
  <c r="AA9" i="71"/>
  <c r="X10" i="71"/>
  <c r="AB21" i="71"/>
  <c r="Y14" i="71"/>
  <c r="Z14" i="71" s="1"/>
  <c r="X18" i="71"/>
  <c r="AA11" i="71"/>
  <c r="X17" i="71"/>
  <c r="X15" i="71"/>
  <c r="X13" i="71"/>
  <c r="X9" i="71"/>
  <c r="F25" i="78"/>
  <c r="G25" i="78" s="1"/>
  <c r="G24" i="78"/>
  <c r="Y24" i="71"/>
  <c r="Z24" i="71" s="1"/>
  <c r="AA18" i="71"/>
  <c r="X14" i="71"/>
  <c r="AB11" i="71"/>
  <c r="Y12" i="71"/>
  <c r="Z12" i="71" s="1"/>
  <c r="AB12" i="71"/>
  <c r="O32" i="43"/>
  <c r="D29" i="77"/>
  <c r="D32" i="77" s="1"/>
  <c r="D38" i="77"/>
  <c r="D39" i="77" s="1"/>
  <c r="C40" i="77" s="1"/>
  <c r="C15" i="78"/>
  <c r="U14" i="79"/>
  <c r="R5" i="79"/>
  <c r="V13" i="79"/>
  <c r="T29" i="79"/>
  <c r="W29" i="79" s="1"/>
  <c r="M26" i="79"/>
  <c r="P26" i="79" s="1"/>
  <c r="G6" i="1"/>
  <c r="C6" i="78"/>
  <c r="D6" i="78" s="1"/>
  <c r="C5" i="78"/>
  <c r="D5" i="78" s="1"/>
  <c r="C7" i="78"/>
  <c r="D7" i="78" s="1"/>
  <c r="AB24" i="71"/>
  <c r="AA23" i="71"/>
  <c r="X22" i="71"/>
  <c r="AA15" i="71"/>
  <c r="Y17" i="71"/>
  <c r="Z17" i="71" s="1"/>
  <c r="AB17" i="71"/>
  <c r="AA14" i="71"/>
  <c r="Y13" i="71"/>
  <c r="Z13" i="71" s="1"/>
  <c r="AB13" i="71"/>
  <c r="AA10" i="71"/>
  <c r="P32" i="43"/>
  <c r="Y9" i="71"/>
  <c r="Z9" i="71" s="1"/>
  <c r="L3" i="79"/>
  <c r="U15" i="79"/>
  <c r="U17" i="79"/>
  <c r="U28" i="79"/>
  <c r="U38" i="79"/>
  <c r="AA12" i="71"/>
  <c r="M32" i="43"/>
  <c r="U5" i="79"/>
  <c r="C23" i="43" s="1"/>
  <c r="U16" i="79"/>
  <c r="T30" i="79"/>
  <c r="W30" i="79" s="1"/>
  <c r="T32" i="79"/>
  <c r="W32" i="79" s="1"/>
  <c r="T31" i="79"/>
  <c r="W31" i="79" s="1"/>
  <c r="T36" i="79"/>
  <c r="W36" i="79" s="1"/>
  <c r="S28" i="79"/>
  <c r="Y18" i="71"/>
  <c r="Z18" i="71" s="1"/>
  <c r="AB15" i="71"/>
  <c r="AA17" i="71"/>
  <c r="AB14" i="71"/>
  <c r="AA13" i="71"/>
  <c r="L26" i="79"/>
  <c r="S29" i="79"/>
  <c r="U26" i="79"/>
  <c r="T28" i="79"/>
  <c r="W28" i="79" s="1"/>
  <c r="Y6" i="1"/>
  <c r="G1" i="15"/>
  <c r="E98" i="39"/>
  <c r="F23" i="39"/>
  <c r="J23" i="39"/>
  <c r="N12" i="43"/>
  <c r="D10" i="49"/>
  <c r="C4" i="4"/>
  <c r="B4" i="62" s="1"/>
  <c r="B71" i="72" s="1"/>
  <c r="B20" i="31"/>
  <c r="B21" i="31" s="1"/>
  <c r="Q71" i="67"/>
  <c r="F65" i="67"/>
  <c r="F66" i="67"/>
  <c r="F71" i="67"/>
  <c r="F68" i="67"/>
  <c r="F51" i="67"/>
  <c r="M59" i="67"/>
  <c r="L58" i="67"/>
  <c r="L59" i="67"/>
  <c r="N59" i="67"/>
  <c r="B12" i="70"/>
  <c r="B11" i="70"/>
  <c r="F64" i="67"/>
  <c r="C6" i="67"/>
  <c r="F50" i="67"/>
  <c r="M7" i="67"/>
  <c r="J6" i="67" s="1"/>
  <c r="B13" i="70"/>
  <c r="C27" i="67"/>
  <c r="J57" i="67"/>
  <c r="J55" i="67" s="1"/>
  <c r="J58" i="67" s="1"/>
  <c r="Q50" i="67" s="1"/>
  <c r="L56" i="67"/>
  <c r="J53" i="67"/>
  <c r="I54" i="67"/>
  <c r="B10" i="70"/>
  <c r="B8" i="70"/>
  <c r="B9" i="70"/>
  <c r="B7" i="70"/>
  <c r="F69" i="67"/>
  <c r="I1" i="73"/>
  <c r="B39" i="1" s="1"/>
  <c r="C23" i="12"/>
  <c r="M21" i="67"/>
  <c r="F35" i="67"/>
  <c r="C14" i="67"/>
  <c r="C16" i="67"/>
  <c r="C17" i="67"/>
  <c r="G1" i="73"/>
  <c r="C34" i="67" l="1"/>
  <c r="F63" i="67"/>
  <c r="C62" i="67" s="1"/>
  <c r="J20" i="67"/>
  <c r="AZ5" i="3"/>
  <c r="B2" i="77"/>
  <c r="B3" i="77" s="1"/>
  <c r="C41" i="77"/>
  <c r="AC7" i="40"/>
  <c r="V42" i="40" s="1"/>
  <c r="I42" i="40" s="1"/>
  <c r="W7" i="40"/>
  <c r="T36" i="71"/>
  <c r="D36" i="71"/>
  <c r="S7" i="34"/>
  <c r="AA7" i="34"/>
  <c r="R49" i="34" s="1"/>
  <c r="BA5" i="3"/>
  <c r="AC11" i="39"/>
  <c r="W11" i="39"/>
  <c r="BL5" i="3"/>
  <c r="J7" i="36"/>
  <c r="L67" i="39"/>
  <c r="K69" i="39"/>
  <c r="K4" i="4"/>
  <c r="B46" i="48" s="1"/>
  <c r="B4" i="72" s="1"/>
  <c r="AC23" i="39"/>
  <c r="W23" i="39"/>
  <c r="C64" i="71"/>
  <c r="D63" i="71"/>
  <c r="F48" i="68"/>
  <c r="C48" i="68"/>
  <c r="C30" i="68"/>
  <c r="D58" i="43"/>
  <c r="J58" i="43"/>
  <c r="V12" i="71"/>
  <c r="E11" i="71"/>
  <c r="E10" i="71" s="1"/>
  <c r="E9" i="71" s="1"/>
  <c r="E8" i="71" s="1"/>
  <c r="E7" i="71" s="1"/>
  <c r="E6" i="71" s="1"/>
  <c r="E5" i="71" s="1"/>
  <c r="J51" i="43"/>
  <c r="D51" i="43"/>
  <c r="G52" i="37"/>
  <c r="H52" i="37" s="1"/>
  <c r="I52" i="37" s="1"/>
  <c r="J52" i="37" s="1"/>
  <c r="K52" i="37" s="1"/>
  <c r="L52" i="37" s="1"/>
  <c r="M52" i="37" s="1"/>
  <c r="N52" i="37" s="1"/>
  <c r="O52" i="37" s="1"/>
  <c r="M23" i="43"/>
  <c r="T16" i="71"/>
  <c r="C15" i="71"/>
  <c r="D16" i="71"/>
  <c r="U16" i="71" s="1"/>
  <c r="F7" i="21"/>
  <c r="W7" i="35"/>
  <c r="AC7" i="35"/>
  <c r="V38" i="35" s="1"/>
  <c r="I38" i="35" s="1"/>
  <c r="AA23" i="39"/>
  <c r="S23" i="39"/>
  <c r="C44" i="71"/>
  <c r="D43" i="71"/>
  <c r="AC24" i="36"/>
  <c r="W24" i="36"/>
  <c r="AB7" i="34"/>
  <c r="T49" i="34" s="1"/>
  <c r="G49" i="34" s="1"/>
  <c r="U7" i="34"/>
  <c r="AB11" i="39"/>
  <c r="U11" i="39"/>
  <c r="D52" i="43"/>
  <c r="J52" i="43"/>
  <c r="J56" i="43"/>
  <c r="D56" i="43"/>
  <c r="S7" i="36"/>
  <c r="AA7" i="36"/>
  <c r="R36" i="36" s="1"/>
  <c r="G5" i="3"/>
  <c r="B3" i="3" s="1"/>
  <c r="E267" i="3" s="1"/>
  <c r="J53" i="43"/>
  <c r="D53" i="43"/>
  <c r="H58" i="33"/>
  <c r="W7" i="21"/>
  <c r="AC7" i="21"/>
  <c r="V48" i="21" s="1"/>
  <c r="I48" i="21" s="1"/>
  <c r="AB7" i="35"/>
  <c r="T38" i="35" s="1"/>
  <c r="G38" i="35" s="1"/>
  <c r="U7" i="35"/>
  <c r="F25" i="39"/>
  <c r="F98" i="39"/>
  <c r="G98" i="39" s="1"/>
  <c r="N67" i="71"/>
  <c r="B66" i="71"/>
  <c r="E265" i="3"/>
  <c r="U12" i="36"/>
  <c r="AB12" i="36"/>
  <c r="D54" i="43"/>
  <c r="J54" i="43"/>
  <c r="W7" i="34"/>
  <c r="AC7" i="34"/>
  <c r="V49" i="34" s="1"/>
  <c r="I49" i="34" s="1"/>
  <c r="AA11" i="39"/>
  <c r="S11" i="39"/>
  <c r="J55" i="43"/>
  <c r="D55" i="43"/>
  <c r="S12" i="71"/>
  <c r="B11" i="71"/>
  <c r="B10" i="71" s="1"/>
  <c r="B9" i="71" s="1"/>
  <c r="B8" i="71" s="1"/>
  <c r="B7" i="71" s="1"/>
  <c r="B6" i="71" s="1"/>
  <c r="B5" i="71" s="1"/>
  <c r="U7" i="36"/>
  <c r="AB7" i="36"/>
  <c r="T36" i="36" s="1"/>
  <c r="G36" i="36" s="1"/>
  <c r="AB7" i="40"/>
  <c r="T42" i="40" s="1"/>
  <c r="G42" i="40" s="1"/>
  <c r="U7" i="40"/>
  <c r="AA7" i="40"/>
  <c r="R42" i="40" s="1"/>
  <c r="S7" i="40"/>
  <c r="S7" i="35"/>
  <c r="AA7" i="35"/>
  <c r="R38" i="35" s="1"/>
  <c r="H7" i="21"/>
  <c r="B40" i="1"/>
  <c r="F24" i="67" s="1"/>
  <c r="C24" i="67" s="1"/>
  <c r="C15" i="67"/>
  <c r="C18" i="67"/>
  <c r="J18" i="67"/>
  <c r="J19" i="67"/>
  <c r="Q61" i="67"/>
  <c r="Q74" i="67"/>
  <c r="C49" i="67"/>
  <c r="Q73" i="67"/>
  <c r="Q60" i="67"/>
  <c r="F11" i="15"/>
  <c r="C53" i="15" s="1"/>
  <c r="M11" i="15"/>
  <c r="J10" i="15" s="1"/>
  <c r="F11" i="67"/>
  <c r="M11" i="67"/>
  <c r="J10" i="67" s="1"/>
  <c r="J5" i="67" s="1"/>
  <c r="F1" i="67"/>
  <c r="Q52" i="67"/>
  <c r="C33" i="67"/>
  <c r="C32" i="67"/>
  <c r="M26" i="15"/>
  <c r="L47" i="15"/>
  <c r="M8" i="15"/>
  <c r="F6" i="15"/>
  <c r="F26" i="15"/>
  <c r="M22" i="15"/>
  <c r="F42" i="15"/>
  <c r="M23" i="15"/>
  <c r="L48" i="15"/>
  <c r="M28" i="15"/>
  <c r="F37" i="15"/>
  <c r="C76" i="15"/>
  <c r="M24" i="15"/>
  <c r="M27" i="15"/>
  <c r="F13" i="15"/>
  <c r="F16" i="15"/>
  <c r="F38" i="15"/>
  <c r="F8" i="15"/>
  <c r="F40" i="15"/>
  <c r="M9" i="15"/>
  <c r="J15" i="15"/>
  <c r="M6" i="15"/>
  <c r="F9" i="15"/>
  <c r="F36" i="15"/>
  <c r="C31" i="67" l="1"/>
  <c r="F64" i="15"/>
  <c r="F68" i="15"/>
  <c r="F51" i="15"/>
  <c r="F66" i="15"/>
  <c r="Q71" i="15"/>
  <c r="F65" i="15"/>
  <c r="J60" i="15"/>
  <c r="Q48" i="15" s="1"/>
  <c r="L56" i="15"/>
  <c r="I54" i="15"/>
  <c r="J53" i="15"/>
  <c r="L60" i="15"/>
  <c r="J57" i="15"/>
  <c r="J55" i="15" s="1"/>
  <c r="J58" i="15" s="1"/>
  <c r="Q50" i="15" s="1"/>
  <c r="J59" i="15"/>
  <c r="L57" i="15"/>
  <c r="L46" i="15"/>
  <c r="C27" i="15"/>
  <c r="N59" i="15"/>
  <c r="L58" i="15"/>
  <c r="L59" i="15"/>
  <c r="M59" i="15"/>
  <c r="R39" i="35"/>
  <c r="E38" i="35"/>
  <c r="I43" i="35" s="1"/>
  <c r="J43" i="35" s="1"/>
  <c r="N65" i="71"/>
  <c r="N66" i="71"/>
  <c r="G40" i="36"/>
  <c r="H40" i="36" s="1"/>
  <c r="I53" i="34"/>
  <c r="J53" i="34" s="1"/>
  <c r="G42" i="35"/>
  <c r="H42" i="35" s="1"/>
  <c r="G43" i="35"/>
  <c r="H43" i="35" s="1"/>
  <c r="I58" i="33"/>
  <c r="R37" i="36"/>
  <c r="E36" i="36"/>
  <c r="E582" i="3"/>
  <c r="E76" i="3"/>
  <c r="F7" i="37"/>
  <c r="E566" i="3"/>
  <c r="L69" i="39"/>
  <c r="M67" i="39"/>
  <c r="I46" i="40"/>
  <c r="J46" i="40" s="1"/>
  <c r="J7" i="37"/>
  <c r="U7" i="21"/>
  <c r="AB7" i="21"/>
  <c r="T48" i="21" s="1"/>
  <c r="G48" i="21" s="1"/>
  <c r="R43" i="40"/>
  <c r="E42" i="40"/>
  <c r="I52" i="21"/>
  <c r="J52" i="21" s="1"/>
  <c r="G53" i="34"/>
  <c r="H53" i="34" s="1"/>
  <c r="G54" i="34"/>
  <c r="H54" i="34" s="1"/>
  <c r="E272" i="3"/>
  <c r="I42" i="35"/>
  <c r="J42" i="35" s="1"/>
  <c r="D15" i="71"/>
  <c r="C14" i="71"/>
  <c r="E327" i="3"/>
  <c r="T64" i="71"/>
  <c r="D64" i="71"/>
  <c r="W7" i="36"/>
  <c r="AC7" i="36"/>
  <c r="V36" i="36" s="1"/>
  <c r="I36" i="36" s="1"/>
  <c r="E278" i="3"/>
  <c r="AA25" i="39"/>
  <c r="S25" i="39"/>
  <c r="E74" i="3"/>
  <c r="T44" i="71"/>
  <c r="D44" i="71"/>
  <c r="H7" i="37"/>
  <c r="R50" i="34"/>
  <c r="E49" i="34"/>
  <c r="F24" i="15"/>
  <c r="C24" i="15" s="1"/>
  <c r="G46" i="40"/>
  <c r="H46" i="40" s="1"/>
  <c r="G47" i="40"/>
  <c r="H47" i="40" s="1"/>
  <c r="F19" i="6"/>
  <c r="E165" i="3"/>
  <c r="E244" i="3"/>
  <c r="E149" i="3"/>
  <c r="E167" i="3"/>
  <c r="E141" i="3"/>
  <c r="E312" i="3"/>
  <c r="AD6" i="3"/>
  <c r="E542" i="3"/>
  <c r="E552" i="3"/>
  <c r="E421" i="3"/>
  <c r="E464" i="3"/>
  <c r="E487" i="3"/>
  <c r="E398" i="3"/>
  <c r="E416" i="3"/>
  <c r="E459" i="3"/>
  <c r="E374" i="3"/>
  <c r="E500"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510" i="3"/>
  <c r="E539" i="3"/>
  <c r="E296" i="3"/>
  <c r="E223" i="3"/>
  <c r="E199" i="3"/>
  <c r="E369" i="3"/>
  <c r="E493" i="3"/>
  <c r="R6" i="3"/>
  <c r="E405" i="3"/>
  <c r="E486" i="3"/>
  <c r="E541" i="3"/>
  <c r="E408" i="3"/>
  <c r="E490" i="3"/>
  <c r="I3" i="6"/>
  <c r="E497" i="3"/>
  <c r="E498" i="3"/>
  <c r="E435" i="3"/>
  <c r="E470" i="3"/>
  <c r="E463" i="3"/>
  <c r="E56" i="3"/>
  <c r="E41" i="3"/>
  <c r="E178" i="3"/>
  <c r="E132" i="3"/>
  <c r="E225" i="3"/>
  <c r="E226" i="3"/>
  <c r="E292" i="3"/>
  <c r="E391" i="3"/>
  <c r="E372" i="3"/>
  <c r="E544" i="3"/>
  <c r="E94" i="3"/>
  <c r="E540" i="3"/>
  <c r="E484" i="3"/>
  <c r="E412" i="3"/>
  <c r="E79" i="3"/>
  <c r="E46" i="3"/>
  <c r="E129" i="3"/>
  <c r="E137" i="3"/>
  <c r="E194" i="3"/>
  <c r="E234" i="3"/>
  <c r="E219" i="3"/>
  <c r="E299" i="3"/>
  <c r="E339" i="3"/>
  <c r="E325" i="3"/>
  <c r="E392" i="3"/>
  <c r="AQ6" i="3"/>
  <c r="E52" i="3"/>
  <c r="E36" i="3"/>
  <c r="E112" i="3"/>
  <c r="E123" i="3"/>
  <c r="E147" i="3"/>
  <c r="E289" i="3"/>
  <c r="E340" i="3"/>
  <c r="E364" i="3"/>
  <c r="E50" i="3"/>
  <c r="E20" i="3"/>
  <c r="E62" i="3"/>
  <c r="E176" i="3"/>
  <c r="E218" i="3"/>
  <c r="E365" i="3"/>
  <c r="E524" i="3"/>
  <c r="E10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563" i="3"/>
  <c r="E172" i="3"/>
  <c r="E445" i="3"/>
  <c r="E535" i="3"/>
  <c r="E161" i="3"/>
  <c r="E135" i="3"/>
  <c r="E191" i="3"/>
  <c r="E263" i="3"/>
  <c r="E423" i="3"/>
  <c r="AI6" i="3"/>
  <c r="E385" i="3"/>
  <c r="E246" i="3"/>
  <c r="X6" i="3"/>
  <c r="E205" i="3"/>
  <c r="E188" i="3"/>
  <c r="E212" i="3"/>
  <c r="E173" i="3"/>
  <c r="E393" i="3"/>
  <c r="E499" i="3"/>
  <c r="T6" i="3"/>
  <c r="E427" i="3"/>
  <c r="E466" i="3"/>
  <c r="E512" i="3"/>
  <c r="E440" i="3"/>
  <c r="E255" i="3"/>
  <c r="E556" i="3"/>
  <c r="J6" i="3"/>
  <c r="E517" i="3"/>
  <c r="E452" i="3"/>
  <c r="E401" i="3"/>
  <c r="E479" i="3"/>
  <c r="E104" i="3"/>
  <c r="E108" i="3"/>
  <c r="E152" i="3"/>
  <c r="E139" i="3"/>
  <c r="E242" i="3"/>
  <c r="E241" i="3"/>
  <c r="E332" i="3"/>
  <c r="E333" i="3"/>
  <c r="E389" i="3"/>
  <c r="E42" i="3"/>
  <c r="E43" i="3"/>
  <c r="E409" i="3"/>
  <c r="E482" i="3"/>
  <c r="E455" i="3"/>
  <c r="E64" i="3"/>
  <c r="E78" i="3"/>
  <c r="E170" i="3"/>
  <c r="E142" i="3"/>
  <c r="E200" i="3"/>
  <c r="E249" i="3"/>
  <c r="E300" i="3"/>
  <c r="E371" i="3"/>
  <c r="E310" i="3"/>
  <c r="E492" i="3"/>
  <c r="E23" i="3"/>
  <c r="E84" i="3"/>
  <c r="E67" i="3"/>
  <c r="E33" i="3"/>
  <c r="E144" i="3"/>
  <c r="E184" i="3"/>
  <c r="E233" i="3"/>
  <c r="E355" i="3"/>
  <c r="E381" i="3"/>
  <c r="E68" i="3"/>
  <c r="E63" i="3"/>
  <c r="E118" i="3"/>
  <c r="E264" i="3"/>
  <c r="E283" i="3"/>
  <c r="E309" i="3"/>
  <c r="E513" i="3"/>
  <c r="E2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7" i="3"/>
  <c r="E568" i="3"/>
  <c r="E181" i="3"/>
  <c r="E545" i="3"/>
  <c r="AK6" i="3"/>
  <c r="E228" i="3"/>
  <c r="E277" i="3"/>
  <c r="E133" i="3"/>
  <c r="K6" i="3"/>
  <c r="E560" i="3"/>
  <c r="E472" i="3"/>
  <c r="E406" i="3"/>
  <c r="E465" i="3"/>
  <c r="E587" i="3"/>
  <c r="E577" i="3"/>
  <c r="E468" i="3"/>
  <c r="E454" i="3"/>
  <c r="E106" i="3"/>
  <c r="E146" i="3"/>
  <c r="E171" i="3"/>
  <c r="E214" i="3"/>
  <c r="E315" i="3"/>
  <c r="E362" i="3"/>
  <c r="E227" i="3"/>
  <c r="E368" i="3"/>
  <c r="E89" i="3"/>
  <c r="E204"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5" i="3"/>
  <c r="E473" i="3"/>
  <c r="E425" i="3"/>
  <c r="E18" i="3"/>
  <c r="E38" i="3"/>
  <c r="E103" i="3"/>
  <c r="E190" i="3"/>
  <c r="E163" i="3"/>
  <c r="E248" i="3"/>
  <c r="E209" i="3"/>
  <c r="E266" i="3"/>
  <c r="E307" i="3"/>
  <c r="E386" i="3"/>
  <c r="E354" i="3"/>
  <c r="E584" i="3"/>
  <c r="E66" i="3"/>
  <c r="E24" i="3"/>
  <c r="E48" i="3"/>
  <c r="E87" i="3"/>
  <c r="E127" i="3"/>
  <c r="E250" i="3"/>
  <c r="E284" i="3"/>
  <c r="E341" i="3"/>
  <c r="Y6" i="3"/>
  <c r="E51" i="3"/>
  <c r="E19" i="3"/>
  <c r="E154" i="3"/>
  <c r="E179" i="3"/>
  <c r="E222" i="3"/>
  <c r="E323" i="3"/>
  <c r="E373"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91" i="3"/>
  <c r="E317" i="3"/>
  <c r="AM6" i="3"/>
  <c r="E2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81" i="3"/>
  <c r="AA7" i="21"/>
  <c r="R48" i="21" s="1"/>
  <c r="S7" i="21"/>
  <c r="E50" i="43"/>
  <c r="B48" i="43" s="1"/>
  <c r="C28" i="43" s="1"/>
  <c r="E69" i="3"/>
  <c r="E3" i="6"/>
  <c r="AY6" i="3"/>
  <c r="F22" i="68"/>
  <c r="F22" i="69"/>
  <c r="L36" i="43"/>
  <c r="O36" i="43" s="1"/>
  <c r="C19" i="67"/>
  <c r="C20" i="67" s="1"/>
  <c r="C26" i="67" s="1"/>
  <c r="F25" i="12"/>
  <c r="F22" i="11"/>
  <c r="C26" i="11" s="1"/>
  <c r="D22" i="11" s="1"/>
  <c r="C10" i="67"/>
  <c r="C5" i="67" s="1"/>
  <c r="C53" i="67"/>
  <c r="C48" i="67" s="1"/>
  <c r="J24" i="67"/>
  <c r="J26" i="67"/>
  <c r="J29" i="67" s="1"/>
  <c r="J17" i="67"/>
  <c r="F41" i="68"/>
  <c r="C61" i="67"/>
  <c r="Q36" i="43"/>
  <c r="P36" i="43"/>
  <c r="M36" i="43"/>
  <c r="L37" i="43"/>
  <c r="N36" i="43"/>
  <c r="E19" i="6" l="1"/>
  <c r="Y37" i="1"/>
  <c r="F27" i="6"/>
  <c r="F31" i="6" s="1"/>
  <c r="E53" i="34"/>
  <c r="F53" i="34" s="1"/>
  <c r="E54" i="34"/>
  <c r="F54" i="34" s="1"/>
  <c r="D14" i="71"/>
  <c r="C13" i="71"/>
  <c r="N67" i="39"/>
  <c r="M69" i="39"/>
  <c r="C39" i="35"/>
  <c r="M3" i="35" s="1"/>
  <c r="C38" i="35"/>
  <c r="Q60" i="15"/>
  <c r="Q73" i="15"/>
  <c r="Q66" i="15"/>
  <c r="Q57" i="15"/>
  <c r="C44" i="68"/>
  <c r="D41" i="68" s="1"/>
  <c r="F41" i="69"/>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9" i="3"/>
  <c r="AY48" i="3"/>
  <c r="AY169" i="3"/>
  <c r="AY266" i="3"/>
  <c r="AY364" i="3"/>
  <c r="AY328" i="3"/>
  <c r="AY453" i="3"/>
  <c r="AY439" i="3"/>
  <c r="AY499" i="3"/>
  <c r="AY509" i="3"/>
  <c r="AY578" i="3"/>
  <c r="AY78" i="3"/>
  <c r="AY167" i="3"/>
  <c r="AY249" i="3"/>
  <c r="AY376" i="3"/>
  <c r="AY466" i="3"/>
  <c r="AY558" i="3"/>
  <c r="AY587" i="3"/>
  <c r="AY27"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84" i="3"/>
  <c r="AY101" i="3"/>
  <c r="AY37" i="3"/>
  <c r="AY129" i="3"/>
  <c r="AY234" i="3"/>
  <c r="AY345" i="3"/>
  <c r="AY487" i="3"/>
  <c r="AY458" i="3"/>
  <c r="AY423" i="3"/>
  <c r="D3" i="6"/>
  <c r="AY542" i="3"/>
  <c r="BA6" i="3"/>
  <c r="AY35" i="3"/>
  <c r="AY135" i="3"/>
  <c r="AY264" i="3"/>
  <c r="AY331" i="3"/>
  <c r="AY456" i="3"/>
  <c r="AY517" i="3"/>
  <c r="AY86" i="3"/>
  <c r="AY184"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494" i="3"/>
  <c r="AY96" i="3"/>
  <c r="AY189" i="3"/>
  <c r="AY287" i="3"/>
  <c r="AY223" i="3"/>
  <c r="AY313" i="3"/>
  <c r="AY471" i="3"/>
  <c r="AY442" i="3"/>
  <c r="AY579" i="3"/>
  <c r="AY524" i="3"/>
  <c r="BR6" i="3"/>
  <c r="AY94" i="3"/>
  <c r="AY192" i="3"/>
  <c r="AY127" i="3"/>
  <c r="AY221" i="3"/>
  <c r="AY346" i="3"/>
  <c r="AY424" i="3"/>
  <c r="AY512" i="3"/>
  <c r="AY55" i="3"/>
  <c r="AY179"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514" i="3"/>
  <c r="AY80" i="3"/>
  <c r="AY158" i="3"/>
  <c r="AY282" i="3"/>
  <c r="AY369" i="3"/>
  <c r="AY344" i="3"/>
  <c r="AY484" i="3"/>
  <c r="AY410" i="3"/>
  <c r="AY506" i="3"/>
  <c r="AY502" i="3"/>
  <c r="AY531" i="3"/>
  <c r="AY63" i="3"/>
  <c r="AY187" i="3"/>
  <c r="AY280" i="3"/>
  <c r="AY378" i="3"/>
  <c r="AY314" i="3"/>
  <c r="AY405" i="3"/>
  <c r="BL6" i="3"/>
  <c r="AY70"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E48" i="21"/>
  <c r="R49" i="21"/>
  <c r="H6" i="3"/>
  <c r="E6" i="3" s="1"/>
  <c r="AC6" i="3"/>
  <c r="C49" i="34"/>
  <c r="C50" i="34"/>
  <c r="E47" i="40"/>
  <c r="F47" i="40" s="1"/>
  <c r="E46" i="40"/>
  <c r="F46" i="40" s="1"/>
  <c r="W7" i="37"/>
  <c r="AC7" i="37"/>
  <c r="V42" i="37" s="1"/>
  <c r="I42" i="37" s="1"/>
  <c r="F1" i="15"/>
  <c r="Q52" i="15"/>
  <c r="C44" i="69"/>
  <c r="D41" i="69" s="1"/>
  <c r="B14" i="74"/>
  <c r="B1" i="74" s="1"/>
  <c r="B27" i="9"/>
  <c r="B30" i="9" s="1"/>
  <c r="D3" i="21"/>
  <c r="B3" i="21" s="1"/>
  <c r="C17" i="4"/>
  <c r="B4" i="52" s="1"/>
  <c r="B43" i="72" s="1"/>
  <c r="D3" i="37"/>
  <c r="B3" i="37" s="1"/>
  <c r="E6" i="6"/>
  <c r="M18" i="9"/>
  <c r="B118" i="9" s="1"/>
  <c r="D19" i="11"/>
  <c r="C19" i="11" s="1"/>
  <c r="D37" i="11"/>
  <c r="C37" i="11" s="1"/>
  <c r="D14" i="12"/>
  <c r="L18" i="9"/>
  <c r="D3" i="33"/>
  <c r="B3" i="33" s="1"/>
  <c r="AB7" i="37"/>
  <c r="T42" i="37" s="1"/>
  <c r="G42" i="37" s="1"/>
  <c r="U7" i="37"/>
  <c r="C42" i="40"/>
  <c r="C43" i="40"/>
  <c r="E40" i="36"/>
  <c r="F40" i="36" s="1"/>
  <c r="E41" i="36"/>
  <c r="F41" i="36" s="1"/>
  <c r="J58" i="33"/>
  <c r="I54" i="34"/>
  <c r="J54" i="34" s="1"/>
  <c r="T16" i="43"/>
  <c r="V16" i="43" s="1"/>
  <c r="T9" i="43"/>
  <c r="V9" i="43" s="1"/>
  <c r="T13" i="43"/>
  <c r="V13" i="43" s="1"/>
  <c r="C41" i="43"/>
  <c r="T12" i="43"/>
  <c r="V12" i="43" s="1"/>
  <c r="C37" i="43"/>
  <c r="T6" i="43"/>
  <c r="V6" i="43" s="1"/>
  <c r="T10" i="43"/>
  <c r="V10" i="43" s="1"/>
  <c r="T14" i="43"/>
  <c r="V14" i="43" s="1"/>
  <c r="T3" i="43"/>
  <c r="V3" i="43" s="1"/>
  <c r="T4" i="43"/>
  <c r="V4" i="43" s="1"/>
  <c r="C38" i="43"/>
  <c r="C39" i="43"/>
  <c r="C33" i="43"/>
  <c r="E33" i="43" s="1"/>
  <c r="T8" i="43"/>
  <c r="V8" i="43" s="1"/>
  <c r="T5" i="43"/>
  <c r="V5" i="43" s="1"/>
  <c r="T7" i="43"/>
  <c r="V7" i="43" s="1"/>
  <c r="T11" i="43"/>
  <c r="V11" i="43" s="1"/>
  <c r="T15" i="43"/>
  <c r="V15" i="43" s="1"/>
  <c r="C42" i="43"/>
  <c r="C40" i="43"/>
  <c r="T2" i="43"/>
  <c r="V2" i="43" s="1"/>
  <c r="I40" i="36"/>
  <c r="J40" i="36" s="1"/>
  <c r="I41" i="36"/>
  <c r="J41" i="36" s="1"/>
  <c r="G52" i="21"/>
  <c r="H52" i="21" s="1"/>
  <c r="G53" i="21"/>
  <c r="H53" i="21" s="1"/>
  <c r="I47" i="40"/>
  <c r="J47" i="40" s="1"/>
  <c r="S7" i="37"/>
  <c r="AA7" i="37"/>
  <c r="R42" i="37" s="1"/>
  <c r="C37" i="36"/>
  <c r="C36" i="36"/>
  <c r="G41" i="36"/>
  <c r="H41" i="36" s="1"/>
  <c r="E42" i="35"/>
  <c r="F42" i="35" s="1"/>
  <c r="E43" i="35"/>
  <c r="F43" i="35" s="1"/>
  <c r="Q61" i="15"/>
  <c r="Q74" i="15"/>
  <c r="C26" i="68"/>
  <c r="D22" i="68" s="1"/>
  <c r="C44" i="11"/>
  <c r="D41" i="11" s="1"/>
  <c r="C26" i="69"/>
  <c r="D22" i="69" s="1"/>
  <c r="C24" i="68"/>
  <c r="C23" i="11"/>
  <c r="C24" i="11"/>
  <c r="C26" i="12"/>
  <c r="D25" i="12" s="1"/>
  <c r="C23" i="67"/>
  <c r="C29" i="67" s="1"/>
  <c r="C13" i="67" s="1"/>
  <c r="C60" i="67"/>
  <c r="C59" i="67" s="1"/>
  <c r="C66" i="67"/>
  <c r="C38" i="67"/>
  <c r="P37" i="43"/>
  <c r="M37" i="43"/>
  <c r="Q37" i="43"/>
  <c r="N37" i="43"/>
  <c r="O37" i="43"/>
  <c r="AE6" i="1"/>
  <c r="F41" i="15" s="1"/>
  <c r="F69" i="15" l="1"/>
  <c r="R43" i="37"/>
  <c r="E42" i="37"/>
  <c r="G40" i="43"/>
  <c r="I40" i="43" s="1"/>
  <c r="E40" i="43"/>
  <c r="E39" i="43"/>
  <c r="G39" i="43"/>
  <c r="I39" i="43" s="1"/>
  <c r="E52" i="21"/>
  <c r="F52" i="21" s="1"/>
  <c r="E53" i="21"/>
  <c r="F53" i="21" s="1"/>
  <c r="I53" i="21"/>
  <c r="J53" i="21" s="1"/>
  <c r="N69" i="39"/>
  <c r="O67" i="39"/>
  <c r="O69" i="39" s="1"/>
  <c r="G42" i="43"/>
  <c r="I42" i="43" s="1"/>
  <c r="E42" i="43"/>
  <c r="G38" i="43"/>
  <c r="I38" i="43" s="1"/>
  <c r="E38" i="43"/>
  <c r="E41" i="43"/>
  <c r="G41" i="43"/>
  <c r="I41" i="43" s="1"/>
  <c r="G46" i="37"/>
  <c r="H46" i="37" s="1"/>
  <c r="G47" i="37"/>
  <c r="H47" i="37" s="1"/>
  <c r="D17" i="12"/>
  <c r="C17" i="12" s="1"/>
  <c r="C14" i="12"/>
  <c r="C16" i="12" s="1"/>
  <c r="D10" i="68"/>
  <c r="D10" i="69"/>
  <c r="D20" i="12"/>
  <c r="C20" i="12" s="1"/>
  <c r="D10" i="11"/>
  <c r="C10" i="11" s="1"/>
  <c r="C25" i="9"/>
  <c r="C12" i="71"/>
  <c r="D13" i="71"/>
  <c r="B54" i="40"/>
  <c r="F54" i="40" s="1"/>
  <c r="B59" i="40"/>
  <c r="F59" i="40" s="1"/>
  <c r="B56" i="40"/>
  <c r="F56" i="40" s="1"/>
  <c r="B57" i="40"/>
  <c r="F57" i="40" s="1"/>
  <c r="F61" i="40"/>
  <c r="B2" i="40" s="1"/>
  <c r="B3" i="40" s="1"/>
  <c r="B58" i="40"/>
  <c r="F58" i="40" s="1"/>
  <c r="B53" i="40"/>
  <c r="F53" i="40" s="1"/>
  <c r="B52" i="40"/>
  <c r="F52" i="40" s="1"/>
  <c r="B60" i="40"/>
  <c r="F60" i="40" s="1"/>
  <c r="B51" i="40"/>
  <c r="F51" i="40" s="1"/>
  <c r="C14" i="74"/>
  <c r="B2" i="74" s="1"/>
  <c r="D22" i="6"/>
  <c r="M19" i="9"/>
  <c r="C118" i="9" s="1"/>
  <c r="D8" i="6"/>
  <c r="D10" i="6"/>
  <c r="C18" i="4"/>
  <c r="D11" i="6"/>
  <c r="E61" i="40"/>
  <c r="D21" i="6"/>
  <c r="D14" i="6"/>
  <c r="L19" i="9"/>
  <c r="D23" i="6"/>
  <c r="D13" i="6"/>
  <c r="D25" i="6"/>
  <c r="D24" i="6"/>
  <c r="D6" i="6"/>
  <c r="D29" i="6"/>
  <c r="D5" i="6"/>
  <c r="D28" i="6"/>
  <c r="D15" i="6"/>
  <c r="D20" i="6"/>
  <c r="D26" i="6"/>
  <c r="D9" i="6"/>
  <c r="D19" i="6"/>
  <c r="D12" i="6"/>
  <c r="D27" i="9"/>
  <c r="D30" i="9" s="1"/>
  <c r="C24" i="9" s="1"/>
  <c r="C34" i="43"/>
  <c r="E34" i="43"/>
  <c r="C31" i="43" s="1"/>
  <c r="E37" i="43"/>
  <c r="C30" i="43" s="1"/>
  <c r="G37" i="43"/>
  <c r="I37" i="43" s="1"/>
  <c r="K58" i="33"/>
  <c r="C20" i="11"/>
  <c r="C25" i="11" s="1"/>
  <c r="C22" i="11" s="1"/>
  <c r="I46" i="37"/>
  <c r="J46" i="37" s="1"/>
  <c r="I47" i="37"/>
  <c r="J47" i="37" s="1"/>
  <c r="Y24" i="1"/>
  <c r="B3" i="34"/>
  <c r="C48" i="21"/>
  <c r="C49" i="21"/>
  <c r="F7" i="39"/>
  <c r="H7" i="39"/>
  <c r="J7" i="39"/>
  <c r="K6" i="1"/>
  <c r="K19" i="6"/>
  <c r="D3" i="34"/>
  <c r="B2" i="34" s="1"/>
  <c r="E27" i="6"/>
  <c r="J14" i="67"/>
  <c r="J13" i="67" s="1"/>
  <c r="J23" i="67" s="1"/>
  <c r="C57" i="67"/>
  <c r="C64" i="67" s="1"/>
  <c r="J59" i="67"/>
  <c r="J60" i="67" s="1"/>
  <c r="L46" i="67" s="1"/>
  <c r="Q49" i="67"/>
  <c r="C36" i="67"/>
  <c r="C37" i="67"/>
  <c r="C56" i="67"/>
  <c r="C65" i="67" s="1"/>
  <c r="C58" i="67" s="1"/>
  <c r="C67" i="67" s="1"/>
  <c r="C68" i="67" s="1"/>
  <c r="Q70" i="67"/>
  <c r="C75" i="67"/>
  <c r="F7" i="15"/>
  <c r="M29" i="15"/>
  <c r="F43" i="15"/>
  <c r="C30" i="67" l="1"/>
  <c r="C39" i="67" s="1"/>
  <c r="Q48" i="67"/>
  <c r="F71" i="15"/>
  <c r="M7" i="15"/>
  <c r="J6" i="15" s="1"/>
  <c r="F50" i="15"/>
  <c r="C49" i="15" s="1"/>
  <c r="C6" i="15"/>
  <c r="B2" i="43"/>
  <c r="W7" i="39"/>
  <c r="AC7" i="39"/>
  <c r="A10" i="51"/>
  <c r="B9" i="72" s="1"/>
  <c r="C4" i="52"/>
  <c r="B45" i="72" s="1"/>
  <c r="A7" i="51"/>
  <c r="B7" i="72" s="1"/>
  <c r="C10" i="69"/>
  <c r="C8" i="69" s="1"/>
  <c r="C5" i="69" s="1"/>
  <c r="C23" i="69" s="1"/>
  <c r="D19" i="69"/>
  <c r="AB7" i="39"/>
  <c r="U7" i="39"/>
  <c r="D30" i="6"/>
  <c r="C10" i="68"/>
  <c r="B29" i="1" s="1"/>
  <c r="C8" i="68" s="1"/>
  <c r="D19" i="68"/>
  <c r="D37" i="68" s="1"/>
  <c r="C37" i="68" s="1"/>
  <c r="E47" i="37"/>
  <c r="F47" i="37" s="1"/>
  <c r="E46" i="37"/>
  <c r="F46" i="37" s="1"/>
  <c r="AA7" i="39"/>
  <c r="S7" i="39"/>
  <c r="L58" i="33"/>
  <c r="D27" i="6"/>
  <c r="D8" i="74"/>
  <c r="D7" i="74"/>
  <c r="C42" i="37"/>
  <c r="C43" i="37"/>
  <c r="J22" i="67"/>
  <c r="J16" i="67" s="1"/>
  <c r="J25" i="67" s="1"/>
  <c r="S6" i="1"/>
  <c r="E6" i="70" s="1"/>
  <c r="E2" i="70" s="1"/>
  <c r="M19" i="6"/>
  <c r="K25" i="6"/>
  <c r="M25" i="6" s="1"/>
  <c r="I25" i="6" s="1"/>
  <c r="E31" i="6"/>
  <c r="K26" i="6"/>
  <c r="M26" i="6" s="1"/>
  <c r="I26" i="6" s="1"/>
  <c r="K20" i="6"/>
  <c r="M20" i="6" s="1"/>
  <c r="I20" i="6" s="1"/>
  <c r="K21" i="6"/>
  <c r="M21" i="6" s="1"/>
  <c r="I21" i="6" s="1"/>
  <c r="K23" i="6"/>
  <c r="M23" i="6" s="1"/>
  <c r="I23" i="6" s="1"/>
  <c r="K22" i="6"/>
  <c r="M22" i="6" s="1"/>
  <c r="I22" i="6" s="1"/>
  <c r="K24" i="6"/>
  <c r="M24" i="6" s="1"/>
  <c r="I24" i="6" s="1"/>
  <c r="M6" i="1"/>
  <c r="Q16" i="1"/>
  <c r="K16" i="1"/>
  <c r="H16" i="1"/>
  <c r="C34" i="69"/>
  <c r="G16" i="1"/>
  <c r="Y26" i="1"/>
  <c r="Z26" i="1" s="1"/>
  <c r="AD24" i="1"/>
  <c r="Z24" i="1"/>
  <c r="Y25" i="1"/>
  <c r="Z25" i="1" s="1"/>
  <c r="D16" i="6"/>
  <c r="T12" i="71"/>
  <c r="C11" i="71"/>
  <c r="D12" i="71"/>
  <c r="U12" i="71" s="1"/>
  <c r="C18" i="12"/>
  <c r="C21" i="12" s="1"/>
  <c r="C40" i="67"/>
  <c r="Q69" i="67"/>
  <c r="Q68" i="67" s="1"/>
  <c r="C71" i="67"/>
  <c r="C80" i="67"/>
  <c r="C79" i="67" s="1"/>
  <c r="C17" i="15"/>
  <c r="B6" i="76"/>
  <c r="C16" i="15"/>
  <c r="L51" i="67"/>
  <c r="B2" i="76" l="1"/>
  <c r="C22" i="12"/>
  <c r="C27" i="12"/>
  <c r="C25" i="12" s="1"/>
  <c r="Q17" i="1"/>
  <c r="F27" i="68"/>
  <c r="F28" i="12"/>
  <c r="C29" i="12" s="1"/>
  <c r="D28" i="12" s="1"/>
  <c r="F27" i="11"/>
  <c r="F27" i="69"/>
  <c r="C61" i="15"/>
  <c r="C48" i="15"/>
  <c r="S21" i="6"/>
  <c r="H21" i="6"/>
  <c r="R21" i="6" s="1"/>
  <c r="S25" i="6"/>
  <c r="H25" i="6"/>
  <c r="R25" i="6" s="1"/>
  <c r="M58" i="33"/>
  <c r="J19" i="15"/>
  <c r="J18" i="15"/>
  <c r="J5" i="15"/>
  <c r="Z32" i="1"/>
  <c r="Y32" i="1" s="1"/>
  <c r="Z31" i="1"/>
  <c r="Y31" i="1" s="1"/>
  <c r="C35" i="69"/>
  <c r="C38" i="69"/>
  <c r="S23" i="6"/>
  <c r="H23" i="6"/>
  <c r="R23" i="6" s="1"/>
  <c r="M16" i="1"/>
  <c r="N16" i="1"/>
  <c r="S24" i="6"/>
  <c r="H24" i="6"/>
  <c r="R24" i="6" s="1"/>
  <c r="S20" i="6"/>
  <c r="H20" i="6"/>
  <c r="R20" i="6" s="1"/>
  <c r="M27" i="6"/>
  <c r="I19" i="6"/>
  <c r="D31" i="6"/>
  <c r="I6" i="6" s="1"/>
  <c r="G3" i="43" s="1"/>
  <c r="B3" i="43"/>
  <c r="T6" i="1"/>
  <c r="AQ6" i="1"/>
  <c r="S16" i="1"/>
  <c r="AR6" i="1"/>
  <c r="D11" i="71"/>
  <c r="C10" i="71"/>
  <c r="J10" i="39"/>
  <c r="F10" i="39"/>
  <c r="H10" i="39"/>
  <c r="H10" i="40"/>
  <c r="F10" i="40"/>
  <c r="J10" i="40"/>
  <c r="S22" i="6"/>
  <c r="H22" i="6"/>
  <c r="R22" i="6" s="1"/>
  <c r="S26" i="6"/>
  <c r="H26" i="6"/>
  <c r="R26" i="6" s="1"/>
  <c r="K27" i="6"/>
  <c r="C19" i="69"/>
  <c r="D37" i="69"/>
  <c r="C37" i="69" s="1"/>
  <c r="C33" i="15"/>
  <c r="C32" i="15"/>
  <c r="C10" i="15"/>
  <c r="C5" i="15" s="1"/>
  <c r="C38" i="15" s="1"/>
  <c r="Q67" i="67"/>
  <c r="L57" i="67"/>
  <c r="L60" i="67" s="1"/>
  <c r="Q47" i="67"/>
  <c r="Q53" i="67" s="1"/>
  <c r="C43" i="67"/>
  <c r="Q65" i="67"/>
  <c r="D2" i="67"/>
  <c r="Q56" i="67"/>
  <c r="C83" i="67"/>
  <c r="C82" i="67" s="1"/>
  <c r="C45" i="67"/>
  <c r="C46" i="67" s="1"/>
  <c r="C14" i="15"/>
  <c r="C18" i="15" l="1"/>
  <c r="C15" i="15"/>
  <c r="C19" i="15"/>
  <c r="C47" i="11"/>
  <c r="D45" i="11" s="1"/>
  <c r="C29" i="11"/>
  <c r="D27" i="11" s="1"/>
  <c r="C28" i="11"/>
  <c r="C27" i="11" s="1"/>
  <c r="C31" i="11" s="1"/>
  <c r="C20" i="69"/>
  <c r="C24" i="69"/>
  <c r="AC10" i="40"/>
  <c r="W10" i="40"/>
  <c r="S10" i="40"/>
  <c r="AA10" i="40"/>
  <c r="AC10" i="39"/>
  <c r="V47" i="39" s="1"/>
  <c r="I47" i="39" s="1"/>
  <c r="W10" i="39"/>
  <c r="AB10" i="40"/>
  <c r="U10" i="40"/>
  <c r="D10" i="71"/>
  <c r="C9" i="71"/>
  <c r="F26" i="43"/>
  <c r="N370" i="46"/>
  <c r="J26" i="43"/>
  <c r="N94" i="46"/>
  <c r="G26" i="43"/>
  <c r="B116" i="43"/>
  <c r="H26" i="43"/>
  <c r="E26" i="43"/>
  <c r="D26" i="43" s="1"/>
  <c r="Z7" i="43"/>
  <c r="C34" i="11"/>
  <c r="L16" i="1"/>
  <c r="C34" i="68"/>
  <c r="N58" i="33"/>
  <c r="I5" i="6"/>
  <c r="C29" i="68"/>
  <c r="D27" i="68" s="1"/>
  <c r="F45" i="68"/>
  <c r="C47" i="68"/>
  <c r="D45" i="68" s="1"/>
  <c r="C30" i="12"/>
  <c r="C28" i="12" s="1"/>
  <c r="C32" i="12" s="1"/>
  <c r="B2" i="12" s="1"/>
  <c r="B3" i="12" s="1"/>
  <c r="AA10" i="39"/>
  <c r="R47" i="39" s="1"/>
  <c r="S10" i="39"/>
  <c r="F50" i="69"/>
  <c r="F50" i="11"/>
  <c r="F50" i="68"/>
  <c r="J26" i="15"/>
  <c r="J29" i="15" s="1"/>
  <c r="J24" i="15"/>
  <c r="C33" i="69"/>
  <c r="AB10" i="39"/>
  <c r="T47" i="39" s="1"/>
  <c r="G47" i="39" s="1"/>
  <c r="U10" i="39"/>
  <c r="T16" i="1"/>
  <c r="I27" i="6"/>
  <c r="S19" i="6"/>
  <c r="S27" i="6" s="1"/>
  <c r="H19" i="6"/>
  <c r="C60" i="15"/>
  <c r="C66" i="15"/>
  <c r="C29" i="69"/>
  <c r="D27" i="69" s="1"/>
  <c r="C47" i="69"/>
  <c r="D45" i="69" s="1"/>
  <c r="F45" i="69"/>
  <c r="B2" i="67"/>
  <c r="B3" i="67"/>
  <c r="Q66" i="67"/>
  <c r="Q75" i="67" s="1"/>
  <c r="Q57" i="67"/>
  <c r="Q62" i="67" s="1"/>
  <c r="C39" i="69" l="1"/>
  <c r="C42" i="69"/>
  <c r="C35" i="68"/>
  <c r="C38" i="68"/>
  <c r="C8" i="71"/>
  <c r="D9" i="71"/>
  <c r="C28" i="69"/>
  <c r="C27" i="69" s="1"/>
  <c r="C25" i="69"/>
  <c r="C22" i="69" s="1"/>
  <c r="I51" i="39"/>
  <c r="J51" i="39" s="1"/>
  <c r="C20" i="15"/>
  <c r="C23" i="15"/>
  <c r="C26" i="15"/>
  <c r="H27" i="6"/>
  <c r="R19" i="6"/>
  <c r="O58" i="33"/>
  <c r="F7" i="33" s="1"/>
  <c r="J7" i="33"/>
  <c r="H7" i="33"/>
  <c r="C38" i="11"/>
  <c r="C35" i="11"/>
  <c r="C33" i="11"/>
  <c r="I122" i="43"/>
  <c r="J122" i="43" s="1"/>
  <c r="K122" i="43" s="1"/>
  <c r="L122" i="43" s="1"/>
  <c r="M122" i="43" s="1"/>
  <c r="D120" i="43"/>
  <c r="E120" i="43" s="1"/>
  <c r="F120" i="43" s="1"/>
  <c r="G120" i="43" s="1"/>
  <c r="H120" i="43" s="1"/>
  <c r="I118" i="43"/>
  <c r="J118" i="43" s="1"/>
  <c r="K118" i="43" s="1"/>
  <c r="L118" i="43" s="1"/>
  <c r="M118" i="43" s="1"/>
  <c r="B121" i="43"/>
  <c r="C121" i="43" s="1"/>
  <c r="B118" i="43"/>
  <c r="G121" i="43"/>
  <c r="H121" i="43" s="1"/>
  <c r="B120" i="43"/>
  <c r="C120" i="43" s="1"/>
  <c r="I120" i="43"/>
  <c r="J120" i="43" s="1"/>
  <c r="K120" i="43" s="1"/>
  <c r="L120" i="43" s="1"/>
  <c r="M120" i="43" s="1"/>
  <c r="D121" i="43"/>
  <c r="E121" i="43" s="1"/>
  <c r="F121" i="43" s="1"/>
  <c r="D122" i="43"/>
  <c r="E122" i="43" s="1"/>
  <c r="F122" i="43" s="1"/>
  <c r="G122" i="43" s="1"/>
  <c r="H122" i="43" s="1"/>
  <c r="D118" i="43"/>
  <c r="E118" i="43" s="1"/>
  <c r="F118" i="43" s="1"/>
  <c r="G118" i="43" s="1"/>
  <c r="H118" i="43" s="1"/>
  <c r="I121" i="43"/>
  <c r="J121" i="43" s="1"/>
  <c r="K121" i="43" s="1"/>
  <c r="L121" i="43" s="1"/>
  <c r="M121" i="43" s="1"/>
  <c r="D119" i="43"/>
  <c r="E119" i="43" s="1"/>
  <c r="F119" i="43" s="1"/>
  <c r="G119" i="43" s="1"/>
  <c r="H119" i="43" s="1"/>
  <c r="B119" i="43"/>
  <c r="C119" i="43" s="1"/>
  <c r="I119" i="43"/>
  <c r="J119" i="43" s="1"/>
  <c r="K119" i="43" s="1"/>
  <c r="L119" i="43" s="1"/>
  <c r="M119" i="43" s="1"/>
  <c r="B122" i="43"/>
  <c r="C122" i="43" s="1"/>
  <c r="G52" i="39"/>
  <c r="H52" i="39" s="1"/>
  <c r="G51" i="39"/>
  <c r="H51" i="39" s="1"/>
  <c r="R48" i="39"/>
  <c r="E47" i="39"/>
  <c r="C29" i="15" l="1"/>
  <c r="C33" i="68"/>
  <c r="C54" i="68" s="1"/>
  <c r="F35" i="9" s="1"/>
  <c r="C57" i="15"/>
  <c r="C64" i="15" s="1"/>
  <c r="Q49" i="15"/>
  <c r="C13" i="15"/>
  <c r="C36" i="15"/>
  <c r="J14" i="15"/>
  <c r="C39" i="68"/>
  <c r="C43" i="68" s="1"/>
  <c r="C42" i="68"/>
  <c r="AA7" i="33"/>
  <c r="R48" i="33" s="1"/>
  <c r="S7" i="33"/>
  <c r="D116" i="43"/>
  <c r="C118" i="43"/>
  <c r="E51" i="39"/>
  <c r="F51" i="39" s="1"/>
  <c r="E52" i="39"/>
  <c r="F52" i="39" s="1"/>
  <c r="C39" i="11"/>
  <c r="C43" i="11" s="1"/>
  <c r="C42" i="11"/>
  <c r="C48" i="39"/>
  <c r="C47" i="39"/>
  <c r="R6" i="1"/>
  <c r="R27" i="6"/>
  <c r="AB7" i="33"/>
  <c r="T48" i="33" s="1"/>
  <c r="G48" i="33" s="1"/>
  <c r="U7" i="33"/>
  <c r="I52" i="39"/>
  <c r="J52" i="39" s="1"/>
  <c r="C7" i="71"/>
  <c r="D8" i="71"/>
  <c r="W7" i="33"/>
  <c r="AC7" i="33"/>
  <c r="V48" i="33" s="1"/>
  <c r="I48" i="33" s="1"/>
  <c r="C31" i="69"/>
  <c r="C46" i="69"/>
  <c r="C45" i="69" s="1"/>
  <c r="C43" i="69"/>
  <c r="C41" i="69" s="1"/>
  <c r="C49" i="69" s="1"/>
  <c r="C51" i="69" s="1"/>
  <c r="E6" i="76"/>
  <c r="M21" i="15"/>
  <c r="F35" i="15"/>
  <c r="C46" i="68" l="1"/>
  <c r="C45" i="68" s="1"/>
  <c r="C34" i="15"/>
  <c r="C31" i="15" s="1"/>
  <c r="F63" i="15"/>
  <c r="C62" i="15" s="1"/>
  <c r="C59" i="15" s="1"/>
  <c r="J20" i="15"/>
  <c r="J17" i="15" s="1"/>
  <c r="E2" i="76"/>
  <c r="B3" i="76" s="1"/>
  <c r="C52" i="69"/>
  <c r="B2" i="69" s="1"/>
  <c r="B3" i="69" s="1"/>
  <c r="C57" i="69"/>
  <c r="C56" i="69" s="1"/>
  <c r="R16" i="1"/>
  <c r="C46" i="11"/>
  <c r="C45" i="11" s="1"/>
  <c r="Q70" i="15"/>
  <c r="C75" i="15"/>
  <c r="C37" i="15"/>
  <c r="C30" i="15" s="1"/>
  <c r="C39" i="15" s="1"/>
  <c r="C56" i="15"/>
  <c r="C65" i="15" s="1"/>
  <c r="G53" i="33"/>
  <c r="H53" i="33" s="1"/>
  <c r="G52" i="33"/>
  <c r="H52" i="33" s="1"/>
  <c r="B56" i="39"/>
  <c r="F56" i="39" s="1"/>
  <c r="F65" i="39" s="1"/>
  <c r="B2" i="39" s="1"/>
  <c r="B58" i="39"/>
  <c r="F58" i="39" s="1"/>
  <c r="B60" i="39"/>
  <c r="F60" i="39" s="1"/>
  <c r="B62" i="39"/>
  <c r="F62" i="39" s="1"/>
  <c r="B64" i="39"/>
  <c r="F64" i="39" s="1"/>
  <c r="B57" i="39"/>
  <c r="F57" i="39" s="1"/>
  <c r="B59" i="39"/>
  <c r="F59" i="39" s="1"/>
  <c r="B61" i="39"/>
  <c r="F61" i="39" s="1"/>
  <c r="B63" i="39"/>
  <c r="F63" i="39" s="1"/>
  <c r="C41" i="68"/>
  <c r="C49" i="68" s="1"/>
  <c r="C51" i="68" s="1"/>
  <c r="I52" i="33"/>
  <c r="J52" i="33" s="1"/>
  <c r="D7" i="71"/>
  <c r="C6" i="71"/>
  <c r="C41" i="11"/>
  <c r="C49" i="11" s="1"/>
  <c r="C51" i="11" s="1"/>
  <c r="E48" i="33"/>
  <c r="I53" i="33" s="1"/>
  <c r="J53" i="33" s="1"/>
  <c r="R49" i="33"/>
  <c r="J22" i="15"/>
  <c r="J13" i="15"/>
  <c r="J23" i="15" s="1"/>
  <c r="C58" i="15" l="1"/>
  <c r="C67" i="15" s="1"/>
  <c r="C68" i="15" s="1"/>
  <c r="C6" i="68"/>
  <c r="B3" i="39"/>
  <c r="C71" i="15"/>
  <c r="C48" i="33"/>
  <c r="C49" i="33"/>
  <c r="I41" i="15"/>
  <c r="C40" i="15"/>
  <c r="C46" i="15" s="1"/>
  <c r="Q69" i="15"/>
  <c r="Q68" i="15" s="1"/>
  <c r="J16" i="15"/>
  <c r="J25" i="15" s="1"/>
  <c r="C52" i="11"/>
  <c r="B2" i="11" s="1"/>
  <c r="B3" i="11" s="1"/>
  <c r="C80" i="15"/>
  <c r="C79" i="15" s="1"/>
  <c r="E52" i="33"/>
  <c r="F52" i="33" s="1"/>
  <c r="E53" i="33"/>
  <c r="F53" i="33" s="1"/>
  <c r="D6" i="71"/>
  <c r="C5" i="71"/>
  <c r="L51" i="15"/>
  <c r="C56" i="11" l="1"/>
  <c r="C57" i="11" s="1"/>
  <c r="Q67" i="15"/>
  <c r="D5" i="71"/>
  <c r="M24" i="43"/>
  <c r="Q47" i="15"/>
  <c r="Q53" i="15" s="1"/>
  <c r="B2" i="15"/>
  <c r="C43" i="15"/>
  <c r="Q65" i="15"/>
  <c r="Q75" i="15" s="1"/>
  <c r="Q56" i="15"/>
  <c r="Q62" i="15" s="1"/>
  <c r="C83" i="15"/>
  <c r="C82" i="15" s="1"/>
  <c r="C7" i="68"/>
  <c r="C5" i="68"/>
  <c r="AO6" i="1"/>
  <c r="D19" i="9"/>
  <c r="D21" i="9" l="1"/>
  <c r="D102" i="9"/>
  <c r="B6" i="70"/>
  <c r="B2" i="70" s="1"/>
  <c r="B3" i="70" s="1"/>
  <c r="C20" i="68"/>
  <c r="C25" i="68" s="1"/>
  <c r="C23" i="68"/>
  <c r="B3" i="15"/>
  <c r="D20" i="9"/>
  <c r="D103" i="9" l="1"/>
  <c r="C22" i="68"/>
  <c r="C28" i="68"/>
  <c r="C27" i="68" s="1"/>
  <c r="C31" i="68" l="1"/>
  <c r="C52" i="68" s="1"/>
  <c r="B2" i="68" l="1"/>
  <c r="C57" i="68"/>
  <c r="C56" i="68" s="1"/>
  <c r="C19" i="9"/>
  <c r="C21" i="9" l="1"/>
  <c r="C102" i="9"/>
  <c r="G19" i="9"/>
  <c r="D22" i="9"/>
  <c r="B3" i="68"/>
  <c r="C20" i="9"/>
  <c r="C103" i="9" l="1"/>
  <c r="G20" i="9"/>
  <c r="C32" i="9"/>
  <c r="G21" i="9"/>
  <c r="H118" i="9" l="1"/>
  <c r="C35" i="9"/>
  <c r="D35" i="9"/>
  <c r="F118" i="9" l="1"/>
  <c r="G118" i="9"/>
  <c r="G4" i="52" s="1"/>
  <c r="B52" i="72" s="1"/>
  <c r="F119" i="9"/>
  <c r="F5" i="52" s="1"/>
  <c r="B53" i="72" s="1"/>
  <c r="F4" i="52"/>
  <c r="B51" i="72" s="1"/>
  <c r="H4" i="52"/>
  <c r="C104" i="9"/>
  <c r="I118" i="9"/>
  <c r="H119" i="9"/>
  <c r="H5" i="52" s="1"/>
  <c r="H101" i="9"/>
  <c r="M48" i="9" l="1"/>
  <c r="G23" i="9"/>
  <c r="H107" i="9"/>
  <c r="D45" i="9"/>
  <c r="D5" i="53"/>
  <c r="D14" i="74"/>
  <c r="C105" i="9"/>
  <c r="H102" i="9"/>
  <c r="D7" i="53" s="1"/>
  <c r="B21" i="72" s="1"/>
  <c r="I4" i="52"/>
  <c r="K24" i="9" l="1"/>
  <c r="F34" i="9"/>
  <c r="C34" i="9" s="1"/>
  <c r="C72" i="9"/>
  <c r="D52" i="9"/>
  <c r="D55" i="9"/>
  <c r="M53" i="9" s="1"/>
  <c r="C93" i="9"/>
  <c r="C86" i="9" s="1"/>
  <c r="C64" i="9"/>
  <c r="C63" i="9" s="1"/>
  <c r="C67" i="9" s="1"/>
  <c r="C78" i="9"/>
  <c r="C73" i="9" s="1"/>
  <c r="D53" i="9"/>
  <c r="C85" i="9"/>
  <c r="H108" i="9"/>
  <c r="D15" i="53" s="1"/>
  <c r="B31" i="72" s="1"/>
  <c r="M49" i="9"/>
  <c r="D13" i="53"/>
  <c r="D122" i="9"/>
  <c r="G14" i="74"/>
  <c r="B6" i="74" s="1"/>
  <c r="E14" i="74"/>
  <c r="F14" i="74"/>
  <c r="B5" i="74"/>
  <c r="B20" i="72"/>
  <c r="D6" i="53"/>
  <c r="B22" i="72" s="1"/>
  <c r="D34" i="9"/>
  <c r="D118" i="9" l="1"/>
  <c r="C95" i="9"/>
  <c r="D8" i="52"/>
  <c r="D123" i="9"/>
  <c r="D9" i="52" s="1"/>
  <c r="D5" i="74"/>
  <c r="C5" i="74"/>
  <c r="D14" i="53"/>
  <c r="B32" i="72" s="1"/>
  <c r="B30" i="72"/>
  <c r="L68" i="9"/>
  <c r="M68" i="9" s="1"/>
  <c r="L64" i="9"/>
  <c r="M64" i="9" s="1"/>
  <c r="L66" i="9"/>
  <c r="M66" i="9" s="1"/>
  <c r="L65" i="9"/>
  <c r="M65" i="9" s="1"/>
  <c r="L63" i="9"/>
  <c r="M63" i="9" s="1"/>
  <c r="L67" i="9"/>
  <c r="M67" i="9" s="1"/>
  <c r="C96" i="9"/>
  <c r="E96" i="9" s="1"/>
  <c r="E97" i="9" s="1"/>
  <c r="C97" i="9"/>
  <c r="D58" i="9" s="1"/>
  <c r="D56" i="9" s="1"/>
  <c r="M54" i="9" s="1"/>
  <c r="N57" i="9" s="1"/>
  <c r="D6" i="74"/>
  <c r="C6" i="74"/>
  <c r="D59" i="9"/>
  <c r="M55" i="9" s="1"/>
  <c r="C68" i="9"/>
  <c r="D54" i="9" s="1"/>
  <c r="C79" i="9"/>
  <c r="D4" i="52" l="1"/>
  <c r="B47" i="72" s="1"/>
  <c r="E118" i="9"/>
  <c r="E4" i="52" s="1"/>
  <c r="B48" i="72" s="1"/>
  <c r="D119" i="9"/>
  <c r="D5" i="52" s="1"/>
  <c r="B49" i="72" s="1"/>
  <c r="N59" i="9"/>
  <c r="P57" i="9"/>
  <c r="N58" i="9"/>
  <c r="C80" i="9"/>
  <c r="E80" i="9" s="1"/>
  <c r="E81" i="9" s="1"/>
  <c r="M69" i="9"/>
  <c r="N69" i="9" s="1"/>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<sst xmlns="http://schemas.openxmlformats.org/spreadsheetml/2006/main" count="8921" uniqueCount="3875">
  <si>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</si>
  <si>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</si>
  <si>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</si>
  <si>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</si>
  <si>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</si>
  <si>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</si>
  <si>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</si>
  <si>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</si>
  <si>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</si>
  <si>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</si>
  <si>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</si>
  <si>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</si>
  <si>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</si>
  <si>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</si>
  <si>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</si>
  <si>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</si>
  <si>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</si>
  <si>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</si>
  <si>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</si>
  <si>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</si>
  <si>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</si>
  <si>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</si>
  <si>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</si>
  <si>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</si>
  <si>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</si>
  <si>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</si>
  <si>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</si>
  <si>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</si>
  <si>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</si>
  <si>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</si>
  <si>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</si>
  <si>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</si>
  <si>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</si>
  <si>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</si>
  <si>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</si>
  <si>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</si>
  <si>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</si>
  <si>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</si>
  <si>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</si>
  <si>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</si>
  <si>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</si>
  <si>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</si>
  <si>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</si>
  <si>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</si>
  <si>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</si>
  <si>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</si>
  <si>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</si>
  <si>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</si>
  <si>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</si>
  <si>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</si>
  <si>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</si>
  <si>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</si>
  <si>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</si>
  <si>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</si>
  <si>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</si>
  <si>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</si>
  <si>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</si>
  <si>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</si>
  <si>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</si>
  <si>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</si>
  <si>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</si>
  <si>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</si>
  <si>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</si>
  <si>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</si>
  <si>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</si>
  <si>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</si>
  <si>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</si>
  <si>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</si>
  <si>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</si>
  <si>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</si>
  <si>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</si>
  <si>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</si>
  <si>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</si>
  <si>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</si>
  <si>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</si>
  <si>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</si>
  <si>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</si>
  <si>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</si>
  <si>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</si>
  <si>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</si>
  <si>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</si>
  <si>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</si>
  <si>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</si>
  <si>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</si>
  <si>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</si>
  <si>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</si>
  <si>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</si>
  <si>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</si>
  <si>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</si>
  <si>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</si>
  <si>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</si>
  <si>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</si>
  <si>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</si>
  <si>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</si>
  <si>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</si>
  <si>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</si>
  <si>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</si>
  <si>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</si>
  <si>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</si>
  <si>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</si>
  <si>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</si>
  <si>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</si>
  <si>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</si>
  <si>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</si>
  <si>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</si>
  <si>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</si>
  <si>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</si>
  <si>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</si>
  <si>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</si>
  <si>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</si>
  <si>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</si>
  <si>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</si>
  <si>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</si>
  <si>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</si>
  <si>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</si>
  <si>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</si>
  <si>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</si>
  <si>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</si>
  <si>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</si>
  <si>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</si>
  <si>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</si>
  <si>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</si>
  <si>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</si>
  <si>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</si>
  <si>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</si>
  <si>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</si>
  <si>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</si>
  <si>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</si>
  <si>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</si>
  <si>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</si>
  <si>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</si>
  <si>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</si>
  <si>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</si>
  <si>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</si>
  <si>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</si>
  <si>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</si>
  <si>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</si>
  <si>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</si>
  <si>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</si>
  <si>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</si>
  <si>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</si>
  <si>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</si>
  <si>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</si>
  <si>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</si>
  <si>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</si>
  <si>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</si>
  <si>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</si>
  <si>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</si>
  <si>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</si>
  <si>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</si>
  <si>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</si>
  <si>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</si>
  <si>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</si>
  <si>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</si>
  <si>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</si>
  <si>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</si>
  <si>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</si>
  <si>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</si>
  <si>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</si>
  <si>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</si>
  <si>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</si>
  <si>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</si>
  <si>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</si>
  <si>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</si>
  <si>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</si>
  <si>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</si>
  <si>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</si>
  <si>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</si>
  <si>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</si>
  <si>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</si>
  <si>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</si>
  <si>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</si>
  <si>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</si>
  <si>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</si>
  <si>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</si>
  <si>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</si>
  <si>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</si>
  <si>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</si>
  <si>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</si>
  <si>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</si>
  <si>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</si>
  <si>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</si>
  <si>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</si>
  <si>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</si>
  <si>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</si>
  <si>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</si>
  <si>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</si>
  <si>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</si>
  <si>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</si>
  <si>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</si>
  <si>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</si>
  <si>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</si>
  <si>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</si>
  <si>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</si>
  <si>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</si>
  <si>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</si>
  <si>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</si>
  <si>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</si>
  <si>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</si>
  <si>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</si>
  <si>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</si>
  <si>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</si>
  <si>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</si>
  <si>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</si>
  <si>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</si>
  <si>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</si>
  <si>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</si>
  <si>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</si>
  <si>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</si>
  <si>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</si>
  <si>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</si>
  <si>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</si>
  <si>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</si>
  <si>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</si>
  <si>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</si>
  <si>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</si>
  <si>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</si>
  <si>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</si>
  <si>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</si>
  <si>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</si>
  <si>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</si>
  <si>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</si>
  <si>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</si>
  <si>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</si>
  <si>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</si>
  <si>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</si>
  <si>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</si>
  <si>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</si>
  <si>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</si>
  <si>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</si>
  <si>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</si>
  <si>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</si>
  <si>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</si>
  <si>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</si>
  <si>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</si>
  <si>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</si>
  <si>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</si>
  <si>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</si>
  <si>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</si>
  <si>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</si>
  <si>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</si>
  <si>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</si>
  <si>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</si>
  <si>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</si>
  <si>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</si>
  <si>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</si>
  <si>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</si>
  <si>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</si>
  <si>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</si>
  <si>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</si>
  <si>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</si>
  <si>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</si>
  <si>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</si>
  <si>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</si>
  <si>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</si>
  <si>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</si>
  <si>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</si>
  <si>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</si>
  <si>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</si>
  <si>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</si>
  <si>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</si>
  <si>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</si>
  <si>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</si>
  <si>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</si>
  <si>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</si>
  <si>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</si>
  <si>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</si>
  <si>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</si>
  <si>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</si>
  <si>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</si>
  <si>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</si>
  <si>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</si>
  <si>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</si>
  <si>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</si>
  <si>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</si>
  <si>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</si>
  <si>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</si>
  <si>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</si>
  <si>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</si>
  <si>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</si>
  <si>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</si>
  <si>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</si>
  <si>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</si>
  <si>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</si>
  <si>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</si>
  <si>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</si>
  <si>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</si>
  <si>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</si>
  <si>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</si>
  <si>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</si>
  <si>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</si>
  <si>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</si>
  <si>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</si>
  <si>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</si>
  <si>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</si>
  <si>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</si>
  <si>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</si>
  <si>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</si>
  <si>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</si>
  <si>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</si>
  <si>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</si>
  <si>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</si>
  <si>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</si>
  <si>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</si>
  <si>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</si>
  <si>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</si>
  <si>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</si>
  <si>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</si>
  <si>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</si>
  <si>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</si>
  <si>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</si>
  <si>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</si>
  <si>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</si>
  <si>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</si>
  <si>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</si>
  <si>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</si>
  <si>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</si>
  <si>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</si>
  <si>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</si>
  <si>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</si>
  <si>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</si>
  <si>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</si>
  <si>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</si>
  <si>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</si>
  <si>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</si>
  <si>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</si>
  <si>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</si>
  <si>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</si>
  <si>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</si>
  <si>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</si>
  <si>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</si>
  <si>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</si>
  <si>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</si>
  <si>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</si>
  <si>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</si>
  <si>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</si>
  <si>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</si>
  <si>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</si>
  <si>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</si>
  <si>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</si>
  <si>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</si>
  <si>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</si>
  <si>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</si>
  <si>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</si>
  <si>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</si>
  <si>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</si>
  <si>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</si>
  <si>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</si>
  <si>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</si>
  <si>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</si>
  <si>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</si>
  <si>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</si>
  <si>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</si>
  <si>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</si>
  <si>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</si>
  <si>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</si>
  <si>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</si>
  <si>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</si>
  <si>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</si>
  <si>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</si>
  <si>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</si>
  <si>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</si>
  <si>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</si>
  <si>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</si>
  <si>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</si>
  <si>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</si>
  <si>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</si>
  <si>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</si>
  <si>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</si>
  <si>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</si>
  <si>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</si>
  <si>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</si>
  <si>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</si>
  <si>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</si>
  <si>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</si>
  <si>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</si>
  <si>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</si>
  <si>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</si>
  <si>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</si>
  <si>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</si>
  <si>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</si>
  <si>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</si>
  <si>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</si>
  <si>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</si>
  <si>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</si>
  <si>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</si>
  <si>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</si>
  <si>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</si>
  <si>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</si>
  <si>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</si>
  <si>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</si>
  <si>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</si>
  <si>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</si>
  <si>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</si>
  <si>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</si>
  <si>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</si>
  <si>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</si>
  <si>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</si>
  <si>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</si>
  <si>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</si>
  <si>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</si>
  <si>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</si>
  <si>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</si>
  <si>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</si>
  <si>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</si>
  <si>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</si>
  <si>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</si>
  <si>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</si>
  <si>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</si>
  <si>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</si>
  <si>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</si>
  <si>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</si>
  <si>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</si>
  <si>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</si>
  <si>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</si>
  <si>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</si>
  <si>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</si>
  <si>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</si>
  <si>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</si>
  <si>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</si>
  <si>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</si>
  <si>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</si>
  <si>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</si>
  <si>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</si>
  <si>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</si>
  <si>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</si>
  <si>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</si>
  <si>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</si>
  <si>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</si>
  <si>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</si>
  <si>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</si>
  <si>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</si>
  <si>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</si>
  <si>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</si>
  <si>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</si>
  <si>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</si>
  <si>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</si>
  <si>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</si>
  <si>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</si>
  <si>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</si>
  <si>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</si>
  <si>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</si>
  <si>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</si>
  <si>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</si>
  <si>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</si>
  <si>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</si>
  <si>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</si>
  <si>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</si>
  <si>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</si>
  <si>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</si>
  <si>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</si>
  <si>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</si>
  <si>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</si>
  <si>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</si>
  <si>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</si>
  <si>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</si>
  <si>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</si>
  <si>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</si>
  <si>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</si>
  <si>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</si>
  <si>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</si>
  <si>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</si>
  <si>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</si>
  <si>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</si>
  <si>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</si>
  <si>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</si>
  <si>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</si>
  <si>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</si>
  <si>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</si>
  <si>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</si>
  <si>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</si>
  <si>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</si>
  <si>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</si>
  <si>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</si>
  <si>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</si>
  <si>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</si>
  <si>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</si>
  <si>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</si>
  <si>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</si>
  <si>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</si>
  <si>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</si>
  <si>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</si>
  <si>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</si>
  <si>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</si>
  <si>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</si>
  <si>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</si>
  <si>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</si>
  <si>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</si>
  <si>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</si>
  <si>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</si>
  <si>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</si>
  <si>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</si>
  <si>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</si>
  <si>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</si>
  <si>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</si>
  <si>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</si>
  <si>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</si>
  <si>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</si>
  <si>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</si>
  <si>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</si>
  <si>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</si>
  <si>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</si>
  <si>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</si>
  <si>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</si>
  <si>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</si>
  <si>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</si>
  <si>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</si>
  <si>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</si>
  <si>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</si>
  <si>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</si>
  <si>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</si>
  <si>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</si>
  <si>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</si>
  <si>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</si>
  <si>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</si>
  <si>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</si>
  <si>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</si>
  <si>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</si>
  <si>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</si>
  <si>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</si>
  <si>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</si>
  <si>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</si>
  <si>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</si>
  <si>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</si>
  <si>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</si>
  <si>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</si>
  <si>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</si>
  <si>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</si>
  <si>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</si>
  <si>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</si>
  <si>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</si>
  <si>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</si>
  <si>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</si>
  <si>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</si>
  <si>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</si>
  <si>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</si>
  <si>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</si>
  <si>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</si>
  <si>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</si>
  <si>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</si>
  <si>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</si>
  <si>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</si>
  <si>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</si>
  <si>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</si>
  <si>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</si>
  <si>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</si>
  <si>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</si>
  <si>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</si>
  <si>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</si>
  <si>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</si>
  <si>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</si>
  <si>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</si>
  <si>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</si>
  <si>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</si>
  <si>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</si>
  <si>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</si>
  <si>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</si>
  <si>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</si>
  <si>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</si>
  <si>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</si>
  <si>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</si>
  <si>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</si>
  <si>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</si>
  <si>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</si>
  <si>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</si>
  <si>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</si>
  <si>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</si>
  <si>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</si>
  <si>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</si>
  <si>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</si>
  <si>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</si>
  <si>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</si>
  <si>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</si>
  <si>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</si>
  <si>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</si>
  <si>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</si>
  <si>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</si>
  <si>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</si>
  <si>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</si>
  <si>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</si>
  <si>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</si>
  <si>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</si>
  <si>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</si>
  <si>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</si>
  <si>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</si>
  <si>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</si>
  <si>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</si>
  <si>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</si>
  <si>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</si>
  <si>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</si>
  <si>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</si>
  <si>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</si>
  <si>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</si>
  <si>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</si>
  <si>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</si>
  <si>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</si>
  <si>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</si>
  <si>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</si>
  <si>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</si>
  <si>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</si>
  <si>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</si>
  <si>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</si>
  <si>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</si>
  <si>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</si>
  <si>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</si>
  <si>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</si>
  <si>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</si>
  <si>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</si>
  <si>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</si>
  <si>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</si>
  <si>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</si>
  <si>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</si>
  <si>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</si>
  <si>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</si>
  <si>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</si>
  <si>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</si>
  <si>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</si>
  <si>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</si>
  <si>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</si>
  <si>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</si>
  <si>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</si>
  <si>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</si>
  <si>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</si>
  <si>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</si>
  <si>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</si>
  <si>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</si>
  <si>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</si>
  <si>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</si>
  <si>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</si>
  <si>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</si>
  <si>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</si>
  <si>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</si>
  <si>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</si>
  <si>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</si>
  <si>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</si>
  <si>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</si>
  <si>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</si>
  <si>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</si>
  <si>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</si>
  <si>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</si>
  <si>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</si>
  <si>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</si>
  <si>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</si>
  <si>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</si>
  <si>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</si>
  <si>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</si>
  <si>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</si>
  <si>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</si>
  <si>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</si>
  <si>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</si>
  <si>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</si>
  <si>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</si>
  <si>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</si>
  <si>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</si>
  <si>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</si>
  <si>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</si>
  <si>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</si>
  <si>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</si>
  <si>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</si>
  <si>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</si>
  <si>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</si>
  <si>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</si>
  <si>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</si>
  <si>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</si>
  <si>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</si>
  <si>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</si>
  <si>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</si>
  <si>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</si>
  <si>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</si>
  <si>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</si>
  <si>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</si>
  <si>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</si>
  <si>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</si>
  <si>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</si>
  <si>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</si>
  <si>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</si>
  <si>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</si>
  <si>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</si>
  <si>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</si>
  <si>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</si>
  <si>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</si>
  <si>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</si>
  <si>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</si>
  <si>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</si>
  <si>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</si>
  <si>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</si>
  <si>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</si>
  <si>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</si>
  <si>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</si>
  <si>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</si>
  <si>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</si>
  <si>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</si>
  <si>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</si>
  <si>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</si>
  <si>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</si>
  <si>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</si>
  <si>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</si>
  <si>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</si>
  <si>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</si>
  <si>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</si>
  <si>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</si>
  <si>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</si>
  <si>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</si>
  <si>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</si>
  <si>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</si>
  <si>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</si>
  <si>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</si>
  <si>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</si>
  <si>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</si>
  <si>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</si>
  <si>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</si>
  <si>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</si>
  <si>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</si>
  <si>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</si>
  <si>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</si>
  <si>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</si>
  <si>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</si>
  <si>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</si>
  <si>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</si>
  <si>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</si>
  <si>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</si>
  <si>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</si>
  <si>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</si>
  <si>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</si>
  <si>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</si>
  <si>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</si>
  <si>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</si>
  <si>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</si>
  <si>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</si>
  <si>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</si>
  <si>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</si>
  <si>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</si>
  <si>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</si>
  <si>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</si>
  <si>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</si>
  <si>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</si>
  <si>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</si>
  <si>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</si>
  <si>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</si>
  <si>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</si>
  <si>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</si>
  <si>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</si>
  <si>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</si>
  <si>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</si>
  <si>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</si>
  <si>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</si>
  <si>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</si>
  <si>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</si>
  <si>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</si>
  <si>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</si>
  <si>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</si>
  <si>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</si>
  <si>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</si>
  <si>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</si>
  <si>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</si>
  <si>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</si>
  <si>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</si>
  <si>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</si>
  <si>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</si>
  <si>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</si>
  <si>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</si>
  <si>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</si>
  <si>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</si>
  <si>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</si>
  <si>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</si>
  <si>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</si>
  <si>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</si>
  <si>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</si>
  <si>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</si>
  <si>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</si>
  <si>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</si>
  <si>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</si>
  <si>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</si>
  <si>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</si>
  <si>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</si>
  <si>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</si>
  <si>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</si>
  <si>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</si>
  <si>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</si>
  <si>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</si>
  <si>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</si>
  <si>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</si>
  <si>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</si>
  <si>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</si>
  <si>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</si>
  <si>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</si>
  <si>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</si>
  <si>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</si>
  <si>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</si>
  <si>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</si>
  <si>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</si>
  <si>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</si>
  <si>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</si>
  <si>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</si>
  <si>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</si>
  <si>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</si>
  <si>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</si>
  <si>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</si>
  <si>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</si>
  <si>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</si>
  <si>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</si>
  <si>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</si>
  <si>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</si>
  <si>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</si>
  <si>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</si>
  <si>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</si>
  <si>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</si>
  <si>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</si>
  <si>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</si>
  <si>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</si>
  <si>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</si>
  <si>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</si>
  <si>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</si>
  <si>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</si>
  <si>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</si>
  <si>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</si>
  <si>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</si>
  <si>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</si>
  <si>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</si>
  <si>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</si>
  <si>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</si>
  <si>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</si>
  <si>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</si>
  <si>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</si>
  <si>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</si>
  <si>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</si>
  <si>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</si>
  <si>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</si>
  <si>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</si>
  <si>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</si>
  <si>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</si>
  <si>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</si>
  <si>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</si>
  <si>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</si>
  <si>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</si>
  <si>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</si>
  <si>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</si>
  <si>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</si>
  <si>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</si>
  <si>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</si>
  <si>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</si>
  <si>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</si>
  <si>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</si>
  <si>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</si>
  <si>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</si>
  <si>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</si>
  <si>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</si>
  <si>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</si>
  <si>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</si>
  <si>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</si>
  <si>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</si>
  <si>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</si>
  <si>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</si>
  <si>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</si>
  <si>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</si>
  <si>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</si>
  <si>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</si>
  <si>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</si>
  <si>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</si>
  <si>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</si>
  <si>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</si>
  <si>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</si>
  <si>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</si>
  <si>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</si>
  <si>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</si>
  <si>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</si>
  <si>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</si>
  <si>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</si>
  <si>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</si>
  <si>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</si>
  <si>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</si>
  <si>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</si>
  <si>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</si>
  <si>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</si>
  <si>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</si>
  <si>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</si>
  <si>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</si>
  <si>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</si>
  <si>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</si>
  <si>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</si>
  <si>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</si>
  <si>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</si>
  <si>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</si>
  <si>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</si>
  <si>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</si>
  <si>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</si>
  <si>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</si>
  <si>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</si>
  <si>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</si>
  <si>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</si>
  <si>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</si>
  <si>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</si>
  <si>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</si>
  <si>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</si>
  <si>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</si>
  <si>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</si>
  <si>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</si>
  <si>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</si>
  <si>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</si>
  <si>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</si>
  <si>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</si>
  <si>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</si>
  <si>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</si>
  <si>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</si>
  <si>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</si>
  <si>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</si>
  <si>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</si>
  <si>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</si>
  <si>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</si>
  <si>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</si>
  <si>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</si>
  <si>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</si>
  <si>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</si>
  <si>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</si>
  <si>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</si>
  <si>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</si>
  <si>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</si>
  <si>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</si>
  <si>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</si>
  <si>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</si>
  <si>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</si>
  <si>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</si>
  <si>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</si>
  <si>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</si>
  <si>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</si>
  <si>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</si>
  <si>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</si>
  <si>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</si>
  <si>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</si>
  <si>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</si>
  <si>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</si>
  <si>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</si>
  <si>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</si>
  <si>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</si>
  <si>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</si>
  <si>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</si>
  <si>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</si>
  <si>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</si>
  <si>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</si>
  <si>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</si>
  <si>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</si>
  <si>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</si>
  <si>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</si>
  <si>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</si>
  <si>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</si>
  <si>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</si>
  <si>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</si>
  <si>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</si>
  <si>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</si>
  <si>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</si>
  <si>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</si>
  <si>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</si>
  <si>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</si>
  <si>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</si>
  <si>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</si>
  <si>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</si>
  <si>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</si>
  <si>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</si>
  <si>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</si>
  <si>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</si>
  <si>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</si>
  <si>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</si>
  <si>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</si>
  <si>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</si>
  <si>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</si>
  <si>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</si>
  <si>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</si>
  <si>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</si>
  <si>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</si>
  <si>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</si>
  <si>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</si>
  <si>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</si>
  <si>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</si>
  <si>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</si>
  <si>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</si>
  <si>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</si>
  <si>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</si>
  <si>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</si>
  <si>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</si>
  <si>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</si>
  <si>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</si>
  <si>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</si>
  <si>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</si>
  <si>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</si>
  <si>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</si>
  <si>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</si>
  <si>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</si>
  <si>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</si>
  <si>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</si>
  <si>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</si>
  <si>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</si>
  <si>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</si>
  <si>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</si>
  <si>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</si>
  <si>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</si>
  <si>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</si>
  <si>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</si>
  <si>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</si>
  <si>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</si>
  <si>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</si>
  <si>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</si>
  <si>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</si>
  <si>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</si>
  <si>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</si>
  <si>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</si>
  <si>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</si>
  <si>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</si>
  <si>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</si>
  <si>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</si>
  <si>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</si>
  <si>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</si>
  <si>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</si>
  <si>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</si>
  <si>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</si>
  <si>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</si>
  <si>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</si>
  <si>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</si>
  <si>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</si>
  <si>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</si>
  <si>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</si>
  <si>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</si>
  <si>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</si>
  <si>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</si>
  <si>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</si>
  <si>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</si>
  <si>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</si>
  <si>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</si>
  <si>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</si>
  <si>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</si>
  <si>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</si>
  <si>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</si>
  <si>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</si>
  <si>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</si>
  <si>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</si>
  <si>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</si>
  <si>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</si>
  <si>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</si>
  <si>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</si>
  <si>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</si>
  <si>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</si>
  <si>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</si>
  <si>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</si>
  <si>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</si>
  <si>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</si>
  <si>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</si>
  <si>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</si>
  <si>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</si>
  <si>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</si>
  <si>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</si>
  <si>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</si>
  <si>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</si>
  <si>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</si>
  <si>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</si>
  <si>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</si>
  <si>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</si>
  <si>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</si>
  <si>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</si>
  <si>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</si>
  <si>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</si>
  <si>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</si>
  <si>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</si>
  <si>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</si>
  <si>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</si>
  <si>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</si>
  <si>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</si>
  <si>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</si>
  <si>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</si>
  <si>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</si>
  <si>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</si>
  <si>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</si>
  <si>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</si>
  <si>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</si>
  <si>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</si>
  <si>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</si>
  <si>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</si>
  <si>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</si>
  <si>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</si>
  <si>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</si>
  <si>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</si>
  <si>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</si>
  <si>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</si>
  <si>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</si>
  <si>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</si>
  <si>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</si>
  <si>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</si>
  <si>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</si>
  <si>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</si>
  <si>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</si>
  <si>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</si>
  <si>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</si>
  <si>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</si>
  <si>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</si>
  <si>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</si>
  <si>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</si>
  <si>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</si>
  <si>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</si>
  <si>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</si>
  <si>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</si>
  <si>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</si>
  <si>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</si>
  <si>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</si>
  <si>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</si>
  <si>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</si>
  <si>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</si>
  <si>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</si>
  <si>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</si>
  <si>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</si>
  <si>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</si>
  <si>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</si>
  <si>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</si>
  <si>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</si>
  <si>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</si>
  <si>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</si>
  <si>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</si>
  <si>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</si>
  <si>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</si>
  <si>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</si>
  <si>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</si>
  <si>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</si>
  <si>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</si>
  <si>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</si>
  <si>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</si>
  <si>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</si>
  <si>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</si>
  <si>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</si>
  <si>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</si>
  <si>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</si>
  <si>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</si>
  <si>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</si>
  <si>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</si>
  <si>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</si>
  <si>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</si>
  <si>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</si>
  <si>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</si>
  <si>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</si>
  <si>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</si>
  <si>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</si>
  <si>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</si>
  <si>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</si>
  <si>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</si>
  <si>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</si>
  <si>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</si>
  <si>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</si>
  <si>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</si>
  <si>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</si>
  <si>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</si>
  <si>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</si>
  <si>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</si>
  <si>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</si>
  <si>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</si>
  <si>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</si>
  <si>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</si>
  <si>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</si>
  <si>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</si>
  <si>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</si>
  <si>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</si>
  <si>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</si>
  <si>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</si>
  <si>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</si>
  <si>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</si>
  <si>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</si>
  <si>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</si>
  <si>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</si>
  <si>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</si>
  <si>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</si>
  <si>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</si>
  <si>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</si>
  <si>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</si>
  <si>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</si>
  <si>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</si>
  <si>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</si>
  <si>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</si>
  <si>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</si>
  <si>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</si>
  <si>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</si>
  <si>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</si>
  <si>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</si>
  <si>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</si>
  <si>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</si>
  <si>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</si>
  <si>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</si>
  <si>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</si>
  <si>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</si>
  <si>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</si>
  <si>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</si>
  <si>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</si>
  <si>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</si>
  <si>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</si>
  <si>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</si>
  <si>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</si>
  <si>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</si>
  <si>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</si>
  <si>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</si>
  <si>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</si>
  <si>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</si>
  <si>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</si>
  <si>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</si>
  <si>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</si>
  <si>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</si>
  <si>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</si>
  <si>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</si>
  <si>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</si>
  <si>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</si>
  <si>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</si>
  <si>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</si>
  <si>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</si>
  <si>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</si>
  <si>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</si>
  <si>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</si>
  <si>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</si>
  <si>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</si>
  <si>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</si>
  <si>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</si>
  <si>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</si>
  <si>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</si>
  <si>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</si>
  <si>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</si>
  <si>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</si>
  <si>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</si>
  <si>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</si>
  <si>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</si>
  <si>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</si>
  <si>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</si>
  <si>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</si>
  <si>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</si>
  <si>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</si>
  <si>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</si>
  <si>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</si>
  <si>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</si>
  <si>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</si>
  <si>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</si>
  <si>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</si>
  <si>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</si>
  <si>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</si>
  <si>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</si>
  <si>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</si>
  <si>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</si>
  <si>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</si>
  <si>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</si>
  <si>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</si>
  <si>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</si>
  <si>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</si>
  <si>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</si>
  <si>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</si>
  <si>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</si>
  <si>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</si>
  <si>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</si>
  <si>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</si>
  <si>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</si>
  <si>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</si>
  <si>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</si>
  <si>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</si>
  <si>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</si>
  <si>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</si>
  <si>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</si>
  <si>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</si>
  <si>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</si>
  <si>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</si>
  <si>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</si>
  <si>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</si>
  <si>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</si>
  <si>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</si>
  <si>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</si>
  <si>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</si>
  <si>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</si>
  <si>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</si>
  <si>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</si>
  <si>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</si>
  <si>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</si>
  <si>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</si>
  <si>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</si>
  <si>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</si>
  <si>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</si>
  <si>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</si>
  <si>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</si>
  <si>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</si>
  <si>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</si>
  <si>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</si>
  <si>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</si>
  <si>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</si>
  <si>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</si>
  <si>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</si>
  <si>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</si>
  <si>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</si>
  <si>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</si>
  <si>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</si>
  <si>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</si>
  <si>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</si>
  <si>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</si>
  <si>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</si>
  <si>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</si>
  <si>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</si>
  <si>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</si>
  <si>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</si>
  <si>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</si>
  <si>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</si>
  <si>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</si>
  <si>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</si>
  <si>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</si>
  <si>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</si>
  <si>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</si>
  <si>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</si>
  <si>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</si>
  <si>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</si>
  <si>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</si>
  <si>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</si>
  <si>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</si>
  <si>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</si>
  <si>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</si>
  <si>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</si>
  <si>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</si>
  <si>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</si>
  <si>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</si>
  <si>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</si>
  <si>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</si>
  <si>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</si>
  <si>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</si>
  <si>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</si>
  <si>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</si>
  <si>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</si>
  <si>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</si>
  <si>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</si>
  <si>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</si>
  <si>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</si>
  <si>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</si>
  <si>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</si>
  <si>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</si>
  <si>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</si>
  <si>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</si>
  <si>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</si>
  <si>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</si>
  <si>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</si>
  <si>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</si>
  <si>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</si>
  <si>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</si>
  <si>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</si>
  <si>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</si>
  <si>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</si>
  <si>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</si>
  <si>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</si>
  <si>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</si>
  <si>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</si>
  <si>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</si>
  <si>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</si>
  <si>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</si>
  <si>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</si>
  <si>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</si>
  <si>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</si>
  <si>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</si>
  <si>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</si>
  <si>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</si>
  <si>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</si>
  <si>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</si>
  <si>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</si>
  <si>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</si>
  <si>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</si>
  <si>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</si>
  <si>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</si>
  <si>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</si>
  <si>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</si>
  <si>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</si>
  <si>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</si>
  <si>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</si>
  <si>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</si>
  <si>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</si>
  <si>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</si>
  <si>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</si>
  <si>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</si>
  <si>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</si>
  <si>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</si>
  <si>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</si>
  <si>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</si>
  <si>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</si>
  <si>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</si>
  <si>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</si>
  <si>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</si>
  <si>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</si>
  <si>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</si>
  <si>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</si>
  <si>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</si>
  <si>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</si>
  <si>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</si>
  <si>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</si>
  <si>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</si>
  <si>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</si>
  <si>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</si>
  <si>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</si>
  <si>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</si>
  <si>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</si>
  <si>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</si>
  <si>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</si>
  <si>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</si>
  <si>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</si>
  <si>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</si>
  <si>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</si>
  <si>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</si>
  <si>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</si>
  <si>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</si>
  <si>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</si>
  <si>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</si>
  <si>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</si>
  <si>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</si>
  <si>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</si>
  <si>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</si>
  <si>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</si>
  <si>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</si>
  <si>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</si>
  <si>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</si>
  <si>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</si>
  <si>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</si>
  <si>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</si>
  <si>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</si>
  <si>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</si>
  <si>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</si>
  <si>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</si>
  <si>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</si>
  <si>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</si>
  <si>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</si>
  <si>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</si>
  <si>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</si>
  <si>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</si>
  <si>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</si>
  <si>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</si>
  <si>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</si>
  <si>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</si>
  <si>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</si>
  <si>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</si>
  <si>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</si>
  <si>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</si>
  <si>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</si>
  <si>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</si>
  <si>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</si>
  <si>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</si>
  <si>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</si>
  <si>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</si>
  <si>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</si>
  <si>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</si>
  <si>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</si>
  <si>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</si>
  <si>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</si>
  <si>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</si>
  <si>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</si>
  <si>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</si>
  <si>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</si>
  <si>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</si>
  <si>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</si>
  <si>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</si>
  <si>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</si>
  <si>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</si>
  <si>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</si>
  <si>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</si>
  <si>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</si>
  <si>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</si>
  <si>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</si>
  <si>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</si>
  <si>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</si>
  <si>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</si>
  <si>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</si>
  <si>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</si>
  <si>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</si>
  <si>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</si>
  <si>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</si>
  <si>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</si>
  <si>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</si>
  <si>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</si>
  <si>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</si>
  <si>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</si>
  <si>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</si>
  <si>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</si>
  <si>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</si>
  <si>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</si>
  <si>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</si>
  <si>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</si>
  <si>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</si>
  <si>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</si>
  <si>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</si>
  <si>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</si>
  <si>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</si>
  <si>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</si>
  <si>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</si>
  <si>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</si>
  <si>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</si>
  <si>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</si>
  <si>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</si>
  <si>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</si>
  <si>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</si>
  <si>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</si>
  <si>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</si>
  <si>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</si>
  <si>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</si>
  <si>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</si>
  <si>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</si>
  <si>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</si>
  <si>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</si>
  <si>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</si>
  <si>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</si>
  <si>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</si>
  <si>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</si>
  <si>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</si>
  <si>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</si>
  <si>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</si>
  <si>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</si>
  <si>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</si>
  <si>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</si>
  <si>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</si>
  <si>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</si>
  <si>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</si>
  <si>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</si>
  <si>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</si>
  <si>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</si>
  <si>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</si>
  <si>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</si>
  <si>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</si>
  <si>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</si>
  <si>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</si>
  <si>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</si>
  <si>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</si>
  <si>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</si>
  <si>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</si>
  <si>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</si>
  <si>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</si>
  <si>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</si>
  <si>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</si>
  <si>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</si>
  <si>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</si>
  <si>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</si>
  <si>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</si>
  <si>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</si>
  <si>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</si>
  <si>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</si>
  <si>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</si>
  <si>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</si>
  <si>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</si>
  <si>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</si>
  <si>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</si>
  <si>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</si>
  <si>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</si>
  <si>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</si>
  <si>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</si>
  <si>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</si>
  <si>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</si>
  <si>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</si>
  <si>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</si>
  <si>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</si>
  <si>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</si>
  <si>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</si>
  <si>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</si>
  <si>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</si>
  <si>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</si>
  <si>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</si>
  <si>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</si>
  <si>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</si>
  <si>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</si>
  <si>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</si>
  <si>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</si>
  <si>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</si>
  <si>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</si>
  <si>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</si>
  <si>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</si>
  <si>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</si>
  <si>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</si>
  <si>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</si>
  <si>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</si>
  <si>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</si>
  <si>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</si>
  <si>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</si>
  <si>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</si>
  <si>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</si>
  <si>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</si>
  <si>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</si>
  <si>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</si>
  <si>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</si>
  <si>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</si>
  <si>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</si>
  <si>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</si>
  <si>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</si>
  <si>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</si>
  <si>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</si>
  <si>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</si>
  <si>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</si>
  <si>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</si>
  <si>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</si>
  <si>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</si>
  <si>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</si>
  <si>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</si>
  <si>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</si>
  <si>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</si>
  <si>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</si>
  <si>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</si>
  <si>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</si>
  <si>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</si>
  <si>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</si>
  <si>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</si>
  <si>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</si>
  <si>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</si>
  <si>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</si>
  <si>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</si>
  <si>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</si>
  <si>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</si>
  <si>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</si>
  <si>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</si>
  <si>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</si>
  <si>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</si>
  <si>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</si>
  <si>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</si>
  <si>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</si>
  <si>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</si>
  <si>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</si>
  <si>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</si>
  <si>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</si>
  <si>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</si>
  <si>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</si>
  <si>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</si>
  <si>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</si>
  <si>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</si>
  <si>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</si>
  <si>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</si>
  <si>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</si>
  <si>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</si>
  <si>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</si>
  <si>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</si>
  <si>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</si>
  <si>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</si>
  <si>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</si>
  <si>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</si>
  <si>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</si>
  <si>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</si>
  <si>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</si>
  <si>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</si>
  <si>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</si>
  <si>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</si>
  <si>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</si>
  <si>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</si>
  <si>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</si>
  <si>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</si>
  <si>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</si>
  <si>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</si>
  <si>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</si>
  <si>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</si>
  <si>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</si>
  <si>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</si>
  <si>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</si>
  <si>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</si>
  <si>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</si>
  <si>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</si>
  <si>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</si>
  <si>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</si>
  <si>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</si>
  <si>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</si>
  <si>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</si>
  <si>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</si>
  <si>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</si>
  <si>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</si>
  <si>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</si>
  <si>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</si>
  <si>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</si>
  <si>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</si>
  <si>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</si>
  <si>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</si>
  <si>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</si>
  <si>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</si>
  <si>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</si>
  <si>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</si>
  <si>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</si>
  <si>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</si>
  <si>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</si>
  <si>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</si>
  <si>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</si>
  <si>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</si>
  <si>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</si>
  <si>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</si>
  <si>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</si>
  <si>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</si>
  <si>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</si>
  <si>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</si>
  <si>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</si>
  <si>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</si>
  <si>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</si>
  <si>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</si>
  <si>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</si>
  <si>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</si>
  <si>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</si>
  <si>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</si>
  <si>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</si>
  <si>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</si>
  <si>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</si>
  <si>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</si>
  <si>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</si>
  <si>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</si>
  <si>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</si>
  <si>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</si>
  <si>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</si>
  <si>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</si>
  <si>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</si>
  <si>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</si>
  <si>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</si>
  <si>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</si>
  <si>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</si>
  <si>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</si>
  <si>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</si>
  <si>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</si>
  <si>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</si>
  <si>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</si>
  <si>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</si>
  <si>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</si>
  <si>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</si>
  <si>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</si>
  <si>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</si>
  <si>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</si>
  <si>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</si>
  <si>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</si>
  <si>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</si>
  <si>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</si>
  <si>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</si>
  <si>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</si>
  <si>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</si>
  <si>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</si>
  <si>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</si>
  <si>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</si>
  <si>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</si>
  <si>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</si>
  <si>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</si>
  <si>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</si>
  <si>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</si>
  <si>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</si>
  <si>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</si>
  <si>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</si>
  <si>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</si>
  <si>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</si>
  <si>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</si>
  <si>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</si>
  <si>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</si>
  <si>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</si>
  <si>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</si>
  <si>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</si>
  <si>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</si>
  <si>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</si>
  <si>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</si>
  <si>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</si>
  <si>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</si>
  <si>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</si>
  <si>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</si>
  <si>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</si>
  <si>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</si>
  <si>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</si>
  <si>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</si>
  <si>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</si>
  <si>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</si>
  <si>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</si>
  <si>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</si>
  <si>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</si>
  <si>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</si>
  <si>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</si>
  <si>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</si>
  <si>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</si>
  <si>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</si>
  <si>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</si>
  <si>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</si>
  <si>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</si>
  <si>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</si>
  <si>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</si>
  <si>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</si>
  <si>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</si>
  <si>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</si>
  <si>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</si>
  <si>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</si>
  <si>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</si>
  <si>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</si>
  <si>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</si>
  <si>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</si>
  <si>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</si>
  <si>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</si>
  <si>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</si>
  <si>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</si>
  <si>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</si>
  <si>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</si>
  <si>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</si>
  <si>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</si>
  <si>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</si>
  <si>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</si>
  <si>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</si>
  <si>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</si>
  <si>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</si>
  <si>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</si>
  <si>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</si>
  <si>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</si>
  <si>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</si>
  <si>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</si>
  <si>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</si>
  <si>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</si>
  <si>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</si>
  <si>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</si>
  <si>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</si>
  <si>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</si>
  <si>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</si>
  <si>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</si>
  <si>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</si>
  <si>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</si>
  <si>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</si>
  <si>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</si>
  <si>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</si>
  <si>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</si>
  <si>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</si>
  <si>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</si>
  <si>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</si>
  <si>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</si>
  <si>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</si>
  <si>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</si>
  <si>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</si>
  <si>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</si>
  <si>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</si>
  <si>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</si>
  <si>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</si>
  <si>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</si>
  <si>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</si>
  <si>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</si>
  <si>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</si>
  <si>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</si>
  <si>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</si>
  <si>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</si>
  <si>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</si>
  <si>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</si>
  <si>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</si>
  <si>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</si>
  <si>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</si>
  <si>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</si>
  <si>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</si>
  <si>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</si>
  <si>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</si>
  <si>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</si>
  <si>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</si>
  <si>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</si>
  <si>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</si>
  <si>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</si>
  <si>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</si>
  <si>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</si>
  <si>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</si>
  <si>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</si>
  <si>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</si>
  <si>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</si>
  <si>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</si>
  <si>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</si>
  <si>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</si>
  <si>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</si>
  <si>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</si>
  <si>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</si>
  <si>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</si>
  <si>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</si>
  <si>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</si>
  <si>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</si>
  <si>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</si>
  <si>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</si>
  <si>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</si>
  <si>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</si>
  <si>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</si>
  <si>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</si>
  <si>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</si>
  <si>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</si>
  <si>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</si>
  <si>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</si>
  <si>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</si>
  <si>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</si>
  <si>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</si>
  <si>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</si>
  <si>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</si>
  <si>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</si>
  <si>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</si>
  <si>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</si>
  <si>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</si>
  <si>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</si>
  <si>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</si>
  <si>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</si>
  <si>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</si>
  <si>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</si>
  <si>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</si>
  <si>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</si>
  <si>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</si>
  <si>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</si>
  <si>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</si>
  <si>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</si>
  <si>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</si>
  <si>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</si>
  <si>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</si>
  <si>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</si>
  <si>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</si>
  <si>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</si>
  <si>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</si>
  <si>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</si>
  <si>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</si>
  <si>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</si>
  <si>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</si>
  <si>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</si>
  <si>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</si>
  <si>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</si>
  <si>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</si>
  <si>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</si>
  <si>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</si>
  <si>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</si>
  <si>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</si>
  <si>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</si>
  <si>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</si>
  <si>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</si>
  <si>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</si>
  <si>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</si>
  <si>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</si>
  <si>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</si>
  <si>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</si>
  <si>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</si>
  <si>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</si>
  <si>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</si>
  <si>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</si>
  <si>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</si>
  <si>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</si>
  <si>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</si>
  <si>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</si>
  <si>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</si>
  <si>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</si>
  <si>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</si>
  <si>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</si>
  <si>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</si>
  <si>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</si>
  <si>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</si>
  <si>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</si>
  <si>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</si>
  <si>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</si>
  <si>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</si>
  <si>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</si>
  <si>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</si>
  <si>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</si>
  <si>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</si>
  <si>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</si>
  <si>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</si>
  <si>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</si>
  <si>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</si>
  <si>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</si>
  <si>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</si>
  <si>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</si>
  <si>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</si>
  <si>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</si>
  <si>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</si>
  <si>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</si>
  <si>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</si>
  <si>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</si>
  <si>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</si>
  <si>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</si>
  <si>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</si>
  <si>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</si>
  <si>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</si>
  <si>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</si>
  <si>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</si>
  <si>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</si>
  <si>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</si>
  <si>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</si>
  <si>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</si>
  <si>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</si>
  <si>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</si>
  <si>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</si>
  <si>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</si>
  <si>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</si>
  <si>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</si>
  <si>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</si>
  <si>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</si>
  <si>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</si>
  <si>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</si>
  <si>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</si>
  <si>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</si>
  <si>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</si>
  <si>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</si>
  <si>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</si>
  <si>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</si>
  <si>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</si>
  <si>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</si>
  <si>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</si>
  <si>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</si>
  <si>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</si>
  <si>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</si>
  <si>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</si>
  <si>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</si>
  <si>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</si>
  <si>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</si>
  <si>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</si>
  <si>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</si>
  <si>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</si>
  <si>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</si>
  <si>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</si>
  <si>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</si>
  <si>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</si>
  <si>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</si>
  <si>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</si>
  <si>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</si>
  <si>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</si>
  <si>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</si>
  <si>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</si>
  <si>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</si>
  <si>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</si>
  <si>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</si>
  <si>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</si>
  <si>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</si>
  <si>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</si>
  <si>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</si>
  <si>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</si>
  <si>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</si>
  <si>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</si>
  <si>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</si>
  <si>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</si>
  <si>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</si>
  <si>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</si>
  <si>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</si>
  <si>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</si>
  <si>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</si>
  <si>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</si>
  <si>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</si>
  <si>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</si>
  <si>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</si>
  <si>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</si>
  <si>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</si>
  <si>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</si>
  <si>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</si>
  <si>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</si>
  <si>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</si>
  <si>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</si>
  <si>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</si>
  <si>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</si>
  <si>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</si>
  <si>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</si>
  <si>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</si>
  <si>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</si>
  <si>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</si>
  <si>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</si>
  <si>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</si>
  <si>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</si>
  <si>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</si>
  <si>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</si>
  <si>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</si>
  <si>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</si>
  <si>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</si>
  <si>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</si>
  <si>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</si>
  <si>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</si>
  <si>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</si>
  <si>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</si>
  <si>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</si>
  <si>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</si>
  <si>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</si>
  <si>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</si>
  <si>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</si>
  <si>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</si>
  <si>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</si>
  <si>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</si>
  <si>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</si>
  <si>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</si>
  <si>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</si>
  <si>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</si>
  <si>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</si>
  <si>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</si>
  <si>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</si>
  <si>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</si>
  <si>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</si>
  <si>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</si>
  <si>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</si>
  <si>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</si>
  <si>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</si>
  <si>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</si>
  <si>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</si>
  <si>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</si>
  <si>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</si>
  <si>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</si>
  <si>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</si>
  <si>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</si>
  <si>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</si>
  <si>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</si>
  <si>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</si>
  <si>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</si>
  <si>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</si>
  <si>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</si>
  <si>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</si>
  <si>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</si>
  <si>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</si>
  <si>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</si>
  <si>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</si>
  <si>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</si>
  <si>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</si>
  <si>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</si>
  <si>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</si>
  <si>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</si>
  <si>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</si>
  <si>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</si>
  <si>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</si>
  <si>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</si>
  <si>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</si>
  <si>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</si>
  <si>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</si>
  <si>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</si>
  <si>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</si>
  <si>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</si>
  <si>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</si>
  <si>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</si>
  <si>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</si>
  <si>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</si>
  <si>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</si>
  <si>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</si>
  <si>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</si>
  <si>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</si>
  <si>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</si>
  <si>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</si>
  <si>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</si>
  <si>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</si>
  <si>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</si>
  <si>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</si>
  <si>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</si>
  <si>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</si>
  <si>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</si>
  <si>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</si>
  <si>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</si>
  <si>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</si>
  <si>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</si>
  <si>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</si>
  <si>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</si>
  <si>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</si>
  <si>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</si>
  <si>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</si>
  <si>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</si>
  <si>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</si>
  <si>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</si>
  <si>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</si>
  <si>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</si>
  <si>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</si>
  <si>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</si>
  <si>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</si>
  <si>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</si>
  <si>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</si>
  <si>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</si>
  <si>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</si>
  <si>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</si>
  <si>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</si>
  <si>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</si>
  <si>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</si>
  <si>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</si>
  <si>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</si>
  <si>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</si>
  <si>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</si>
  <si>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</si>
  <si>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</si>
  <si>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</si>
  <si>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</si>
  <si>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</si>
  <si>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</si>
  <si>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</si>
  <si>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</si>
  <si>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</si>
  <si>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</si>
  <si>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</si>
  <si>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</si>
  <si>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</si>
  <si>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</si>
  <si>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</si>
  <si>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</si>
  <si>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</si>
  <si>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</si>
  <si>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</si>
  <si>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</si>
  <si>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</si>
  <si>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</si>
  <si>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</si>
  <si>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</si>
  <si>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</si>
  <si>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</si>
  <si>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</si>
  <si>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</si>
  <si>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</si>
  <si>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</si>
  <si>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</si>
  <si>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</si>
  <si>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</si>
  <si>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</si>
  <si>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</si>
  <si>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</si>
  <si>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</si>
  <si>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</si>
  <si>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</si>
  <si>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</si>
  <si>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</si>
  <si>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</si>
  <si>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</si>
  <si>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</si>
  <si>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</si>
  <si>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</si>
  <si>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</si>
  <si>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</si>
  <si>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</si>
  <si>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</si>
  <si>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</si>
  <si>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</si>
  <si>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</si>
  <si>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</si>
  <si>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</si>
  <si>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</si>
  <si>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</si>
  <si>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</si>
  <si>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</si>
  <si>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</si>
  <si>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</si>
  <si>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</si>
  <si>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</si>
  <si>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</si>
  <si>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</si>
  <si>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</si>
  <si>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</si>
  <si>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</si>
  <si>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</si>
  <si>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</si>
  <si>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</si>
  <si>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</si>
  <si>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</si>
  <si>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</si>
  <si>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</si>
  <si>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</si>
  <si>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</si>
  <si>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</si>
  <si>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</si>
  <si>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</si>
  <si>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</si>
  <si>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</si>
  <si>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</si>
  <si>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</si>
  <si>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</si>
  <si>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</si>
  <si>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</si>
  <si>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</si>
  <si>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</si>
  <si>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</si>
  <si>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</si>
  <si>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</si>
  <si>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</si>
  <si>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</si>
  <si>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</si>
  <si>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</si>
  <si>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</si>
  <si>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</si>
  <si>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</si>
  <si>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</si>
  <si>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</si>
  <si>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</si>
  <si>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</si>
  <si>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</si>
  <si>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</si>
  <si>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</si>
  <si>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</si>
  <si>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</si>
  <si>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</si>
  <si>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</si>
  <si>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</si>
  <si>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</si>
  <si>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</si>
  <si>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</si>
  <si>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</si>
  <si>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</si>
  <si>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</si>
  <si>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</si>
  <si>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</si>
  <si>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</si>
  <si>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</si>
  <si>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</si>
  <si>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</si>
  <si>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</si>
  <si>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</si>
  <si>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</si>
  <si>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</si>
  <si>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</si>
  <si>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</si>
  <si>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</si>
  <si>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</si>
  <si>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</si>
  <si>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</si>
  <si>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</si>
  <si>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</si>
  <si>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</si>
  <si>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</si>
  <si>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</si>
  <si>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</si>
  <si>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</si>
  <si>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</si>
  <si>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</si>
  <si>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</si>
  <si>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</si>
  <si>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</si>
  <si>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</si>
  <si>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</si>
  <si>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</si>
  <si>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</si>
  <si>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</si>
  <si>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</si>
  <si>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</si>
  <si>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</si>
  <si>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</si>
  <si>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</si>
  <si>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</si>
  <si>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</si>
  <si>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</si>
  <si>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</si>
  <si>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</si>
  <si>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</si>
  <si>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</si>
  <si>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</si>
  <si>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</si>
  <si>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</si>
  <si>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</si>
  <si>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</si>
  <si>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</si>
  <si>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</si>
  <si>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</si>
  <si>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</si>
  <si>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</si>
  <si>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</si>
  <si>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</si>
  <si>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</si>
  <si>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</si>
  <si>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</si>
  <si>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</si>
  <si>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</si>
  <si>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</si>
  <si>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</si>
  <si>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</si>
  <si>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</si>
  <si>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</si>
  <si>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</si>
  <si>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</si>
  <si>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</si>
  <si>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</si>
  <si>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</si>
  <si>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</si>
  <si>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</si>
  <si>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</si>
  <si>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</si>
  <si>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</si>
  <si>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</si>
  <si>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</si>
  <si>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</si>
  <si>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</si>
  <si>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</si>
  <si>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</si>
  <si>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</si>
  <si>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</si>
  <si>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</si>
  <si>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</si>
  <si>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</si>
  <si>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</si>
  <si>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</si>
  <si>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</si>
  <si>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</si>
  <si>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</si>
  <si>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</si>
  <si>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</si>
  <si>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</si>
  <si>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</si>
  <si>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</si>
  <si>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</si>
  <si>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</si>
  <si>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</si>
  <si>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</si>
  <si>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</si>
  <si>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</si>
  <si>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</si>
  <si>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</si>
  <si>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</si>
  <si>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</si>
  <si>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</si>
  <si>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</si>
  <si>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</si>
  <si>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</si>
  <si>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</si>
  <si>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</si>
  <si>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</si>
  <si>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</si>
  <si>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</si>
  <si>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</si>
  <si>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</si>
  <si>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</si>
  <si>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</si>
  <si>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</si>
  <si>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</si>
  <si>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</si>
  <si>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</si>
  <si>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</si>
  <si>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</si>
  <si>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</si>
  <si>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</si>
  <si>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</si>
  <si>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</si>
  <si>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</si>
  <si>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</si>
  <si>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</si>
  <si>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</si>
  <si>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</si>
  <si>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</si>
  <si>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</si>
  <si>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</si>
  <si>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</si>
  <si>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</si>
  <si>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</si>
  <si>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</si>
  <si>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</si>
  <si>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</si>
  <si>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</si>
  <si>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</si>
  <si>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</si>
  <si>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</si>
  <si>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</si>
  <si>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</si>
  <si>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</si>
  <si>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</si>
  <si>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</si>
  <si>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</si>
  <si>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</si>
  <si>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</si>
  <si>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</si>
  <si>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</si>
  <si>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</si>
  <si>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</si>
  <si>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</si>
  <si>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</si>
  <si>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</si>
  <si>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</si>
  <si>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</si>
  <si>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</si>
  <si>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</si>
  <si>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</si>
  <si>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</si>
  <si>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</si>
  <si>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</si>
  <si>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</si>
  <si>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</si>
  <si>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</si>
  <si>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</si>
  <si>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</si>
  <si>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</si>
  <si>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</si>
  <si>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</si>
  <si>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</si>
  <si>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</si>
  <si>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</si>
  <si>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</si>
  <si>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</si>
  <si>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</si>
  <si>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</si>
  <si>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</si>
  <si>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</si>
  <si>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</si>
  <si>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</si>
  <si>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</si>
  <si>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</si>
  <si>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</si>
  <si>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</si>
  <si>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</si>
  <si>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</si>
  <si>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</si>
  <si>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</si>
  <si>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</si>
  <si>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</si>
  <si>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</si>
  <si>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</si>
  <si>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</si>
  <si>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</si>
  <si>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</si>
  <si>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</si>
  <si>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</si>
  <si>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</si>
  <si>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</si>
  <si>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</si>
  <si>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</si>
  <si>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</si>
  <si>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</si>
  <si>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</si>
  <si>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</si>
  <si>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</si>
  <si>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</si>
  <si>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</si>
  <si>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</si>
  <si>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</si>
  <si>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</si>
  <si>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</si>
  <si>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</si>
  <si>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</si>
  <si>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</si>
  <si>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</si>
  <si>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</si>
  <si>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</si>
  <si>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</si>
  <si>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</si>
  <si>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</si>
  <si>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</si>
  <si>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</si>
  <si>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</si>
  <si>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</si>
  <si>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</si>
  <si>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</si>
  <si>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</si>
  <si>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</si>
  <si>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</si>
  <si>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</si>
  <si>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</si>
  <si>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</si>
  <si>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</si>
  <si>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</si>
  <si>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</si>
  <si>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</si>
  <si>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</si>
  <si>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</si>
  <si>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</si>
  <si>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</si>
  <si>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</si>
  <si>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</si>
  <si>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</si>
  <si>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</si>
  <si>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</si>
  <si>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</si>
  <si>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</si>
  <si>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</si>
  <si>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</si>
  <si>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</si>
  <si>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</si>
  <si>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</si>
  <si>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</si>
  <si>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</si>
  <si>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</si>
  <si>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</si>
  <si>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</si>
  <si>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</si>
  <si>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</si>
  <si>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</si>
  <si>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</si>
  <si>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</si>
  <si>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</si>
  <si>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</si>
  <si>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</si>
  <si>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</si>
  <si>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</si>
  <si>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</si>
  <si>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</si>
  <si>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</si>
  <si>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</si>
  <si>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</si>
  <si>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</si>
  <si>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</si>
  <si>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</si>
  <si>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</si>
  <si>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</si>
  <si>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</si>
  <si>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</si>
  <si>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</si>
  <si>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</si>
  <si>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</si>
  <si>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</si>
  <si>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</si>
  <si>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</si>
  <si>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</si>
  <si>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</si>
  <si>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</si>
  <si>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</si>
  <si>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</si>
  <si>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</si>
  <si>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</si>
  <si>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</si>
  <si>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</si>
  <si>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</si>
  <si>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</si>
  <si>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</si>
  <si>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</si>
  <si>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</si>
  <si>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</si>
  <si>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</si>
  <si>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</si>
  <si>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</si>
  <si>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</si>
  <si>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</si>
  <si>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</si>
  <si>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</si>
  <si>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</si>
  <si>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</si>
  <si>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</si>
  <si>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</si>
  <si>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</si>
  <si>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</si>
  <si>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</si>
  <si>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</si>
  <si>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</si>
  <si>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</si>
  <si>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</si>
  <si>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</si>
  <si>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</si>
  <si>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</si>
  <si>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</si>
  <si>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</si>
  <si>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</si>
  <si>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</si>
  <si>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</si>
  <si>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</si>
  <si>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</si>
  <si>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</si>
  <si>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</si>
  <si>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</si>
  <si>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</si>
  <si>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</si>
  <si>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</si>
  <si>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</si>
  <si>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</si>
  <si>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</si>
  <si>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</si>
  <si>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</si>
  <si>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</si>
  <si>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</si>
  <si>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</si>
  <si>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</si>
  <si>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</si>
  <si>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</si>
  <si>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</si>
  <si>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</si>
  <si>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</si>
  <si>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</si>
  <si>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</si>
  <si>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</si>
  <si>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</si>
  <si>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</si>
  <si>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</si>
  <si>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</si>
  <si>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</si>
  <si>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</si>
  <si>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</si>
  <si>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</si>
  <si>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</si>
  <si>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</si>
  <si>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</si>
  <si>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</si>
  <si>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</si>
  <si>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</si>
  <si>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</si>
  <si>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</si>
  <si>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</si>
  <si>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</si>
  <si>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</si>
  <si>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</si>
  <si>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</si>
  <si>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</si>
  <si>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</si>
  <si>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</si>
  <si>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</si>
  <si>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</si>
  <si>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</si>
  <si>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</si>
  <si>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</si>
  <si>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</si>
  <si>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</si>
  <si>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</si>
  <si>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</si>
  <si>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</si>
  <si>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</si>
  <si>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</si>
  <si>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</si>
  <si>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</si>
  <si>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</si>
  <si>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</si>
  <si>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</si>
  <si>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</si>
  <si>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</si>
  <si>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</si>
  <si>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</si>
  <si>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</si>
  <si>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</si>
  <si>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</si>
  <si>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</si>
  <si>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</si>
  <si>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</si>
  <si>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</si>
  <si>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</si>
  <si>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</si>
  <si>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</si>
  <si>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</si>
  <si>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</si>
  <si>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</si>
  <si>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</si>
  <si>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</si>
  <si>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</si>
  <si>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</si>
  <si>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</si>
  <si>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</si>
  <si>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</si>
  <si>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</si>
  <si>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</si>
  <si>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</si>
  <si>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</si>
  <si>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</si>
  <si>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</si>
  <si>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</si>
  <si>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</si>
  <si>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</si>
  <si>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</si>
  <si>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</si>
  <si>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</si>
  <si>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</si>
  <si>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</si>
  <si>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</si>
  <si>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</si>
  <si>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</si>
  <si>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</si>
  <si>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</si>
  <si>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</si>
  <si>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</si>
  <si>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</si>
  <si>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</si>
  <si>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</si>
  <si>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</si>
  <si>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</si>
  <si>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</si>
  <si>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</si>
  <si>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</si>
  <si>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</si>
  <si>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</si>
  <si>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</si>
  <si>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</si>
  <si>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</si>
  <si>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</si>
  <si>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</si>
  <si>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</si>
  <si>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</si>
  <si>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</si>
  <si>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</si>
  <si>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</si>
  <si>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</si>
  <si>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</si>
  <si>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</si>
  <si>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</si>
  <si>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</si>
  <si>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</si>
  <si>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</si>
  <si>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</si>
  <si>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</si>
  <si>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</si>
  <si>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</si>
  <si>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</si>
  <si>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</si>
  <si>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</si>
  <si>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</si>
  <si>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</si>
  <si>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</si>
  <si>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</si>
  <si>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</si>
  <si>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</si>
  <si>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</si>
  <si>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</si>
  <si>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</si>
  <si>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</si>
  <si>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</si>
  <si>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</si>
  <si>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</si>
  <si>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</si>
  <si>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</si>
  <si>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</si>
  <si>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</si>
  <si>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</si>
  <si>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</si>
  <si>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</si>
  <si>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</si>
  <si>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</si>
  <si>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</si>
  <si>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</si>
  <si>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</si>
  <si>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</si>
  <si>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</si>
  <si>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</si>
  <si>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</si>
  <si>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</si>
  <si>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</si>
  <si>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</si>
  <si>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</si>
  <si>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</si>
  <si>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</si>
  <si>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</si>
  <si>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</si>
  <si>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</si>
  <si>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</si>
  <si>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</si>
  <si>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</si>
  <si>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</si>
  <si>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</si>
  <si>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</si>
  <si>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</si>
  <si>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</si>
  <si>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</si>
  <si>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</si>
  <si>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</si>
  <si>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</si>
  <si>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</si>
  <si>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</si>
  <si>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</si>
  <si>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</si>
  <si>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</si>
  <si>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</si>
  <si>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</si>
  <si>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</si>
  <si>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</si>
  <si>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</si>
  <si>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</si>
  <si>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</si>
  <si>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</si>
  <si>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</si>
  <si>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</si>
  <si>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</si>
  <si>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</si>
  <si>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</si>
  <si>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</si>
  <si>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</si>
  <si>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</si>
  <si>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</si>
  <si>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</si>
  <si>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</si>
  <si>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</si>
  <si>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</si>
  <si>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</si>
  <si>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</si>
  <si>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</si>
  <si>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</si>
  <si>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</si>
  <si>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</si>
  <si>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</si>
  <si>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</si>
  <si>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</si>
  <si>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</si>
  <si>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</si>
  <si>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</si>
  <si>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</si>
  <si>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</si>
  <si>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</si>
  <si>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</si>
  <si>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</si>
  <si>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</si>
  <si>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</si>
  <si>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</si>
  <si>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</si>
  <si>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</si>
  <si>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</si>
  <si>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</si>
  <si>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</si>
  <si>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</si>
  <si>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</si>
  <si>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</si>
  <si>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</si>
  <si>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</si>
  <si>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</si>
  <si>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</si>
  <si>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</si>
  <si>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</si>
  <si>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</si>
  <si>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</si>
  <si>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</si>
  <si>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</si>
  <si>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</si>
  <si>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</si>
  <si>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</si>
  <si>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</si>
  <si>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</si>
  <si>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</si>
  <si>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</si>
  <si>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</si>
  <si>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</si>
  <si>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</si>
  <si>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</si>
  <si>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</si>
  <si>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</si>
  <si>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</si>
  <si>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</si>
  <si>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</si>
  <si>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</si>
  <si>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</si>
  <si>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</si>
  <si>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</si>
  <si>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</si>
  <si>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</si>
  <si>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</si>
  <si>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</si>
  <si>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</si>
  <si>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</si>
  <si>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</si>
  <si>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</si>
  <si>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</si>
  <si>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</si>
  <si>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</si>
  <si>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</si>
  <si>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</si>
  <si>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</si>
  <si>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</si>
  <si>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</si>
  <si>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</si>
  <si>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</si>
  <si>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</si>
  <si>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</si>
  <si>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</si>
  <si>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</si>
  <si>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</si>
  <si>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</si>
  <si>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</si>
  <si>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</si>
  <si>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</si>
  <si>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</si>
  <si>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</si>
  <si>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</si>
  <si>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</si>
  <si>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</si>
  <si>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</si>
  <si>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</si>
  <si>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</si>
  <si>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</si>
  <si>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</si>
  <si>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</si>
  <si>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</si>
  <si>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</si>
  <si>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</si>
  <si>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</si>
  <si>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</si>
  <si>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</si>
  <si>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</si>
  <si>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</si>
  <si>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</si>
  <si>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</si>
  <si>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</si>
  <si>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</si>
  <si>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</si>
  <si>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</si>
  <si>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</si>
  <si>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</si>
  <si>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</si>
  <si>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</si>
  <si>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</si>
  <si>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</si>
  <si>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</si>
  <si>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</si>
  <si>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</si>
  <si>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</si>
  <si>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</si>
  <si>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</si>
  <si>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</si>
  <si>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</si>
  <si>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</si>
  <si>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</si>
  <si>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</si>
  <si>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</si>
  <si>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</si>
  <si>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</si>
  <si>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</si>
  <si>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</si>
  <si>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</si>
  <si>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</si>
  <si>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</si>
  <si>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</si>
  <si>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</si>
  <si>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</si>
  <si>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</si>
  <si>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</si>
  <si>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</si>
  <si>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</si>
  <si>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</si>
  <si>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</si>
  <si>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</si>
  <si>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</si>
  <si>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</si>
  <si>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</si>
  <si>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</si>
  <si>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</si>
  <si>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</si>
  <si>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</si>
  <si>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</si>
  <si>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</si>
  <si>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</si>
  <si>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</si>
  <si>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</si>
  <si>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</si>
  <si>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</si>
  <si>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</si>
  <si>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</si>
  <si>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</si>
  <si>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</si>
  <si>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</si>
  <si>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</si>
  <si>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</si>
  <si>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</si>
  <si>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</si>
  <si>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</si>
  <si>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</si>
  <si>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</si>
  <si>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</si>
  <si>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</si>
  <si>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</si>
  <si>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</si>
  <si>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</si>
  <si>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</si>
  <si>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</si>
  <si>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</si>
  <si>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</si>
  <si>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</si>
  <si>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</si>
  <si>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</si>
  <si>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</si>
  <si>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</si>
  <si>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</si>
  <si>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</si>
  <si>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</si>
  <si>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</si>
  <si>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</si>
  <si>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</si>
  <si>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</si>
  <si>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</si>
  <si>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</si>
  <si>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</si>
  <si>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</si>
  <si>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</si>
  <si>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</si>
  <si>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</si>
  <si>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</si>
  <si>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</si>
  <si>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</si>
  <si>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</si>
  <si>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</si>
  <si>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</si>
  <si>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</si>
  <si>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</si>
  <si>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</si>
  <si>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</si>
  <si>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</si>
  <si>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</si>
  <si>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</si>
  <si>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</si>
  <si>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</si>
  <si>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</si>
  <si>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</si>
  <si>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</si>
  <si>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</si>
  <si>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</si>
  <si>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</si>
  <si>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</si>
  <si>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</si>
  <si>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</si>
  <si>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</si>
  <si>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</si>
  <si>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</si>
  <si>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</si>
  <si>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</si>
  <si>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</si>
  <si>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</si>
  <si>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</si>
  <si>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</si>
  <si>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</si>
  <si>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</si>
  <si>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</si>
  <si>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</si>
  <si>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</si>
  <si>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</si>
  <si>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</si>
  <si>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</si>
  <si>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</si>
  <si>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</si>
  <si>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</si>
  <si>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</si>
  <si>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</si>
  <si>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</si>
  <si>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</si>
  <si>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</si>
  <si>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</si>
  <si>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</si>
  <si>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</si>
  <si>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</si>
  <si>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</si>
  <si>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</si>
  <si>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</si>
  <si>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</si>
  <si>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</si>
  <si>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</si>
  <si>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</si>
  <si>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</si>
  <si>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</si>
  <si>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</si>
  <si>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</si>
  <si>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</si>
  <si>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</si>
  <si>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</si>
  <si>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</si>
  <si>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</si>
  <si>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</si>
  <si>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</si>
  <si>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</si>
  <si>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</si>
  <si>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</si>
  <si>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</si>
  <si>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</si>
  <si>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</si>
  <si>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</si>
  <si>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</si>
  <si>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</si>
  <si>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</si>
  <si>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</si>
  <si>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</si>
  <si>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</si>
  <si>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</si>
  <si>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</si>
  <si>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</si>
  <si>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</si>
  <si>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</si>
  <si>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</si>
  <si>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</si>
  <si>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</si>
  <si>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</si>
  <si>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</si>
  <si>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</si>
  <si>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</si>
  <si>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</si>
  <si>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</si>
  <si>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</si>
  <si>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</si>
  <si>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</si>
  <si>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</si>
  <si>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</si>
  <si>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</si>
  <si>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</si>
  <si>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</si>
  <si>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</si>
  <si>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</si>
  <si>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</si>
  <si>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</si>
  <si>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</si>
  <si>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</si>
  <si>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</si>
  <si>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</si>
  <si>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</si>
  <si>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</si>
  <si>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</si>
  <si>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</si>
  <si>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</si>
  <si>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</si>
  <si>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</si>
  <si>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</si>
  <si>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</si>
  <si>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</si>
  <si>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</si>
  <si>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</si>
  <si>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</si>
  <si>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</si>
  <si>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</si>
  <si>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</si>
  <si>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</si>
  <si>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</si>
  <si>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</si>
  <si>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</si>
  <si>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</si>
  <si>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</si>
  <si>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</si>
  <si>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</si>
  <si>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</si>
  <si>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</si>
  <si>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</si>
  <si>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</si>
  <si>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</si>
  <si>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</si>
  <si>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</si>
  <si>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</si>
  <si>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</si>
  <si>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</si>
  <si>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</si>
  <si>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</si>
  <si>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</si>
  <si>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</si>
  <si>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</si>
  <si>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</si>
  <si>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</si>
  <si>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</si>
  <si>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</si>
  <si>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</si>
  <si>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</si>
  <si>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</si>
  <si>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</si>
  <si>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</si>
  <si>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</si>
  <si>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</si>
  <si>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</si>
  <si>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</si>
  <si>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</si>
  <si>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</si>
  <si>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</si>
  <si>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</si>
  <si>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</si>
  <si>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</si>
  <si>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</si>
  <si>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</si>
  <si>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</si>
  <si>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</si>
  <si>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</si>
  <si>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</si>
  <si>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</si>
  <si>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</si>
  <si>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</si>
  <si>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</si>
  <si>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</si>
  <si>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</si>
  <si>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</si>
  <si>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</si>
  <si>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</si>
  <si>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</si>
  <si>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</si>
  <si>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</si>
  <si>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</si>
  <si>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</si>
  <si>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</si>
  <si>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</si>
  <si>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</si>
  <si>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</si>
  <si>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</si>
  <si>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</si>
  <si>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</si>
  <si>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</si>
  <si>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</si>
  <si>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</si>
  <si>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</si>
  <si>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</si>
  <si>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</si>
  <si>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</si>
  <si>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</si>
  <si>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</si>
  <si>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</si>
  <si>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</si>
  <si>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</si>
  <si>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</si>
  <si>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</si>
  <si>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</si>
  <si>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</si>
  <si>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</si>
  <si>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</si>
  <si>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</si>
  <si>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</si>
  <si>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</si>
  <si>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</si>
  <si>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</si>
  <si>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</si>
  <si>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</si>
  <si>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</si>
  <si>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</si>
  <si>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</si>
  <si>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</si>
  <si>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</si>
  <si>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</si>
  <si>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</si>
  <si>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</si>
  <si>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</si>
  <si>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</si>
  <si>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</si>
  <si>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</si>
  <si>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</si>
  <si>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</si>
  <si>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</si>
  <si>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</si>
  <si>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</si>
  <si>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</si>
  <si>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</si>
  <si>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</si>
  <si>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</si>
  <si>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</si>
  <si>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</si>
  <si>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</si>
  <si>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</si>
  <si>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</si>
  <si>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</si>
  <si>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</si>
  <si>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</si>
  <si>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</si>
  <si>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</si>
  <si>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</si>
  <si>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</si>
  <si>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</si>
  <si>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</si>
  <si>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</si>
  <si>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</si>
  <si>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</si>
  <si>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</si>
  <si>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</si>
  <si>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</si>
  <si>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</si>
  <si>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</si>
  <si>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</si>
  <si>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</si>
  <si>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</si>
  <si>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</si>
  <si>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</si>
  <si>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</si>
  <si>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</si>
  <si>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</si>
  <si>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</si>
  <si>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</si>
  <si>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</si>
  <si>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</si>
  <si>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</si>
  <si>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</si>
  <si>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</si>
  <si>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</si>
  <si>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</si>
  <si>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</si>
  <si>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</si>
  <si>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</si>
  <si>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</si>
  <si>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</si>
  <si>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</si>
  <si>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</si>
  <si>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</si>
  <si>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</si>
  <si>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</si>
  <si>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</si>
  <si>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</si>
  <si>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</si>
  <si>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</si>
  <si>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</si>
  <si>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</si>
  <si>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</si>
  <si>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</si>
  <si>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</si>
  <si>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</si>
  <si>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</si>
  <si>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</si>
  <si>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</si>
  <si>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</si>
  <si>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</si>
  <si>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</si>
  <si>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</si>
  <si>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</si>
  <si>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</si>
  <si>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</si>
  <si>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</si>
  <si>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</si>
  <si>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</si>
  <si>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</si>
  <si>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</si>
  <si>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</si>
  <si>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</si>
  <si>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</si>
  <si>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</si>
  <si>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</si>
  <si>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</si>
  <si>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</si>
  <si>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</si>
  <si>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</si>
  <si>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</si>
  <si>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</si>
  <si>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</si>
  <si>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</si>
  <si>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</si>
  <si>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</si>
  <si>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</si>
  <si>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</si>
  <si>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</si>
  <si>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</si>
  <si>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</si>
  <si>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</si>
  <si>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</si>
  <si>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</si>
  <si>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</si>
  <si>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</si>
  <si>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</si>
  <si>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</si>
  <si>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</si>
  <si>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</si>
  <si>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</si>
  <si>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</si>
  <si>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</si>
  <si>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</si>
  <si>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</si>
  <si>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</si>
  <si>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</si>
  <si>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</si>
  <si>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</si>
  <si>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</si>
  <si>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</si>
  <si>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</si>
  <si>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</si>
  <si>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</si>
  <si>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</si>
  <si>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划拨</t>
  </si>
  <si>
    <t>企业</t>
  </si>
  <si>
    <t>综合项目（商业、办公）</t>
  </si>
  <si>
    <t>无</t>
  </si>
  <si>
    <t>否</t>
  </si>
  <si>
    <t>现房</t>
  </si>
  <si>
    <t>通路</t>
  </si>
  <si>
    <t>通电</t>
  </si>
  <si>
    <t>通讯</t>
  </si>
  <si>
    <t>通上水</t>
  </si>
  <si>
    <t>通下水</t>
  </si>
  <si>
    <t>通热</t>
  </si>
  <si>
    <t>是</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</si>
  <si>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</si>
  <si>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</si>
  <si>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</si>
  <si>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</si>
  <si>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t>地上</t>
  </si>
  <si>
    <t>办公楼</t>
  </si>
  <si>
    <t>幢号</t>
    <phoneticPr fontId="134" type="noConversion"/>
  </si>
  <si>
    <t>总层数</t>
    <phoneticPr fontId="134" type="noConversion"/>
  </si>
  <si>
    <t>所在楼层</t>
    <phoneticPr fontId="134" type="noConversion"/>
  </si>
  <si>
    <t>建筑面积</t>
    <phoneticPr fontId="134" type="noConversion"/>
  </si>
  <si>
    <t>规划用途</t>
    <phoneticPr fontId="134" type="noConversion"/>
  </si>
  <si>
    <t>现状用途</t>
    <phoneticPr fontId="134" type="noConversion"/>
  </si>
  <si>
    <t>合计</t>
    <phoneticPr fontId="134" type="noConversion"/>
  </si>
  <si>
    <t>办公</t>
    <phoneticPr fontId="134" type="noConversion"/>
  </si>
  <si>
    <t>门卫室</t>
    <phoneticPr fontId="134" type="noConversion"/>
  </si>
  <si>
    <t>车库</t>
    <phoneticPr fontId="134" type="noConversion"/>
  </si>
  <si>
    <t>配电室</t>
    <phoneticPr fontId="134" type="noConversion"/>
  </si>
  <si>
    <t>办公</t>
    <phoneticPr fontId="7" type="noConversion"/>
  </si>
  <si>
    <t>成新度</t>
  </si>
  <si>
    <t>直线</t>
    <phoneticPr fontId="3" type="noConversion"/>
  </si>
  <si>
    <t>观察</t>
    <phoneticPr fontId="3" type="noConversion"/>
  </si>
  <si>
    <t>非生产用房</t>
  </si>
  <si>
    <t>混合（钢混）</t>
    <phoneticPr fontId="3" type="noConversion"/>
  </si>
  <si>
    <t>去年按钢混测算</t>
    <phoneticPr fontId="3" type="noConversion"/>
  </si>
  <si>
    <t>钢混</t>
  </si>
  <si>
    <t>综合</t>
    <phoneticPr fontId="3" type="noConversion"/>
  </si>
  <si>
    <t>系数</t>
    <phoneticPr fontId="3" type="noConversion"/>
  </si>
  <si>
    <t>收益法</t>
  </si>
  <si>
    <t>押一</t>
  </si>
  <si>
    <t>基准地价</t>
  </si>
  <si>
    <t>估价对象容积率</t>
  </si>
  <si>
    <t>不临65条商业街</t>
  </si>
  <si>
    <t>与级别开发程度不一致</t>
  </si>
  <si>
    <t>平整</t>
  </si>
  <si>
    <t>楼层修正</t>
  </si>
  <si>
    <t>一般</t>
  </si>
  <si>
    <t>较好</t>
  </si>
  <si>
    <t>好</t>
  </si>
  <si>
    <t>未包含在土地购买价格中</t>
  </si>
  <si>
    <t>全部缴纳</t>
  </si>
  <si>
    <t>已包含在土地取得成本中</t>
  </si>
  <si>
    <t>成本法</t>
  </si>
  <si>
    <t>总价</t>
  </si>
  <si>
    <t>扣除地价款后</t>
    <phoneticPr fontId="8" type="noConversion"/>
  </si>
  <si>
    <t>项目模式</t>
  </si>
  <si>
    <t>租金</t>
  </si>
  <si>
    <t>正常</t>
  </si>
  <si>
    <t>办公</t>
    <phoneticPr fontId="31" type="noConversion"/>
  </si>
  <si>
    <t>报价</t>
  </si>
  <si>
    <t>报价</t>
    <phoneticPr fontId="31" type="noConversion"/>
  </si>
  <si>
    <t>七通</t>
  </si>
  <si>
    <t>办公楼</t>
    <phoneticPr fontId="31" type="noConversion"/>
  </si>
  <si>
    <t>钢混</t>
    <phoneticPr fontId="31" type="noConversion"/>
  </si>
  <si>
    <t>精装修</t>
  </si>
  <si>
    <t>精装修</t>
    <phoneticPr fontId="31" type="noConversion"/>
  </si>
  <si>
    <t>简单装修</t>
    <phoneticPr fontId="31" type="noConversion"/>
  </si>
  <si>
    <t>普通装修</t>
    <phoneticPr fontId="31" type="noConversion"/>
  </si>
  <si>
    <t>毛坯</t>
  </si>
  <si>
    <t>毛坯</t>
    <phoneticPr fontId="31" type="noConversion"/>
  </si>
  <si>
    <t>标准层高</t>
  </si>
  <si>
    <t>标准层高</t>
    <phoneticPr fontId="31" type="noConversion"/>
  </si>
  <si>
    <t>新管庄科技园</t>
    <phoneticPr fontId="3" type="noConversion"/>
  </si>
  <si>
    <t>新管庄科技园</t>
    <phoneticPr fontId="3" type="noConversion"/>
  </si>
  <si>
    <t>新管庄科技园-管庄乡政府</t>
    <phoneticPr fontId="3" type="noConversion"/>
  </si>
  <si>
    <t>万象天地406号楼，1层，链家旁边，临街</t>
    <phoneticPr fontId="134" type="noConversion"/>
  </si>
  <si>
    <t>尚东阁78号楼，全心全意动物医院，1层临街把角</t>
    <phoneticPr fontId="134" type="noConversion"/>
  </si>
  <si>
    <t>现状用途</t>
  </si>
  <si>
    <t>配电室</t>
  </si>
  <si>
    <t>合计</t>
  </si>
  <si>
    <t>租金</t>
    <phoneticPr fontId="134" type="noConversion"/>
  </si>
  <si>
    <t>幢号</t>
  </si>
  <si>
    <t>总层数</t>
  </si>
  <si>
    <t>所在楼层</t>
  </si>
  <si>
    <t>建筑面积</t>
  </si>
  <si>
    <t>规划用途</t>
  </si>
  <si>
    <t>门卫室</t>
  </si>
  <si>
    <t>租金</t>
    <phoneticPr fontId="3" type="noConversion"/>
  </si>
  <si>
    <r>
      <rPr>
        <sz val="10"/>
        <color indexed="8"/>
        <rFont val="宋体"/>
        <family val="3"/>
        <charset val="134"/>
      </rPr>
      <t>办公</t>
    </r>
    <r>
      <rPr>
        <sz val="10"/>
        <color indexed="8"/>
        <rFont val="Arial"/>
        <family val="2"/>
      </rPr>
      <t>+</t>
    </r>
    <r>
      <rPr>
        <sz val="10"/>
        <color indexed="8"/>
        <rFont val="宋体"/>
        <family val="3"/>
        <charset val="134"/>
      </rPr>
      <t>车库</t>
    </r>
    <phoneticPr fontId="3" type="noConversion"/>
  </si>
  <si>
    <r>
      <t>1</t>
    </r>
    <r>
      <rPr>
        <sz val="10"/>
        <color indexed="8"/>
        <rFont val="宋体"/>
        <family val="3"/>
        <charset val="134"/>
      </rPr>
      <t>层商业租金</t>
    </r>
    <r>
      <rPr>
        <sz val="10"/>
        <color indexed="8"/>
        <rFont val="Arial"/>
        <family val="2"/>
      </rPr>
      <t>5-7</t>
    </r>
    <r>
      <rPr>
        <sz val="10"/>
        <color indexed="8"/>
        <rFont val="宋体"/>
        <family val="3"/>
        <charset val="134"/>
      </rPr>
      <t>块</t>
    </r>
    <phoneticPr fontId="3" type="noConversion"/>
  </si>
  <si>
    <t>2021-2</t>
    <phoneticPr fontId="30" type="noConversion"/>
  </si>
  <si>
    <t>较规则</t>
  </si>
  <si>
    <t>较规则</t>
    <phoneticPr fontId="30" type="noConversion"/>
  </si>
  <si>
    <t>较合适</t>
    <phoneticPr fontId="30" type="noConversion"/>
  </si>
  <si>
    <t>七通</t>
    <phoneticPr fontId="30" type="noConversion"/>
  </si>
  <si>
    <t>六通</t>
  </si>
  <si>
    <t>六通</t>
    <phoneticPr fontId="30" type="noConversion"/>
  </si>
  <si>
    <t>五通</t>
    <phoneticPr fontId="30" type="noConversion"/>
  </si>
  <si>
    <t>四通</t>
    <phoneticPr fontId="30" type="noConversion"/>
  </si>
  <si>
    <t>三通</t>
  </si>
  <si>
    <t>三通</t>
    <phoneticPr fontId="30" type="noConversion"/>
  </si>
  <si>
    <t>较好</t>
    <phoneticPr fontId="30" type="noConversion"/>
  </si>
  <si>
    <r>
      <rPr>
        <sz val="10"/>
        <color theme="9" tint="-0.249977111117893"/>
        <rFont val="宋体"/>
        <family val="3"/>
        <charset val="134"/>
      </rPr>
      <t>朝阳区建国路管庄</t>
    </r>
    <r>
      <rPr>
        <sz val="10"/>
        <color theme="9" tint="-0.249977111117893"/>
        <rFont val="Arial"/>
        <family val="2"/>
      </rPr>
      <t>6</t>
    </r>
    <r>
      <rPr>
        <sz val="10"/>
        <color theme="9" tint="-0.249977111117893"/>
        <rFont val="宋体"/>
        <family val="3"/>
        <charset val="134"/>
      </rPr>
      <t>号其他商服用房</t>
    </r>
    <phoneticPr fontId="6" type="noConversion"/>
  </si>
  <si>
    <t>地块名称</t>
  </si>
  <si>
    <t>城市</t>
  </si>
  <si>
    <t>区县</t>
  </si>
  <si>
    <t>板块</t>
  </si>
  <si>
    <t>地块编号</t>
  </si>
  <si>
    <t>土地位置</t>
  </si>
  <si>
    <t>建设用地面积(㎡)</t>
  </si>
  <si>
    <t>规划建筑面积(㎡)</t>
  </si>
  <si>
    <t>用地性质</t>
  </si>
  <si>
    <t>详细规划</t>
  </si>
  <si>
    <t>出让年限(年)</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</si>
  <si>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</si>
  <si>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</si>
  <si>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</si>
  <si>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</si>
  <si>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</si>
  <si>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</si>
  <si>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</si>
  <si>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</si>
  <si>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</si>
  <si>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</si>
  <si>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</si>
  <si>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</si>
  <si>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北京市顺义区天竺旧村改造土地一级开发项目SY00-2801-0149地块B4综合性商业金融服务用地</t>
  </si>
  <si>
    <t xml:space="preserve"> 顺义区 </t>
  </si>
  <si>
    <t xml:space="preserve"> 中央别墅区 </t>
  </si>
  <si>
    <t>京土储挂(顺)[2024]024号</t>
  </si>
  <si>
    <t xml:space="preserve"> 顺义区天竺镇 </t>
  </si>
  <si>
    <t xml:space="preserve"> 商业/办公用地 </t>
  </si>
  <si>
    <t xml:space="preserve"> B4综合性商业金融服务用地 </t>
  </si>
  <si>
    <t xml:space="preserve"> 商业 40 年 办公 50 年 </t>
  </si>
  <si>
    <t xml:space="preserve"> 挂牌 </t>
  </si>
  <si>
    <t xml:space="preserve">-- </t>
  </si>
  <si>
    <t xml:space="preserve"> -- </t>
  </si>
  <si>
    <t xml:space="preserve"> 已成交 </t>
  </si>
  <si>
    <t xml:space="preserve"> 北京罗红摄影艺术文化有限公司  </t>
  </si>
  <si>
    <t>北京市海淀区温泉镇中心区F16地块0901商业用地</t>
  </si>
  <si>
    <t xml:space="preserve"> 海淀区 </t>
  </si>
  <si>
    <t xml:space="preserve"> 温泉镇南部 </t>
  </si>
  <si>
    <t>京土储挂(海)[2024]014号</t>
  </si>
  <si>
    <t xml:space="preserve"> 海淀区温泉镇 </t>
  </si>
  <si>
    <t xml:space="preserve"> 0901商业用地 </t>
  </si>
  <si>
    <t xml:space="preserve"> 北京阳泰兴泉科技股份有限公司  </t>
  </si>
  <si>
    <t>北京市海淀区清河站北-安宁庄综合开发地块综合性商业金融服务业用地</t>
  </si>
  <si>
    <t xml:space="preserve"> 西二旗 </t>
  </si>
  <si>
    <t>京土储挂(海)[2024]015号</t>
  </si>
  <si>
    <t xml:space="preserve"> 海淀区清河街道 </t>
  </si>
  <si>
    <t xml:space="preserve"> 综合性商业金融服务业用地 </t>
  </si>
  <si>
    <t xml:space="preserve"> 北京海开云创产业发展有限责任公司  </t>
  </si>
  <si>
    <t>北京市海淀区中关村翠湖科技园A1地块HD00-0302-0175、6008地块F3其他类多功能用地、B23研发设计用地</t>
  </si>
  <si>
    <t xml:space="preserve"> 西北旺镇北 </t>
  </si>
  <si>
    <t>京土储挂(海)[2024]008号</t>
  </si>
  <si>
    <t xml:space="preserve"> 海淀区西北旺镇 </t>
  </si>
  <si>
    <t xml:space="preserve"> F3其他类多功能用地、B23研发设计用地 </t>
  </si>
  <si>
    <t xml:space="preserve"> 商业 40 年; 办公 50 年; 公服(科研) 20 年 </t>
  </si>
  <si>
    <t xml:space="preserve"> 0175:1、6008:1.6 </t>
  </si>
  <si>
    <t xml:space="preserve"> 北京翠湖智达科技服务有限责任公司  </t>
  </si>
  <si>
    <t>北京市延庆区八达岭经济开发区光谷三街南侧YQ02-0102-6028-2地块F3其他类多功能用地</t>
  </si>
  <si>
    <t xml:space="preserve"> 延庆区 </t>
  </si>
  <si>
    <t xml:space="preserve"> 康庄镇 </t>
  </si>
  <si>
    <t>京土储挂(延)[2024]001号</t>
  </si>
  <si>
    <t xml:space="preserve"> 延庆区康庄镇 </t>
  </si>
  <si>
    <t xml:space="preserve"> F3其他类多功能用地 </t>
  </si>
  <si>
    <t xml:space="preserve"> 不大于2.3不小于2 </t>
  </si>
  <si>
    <t xml:space="preserve"> 北京中发展领航科技有限公司  </t>
  </si>
  <si>
    <t>北京市朝阳区大屯地区0205-659地块及周边储备用地B4综合性商业金融服务业用地</t>
  </si>
  <si>
    <t xml:space="preserve"> 朝阳区 </t>
  </si>
  <si>
    <t xml:space="preserve"> 大屯 </t>
  </si>
  <si>
    <t>京土储挂(朝)[2023]074号</t>
  </si>
  <si>
    <t xml:space="preserve"> 朝阳区惠新西街立交桥东北角 </t>
  </si>
  <si>
    <t xml:space="preserve"> B4综合性商业金融服务业用地 </t>
  </si>
  <si>
    <t xml:space="preserve"> 安徽省高速地产集团有限公司  </t>
  </si>
  <si>
    <t>北京市海淀区学院路北端A、B、C、J地块B4综合性商业金融服务业用地、 B23研发设计用地</t>
  </si>
  <si>
    <t xml:space="preserve"> 学院路 </t>
  </si>
  <si>
    <t>京土储挂(海)[2023]073号</t>
  </si>
  <si>
    <t xml:space="preserve"> 海淀区学院路地区 </t>
  </si>
  <si>
    <t xml:space="preserve"> B4综合性商业金融服务业用地、B23研发设计用地 </t>
  </si>
  <si>
    <t xml:space="preserve"> 商业 40 年; 办公 50 年; 公服(科研) 50 年 </t>
  </si>
  <si>
    <t xml:space="preserve"> 腾讯科技(北京)有限公司  </t>
  </si>
  <si>
    <t>北京市石景山区中关村科技园区石景山园北I区1605-650地块B23研发设计用地</t>
  </si>
  <si>
    <t xml:space="preserve"> 石景山区 </t>
  </si>
  <si>
    <t xml:space="preserve"> 西山八大处 </t>
  </si>
  <si>
    <t>京土储挂(石)[2023]072号</t>
  </si>
  <si>
    <t xml:space="preserve"> 石景山区苹果园地区 </t>
  </si>
  <si>
    <t xml:space="preserve"> B23研发设计用地 </t>
  </si>
  <si>
    <t xml:space="preserve"> 北京保恒置业发展有限公司  </t>
  </si>
  <si>
    <t>北京丽泽金融商务区北区A地块建设及综合治理项目FT00-0609-0037(2)地块B4综合性商业金融服务业用地</t>
  </si>
  <si>
    <t xml:space="preserve"> 丰台区 </t>
  </si>
  <si>
    <t xml:space="preserve"> 丽泽 </t>
  </si>
  <si>
    <t>京土储挂(丰)[2023]067号</t>
  </si>
  <si>
    <t xml:space="preserve"> 丰台区太平桥街道 </t>
  </si>
  <si>
    <t xml:space="preserve"> 商业40年 办公50年 </t>
  </si>
  <si>
    <t xml:space="preserve"> 小于等于7 </t>
  </si>
  <si>
    <t xml:space="preserve"> 中国南水北调集团综合服务有限公司  </t>
  </si>
  <si>
    <t>北京市延庆区八达岭经济开发区光谷三街南侧YQ02-0102-6028-1-1地块F3其他类多功能用地</t>
  </si>
  <si>
    <t>京土储挂(延)[2023]047号</t>
  </si>
  <si>
    <t xml:space="preserve"> 商业40年办公50年 </t>
  </si>
  <si>
    <t xml:space="preserve"> 北京图精科技有限公司  </t>
  </si>
  <si>
    <t>北京城市副中心0201街区玉桥家园中心FZX-0201-0096、0102地块F3其他类多功能用地国有建设用地使用权出让公告</t>
  </si>
  <si>
    <t xml:space="preserve"> 通州区 </t>
  </si>
  <si>
    <t xml:space="preserve"> 乔庄 </t>
  </si>
  <si>
    <t xml:space="preserve"> 城市副中心0201街区 </t>
  </si>
  <si>
    <t xml:space="preserve"> 商业40年办公50年公服50年 </t>
  </si>
  <si>
    <t xml:space="preserve"> 北京通州投资发展有限公司  </t>
  </si>
  <si>
    <t>北京市海淀区西北旺镇永丰产业基地(新)HD00-0403-004地块F3其他类多功能用地</t>
  </si>
  <si>
    <t>京土储挂(海)[2023]039号</t>
  </si>
  <si>
    <t xml:space="preserve"> 海淀区西北旺镇永丰产业基地 </t>
  </si>
  <si>
    <t xml:space="preserve"> 北京泽御置业有限公司  </t>
  </si>
  <si>
    <t>北京城市副中心0403街区FZX-0403-0146、0148地块F3 其他类多功能用地</t>
  </si>
  <si>
    <t xml:space="preserve"> 通州北苑 </t>
  </si>
  <si>
    <t>京土储挂(通)〔2023〕032号</t>
  </si>
  <si>
    <t xml:space="preserve"> 城市副中心0403街区 </t>
  </si>
  <si>
    <t xml:space="preserve"> F3 其他类多功能用地 </t>
  </si>
  <si>
    <t xml:space="preserve"> 居住70年、商业40年、办公50年 </t>
  </si>
  <si>
    <t xml:space="preserve"> 0146容积率3.82、0148容积率2.75 </t>
  </si>
  <si>
    <t>北京市朝阳区太阳宫乡0301-613地块B4综合性商业金融服务业用地</t>
  </si>
  <si>
    <t xml:space="preserve"> 麦子店 </t>
  </si>
  <si>
    <t>京土储挂(朝)[2023]031号</t>
  </si>
  <si>
    <t xml:space="preserve"> 朝阳区太阳宫乡 </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</si>
  <si>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</si>
  <si>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</si>
  <si>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</si>
  <si>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</si>
  <si>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</si>
  <si>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北京市房山区窦店镇高端制造业基地06街区01地块FS00-DD06-0018、0019、0023、0024地块F3其他类多功能用地</t>
  </si>
  <si>
    <t xml:space="preserve"> 房山区 </t>
  </si>
  <si>
    <t xml:space="preserve"> 窦店镇 </t>
  </si>
  <si>
    <t>京土储挂(房)[2023]013号</t>
  </si>
  <si>
    <t xml:space="preserve"> 房山区窦店镇、良乡镇 </t>
  </si>
  <si>
    <t xml:space="preserve"> fs00-dd06-0018、0019容积率1.6;0023、0024容积率2.5 </t>
  </si>
  <si>
    <t xml:space="preserve"> 北京京东方医院有限公司  </t>
  </si>
  <si>
    <t>北京市通州区永顺镇0401街区 46号地块(西马庄收储) B4综合性商业金融服务业用地</t>
  </si>
  <si>
    <t xml:space="preserve"> 通州北关 </t>
  </si>
  <si>
    <t xml:space="preserve"> 通州区永顺镇 </t>
  </si>
  <si>
    <t xml:space="preserve"> 商业 40 年、办公 50 年 </t>
  </si>
  <si>
    <t xml:space="preserve"> ≤2.8 </t>
  </si>
  <si>
    <t xml:space="preserve"> 北京易创通景信息科技有限公司  </t>
  </si>
  <si>
    <t>大兴区西红门镇集体经营性建设用地2号地2-002A地块</t>
  </si>
  <si>
    <t xml:space="preserve"> 大兴区 </t>
  </si>
  <si>
    <t xml:space="preserve"> 西红门镇东 </t>
  </si>
  <si>
    <t>京规自集使挂(兴)[2023]002号</t>
  </si>
  <si>
    <t xml:space="preserve"> 西红门镇 </t>
  </si>
  <si>
    <t xml:space="preserve"> F81集体产业用地 </t>
  </si>
  <si>
    <t xml:space="preserve"> 电建智汇(北京)运营管理有限公司  </t>
  </si>
  <si>
    <t>北京市朝阳区朝阳站交通枢纽南侧建设用地一体化项目0313-5597、5598、5599地块B4综合性商业金融服务业用地</t>
  </si>
  <si>
    <t xml:space="preserve"> 朝阳公园北 </t>
  </si>
  <si>
    <t>京土储挂(朝)[2023]001号</t>
  </si>
  <si>
    <t xml:space="preserve"> 朝阳区东风乡 </t>
  </si>
  <si>
    <t xml:space="preserve"> 北京顺进商务咨询有限公司  </t>
  </si>
  <si>
    <t>北京大兴国际机场临空经济区DX12-0105-6103地块S5加油加气站(加氢站)用地</t>
  </si>
  <si>
    <t xml:space="preserve"> 榆垡镇 </t>
  </si>
  <si>
    <t>京土储挂(兴临空)[2022]072号</t>
  </si>
  <si>
    <t xml:space="preserve"> 大兴区礼贤镇 </t>
  </si>
  <si>
    <t xml:space="preserve"> S5加油加气站(加氢站)用地 </t>
  </si>
  <si>
    <t xml:space="preserve"> 商业40年 </t>
  </si>
  <si>
    <t xml:space="preserve"> ≤0.4 </t>
  </si>
  <si>
    <t xml:space="preserve"> 空气(北京)氢能科技有限公司  </t>
  </si>
  <si>
    <t>北京市平谷区兴谷新消费综合体项目商业地块PG00-0106-0106地块B1商业用地</t>
  </si>
  <si>
    <t xml:space="preserve"> 平谷区 </t>
  </si>
  <si>
    <t xml:space="preserve"> 兴谷 </t>
  </si>
  <si>
    <t>京土储挂(平)[2022]071号</t>
  </si>
  <si>
    <t xml:space="preserve"> 平谷区兴谷街道 </t>
  </si>
  <si>
    <t xml:space="preserve"> B1商业用地 </t>
  </si>
  <si>
    <t xml:space="preserve"> 北京市平谷区联扶实业管理有限公司  </t>
  </si>
  <si>
    <t>北京市石景山区中关村科技园石景山园北Ⅱ区西井地块土地一级开发项目1606-605地块B23研发设计用地</t>
  </si>
  <si>
    <t xml:space="preserve"> 苹果园 </t>
  </si>
  <si>
    <t>京土储挂(石)[2022]070号</t>
  </si>
  <si>
    <t xml:space="preserve"> 50年 </t>
  </si>
  <si>
    <t xml:space="preserve"> 北京中关村工业互联网产业发展有限公司  </t>
  </si>
  <si>
    <t>北京市海淀区西北旺镇永丰产业基地(新)HD00-0403-009地块F3其他类多功能用地</t>
  </si>
  <si>
    <t>京土储挂(海)[2022]063号</t>
  </si>
  <si>
    <t xml:space="preserve"> 海淀区永丰产业基地 </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</si>
  <si>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</si>
  <si>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</si>
  <si>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</si>
  <si>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</si>
  <si>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</si>
  <si>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</si>
  <si>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</si>
  <si>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</si>
  <si>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北京市通州经济开发区西区南扩区 三、五、六期棚户区改造项目 FZX-1102-6002地块 F3其他类多功能用地</t>
  </si>
  <si>
    <t xml:space="preserve"> 张家湾休闲 </t>
  </si>
  <si>
    <t>京土储挂(通)〔2022〕041号</t>
  </si>
  <si>
    <t xml:space="preserve"> 通州区张家湾镇 </t>
  </si>
  <si>
    <t xml:space="preserve"> 商业40年、办公50年 </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</si>
  <si>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</si>
  <si>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</si>
  <si>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</si>
  <si>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</si>
  <si>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</si>
  <si>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</si>
  <si>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 xml:space="preserve"> 环球度假区 </t>
  </si>
  <si>
    <t>京土储挂(通)〔2022〕040号</t>
  </si>
  <si>
    <t xml:space="preserve"> 北京城市副中心12组团 </t>
  </si>
  <si>
    <t xml:space="preserve"> 商业 40 年、 办公 50 年 </t>
  </si>
  <si>
    <t xml:space="preserve"> 北京首旅城市副中心投资有限公司  </t>
  </si>
  <si>
    <t>北京经济技术开发区亦庄新城0303街区C14C-3地块F3其他类多功能用地</t>
  </si>
  <si>
    <t xml:space="preserve"> 路东区 </t>
  </si>
  <si>
    <t>京土储挂(开)[2022]039号</t>
  </si>
  <si>
    <t xml:space="preserve"> 北京经济技术开发区亦庄新城0303街区C14C-3地块 </t>
  </si>
  <si>
    <t xml:space="preserve"> 商业40 年、办公 50 年 </t>
  </si>
  <si>
    <t xml:space="preserve"> ≤5.0 </t>
  </si>
  <si>
    <t xml:space="preserve"> 北京京东昆岳科技产业创新发展有限公司  </t>
  </si>
  <si>
    <t>北京大兴国际机场临空经济区 DX12-0105-6006、6009 地块F3其他类多功能用地</t>
  </si>
  <si>
    <t xml:space="preserve"> 礼贤镇 </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</si>
  <si>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</si>
  <si>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</si>
  <si>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</si>
  <si>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</si>
  <si>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大兴区榆垡镇 </t>
  </si>
  <si>
    <t xml:space="preserve"> 40年 </t>
  </si>
  <si>
    <t>北京经济技术开发区亦庄新城0902街区JG01-07地块F3其他类多功能用地</t>
  </si>
  <si>
    <t xml:space="preserve"> 旧宫南 </t>
  </si>
  <si>
    <t>京土整储挂(开)[2021]099号</t>
  </si>
  <si>
    <t xml:space="preserve"> 北京经济技术开发区亦庄新城0902街区JG01-07 </t>
  </si>
  <si>
    <t xml:space="preserve"> 中国太平洋人寿保险股份有限公司  </t>
  </si>
  <si>
    <t>北京市怀柔区怀北、雁栖镇HR00-0211-6031地块〔城市客厅B地块(北侧地块)〕F3其他类多功能用地(怀柔科学城核心区及周边土地一级开发项目)</t>
  </si>
  <si>
    <t xml:space="preserve"> 怀柔区 </t>
  </si>
  <si>
    <t xml:space="preserve"> 雁栖 </t>
  </si>
  <si>
    <t>京土整储挂(怀)[2021]097号</t>
  </si>
  <si>
    <t xml:space="preserve"> 怀柔区怀北镇、雁栖镇 </t>
  </si>
  <si>
    <t xml:space="preserve"> 北京怀柔科学城城开三部开发建设有限公司  </t>
  </si>
  <si>
    <t>北京市怀柔区北房镇、怀北镇HR00-0211-6027、6028、6029、6030地块(城市客厅C地块)F3其他类多功能用地(怀柔科学城核心区及周边土地一级开发项目)</t>
  </si>
  <si>
    <t xml:space="preserve"> 西田各庄镇 </t>
  </si>
  <si>
    <t>京土整储挂(怀)[2021]098号</t>
  </si>
  <si>
    <t xml:space="preserve"> 北京怀柔科学城城开四部开发建设有限公司  </t>
  </si>
  <si>
    <t>北京城市副中心0101街区FZX-0101-0902地块F3其他类多功能用地</t>
  </si>
  <si>
    <t xml:space="preserve"> 通运 </t>
  </si>
  <si>
    <t>京土整储挂(通)[2021]096号</t>
  </si>
  <si>
    <t xml:space="preserve"> 北京城市副中心01组团 </t>
  </si>
  <si>
    <t xml:space="preserve"> 商业40年,办公50年 </t>
  </si>
  <si>
    <t xml:space="preserve"> 华夏银行股份有限公司  </t>
  </si>
  <si>
    <t>北京市大兴区黄村镇DX00-0201-6001地块B14旅馆用地</t>
  </si>
  <si>
    <t xml:space="preserve"> 黄村 </t>
  </si>
  <si>
    <t>京土整储挂(兴)[2021]089号</t>
  </si>
  <si>
    <t xml:space="preserve"> 大兴区黄村镇 </t>
  </si>
  <si>
    <t xml:space="preserve"> B14旅馆用地 </t>
  </si>
  <si>
    <t xml:space="preserve">2021年第3批次 </t>
  </si>
  <si>
    <t xml:space="preserve"> 北京大兴宾馆有限责任公司  </t>
  </si>
  <si>
    <t>北京市海淀区西北旺镇永丰产业基地(新)HD00-0403-024地块F3其他类多功能用地</t>
  </si>
  <si>
    <t>京土整储挂(海)[2021] 082号</t>
  </si>
  <si>
    <t xml:space="preserve"> 海淀区永丰产业基地(新)一级开发组团J地块内 </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</si>
  <si>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</si>
  <si>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</si>
  <si>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</si>
  <si>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</si>
  <si>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</si>
  <si>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</si>
  <si>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</si>
  <si>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</si>
  <si>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 xml:space="preserve"> 八角南 </t>
  </si>
  <si>
    <t>京土整储挂(石)[2021] 079号</t>
  </si>
  <si>
    <t xml:space="preserve"> 石景山区古城南街东侧 </t>
  </si>
  <si>
    <t xml:space="preserve"> 北京首鹰置业有限公司  </t>
  </si>
  <si>
    <t>北京市东城区广渠门外大街马圈土地一级开发项目0407-001地块F3其他类多功能用地</t>
  </si>
  <si>
    <t xml:space="preserve"> 东城区 </t>
  </si>
  <si>
    <t xml:space="preserve"> 双井西 </t>
  </si>
  <si>
    <t>京土整储挂(东)[2021] 076号</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</si>
  <si>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</si>
  <si>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</si>
  <si>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</si>
  <si>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</si>
  <si>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</si>
  <si>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</si>
  <si>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</si>
  <si>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 xml:space="preserve"> 通州行政中心 </t>
  </si>
  <si>
    <t>京土整储挂(通)[2021]032号</t>
  </si>
  <si>
    <t xml:space="preserve"> 北至FZX-0902-0028规划科研用地,南至明徳街,西起FZX-0902-0027规划绿地,东至前北营路 </t>
  </si>
  <si>
    <t xml:space="preserve"> B2商务用地 </t>
  </si>
  <si>
    <t xml:space="preserve"> ≤3.1 </t>
  </si>
  <si>
    <t xml:space="preserve"> 北京城市副中心投资建设集团有限公司  </t>
  </si>
  <si>
    <t>北京城市副中心12组团西北部</t>
  </si>
  <si>
    <t>京土整储挂(通)[2021]001号</t>
  </si>
  <si>
    <t xml:space="preserve"> 北京城市副中心12组团西北部 </t>
  </si>
  <si>
    <t xml:space="preserve"> ≤2.15 </t>
  </si>
  <si>
    <t xml:space="preserve"> 北京公联鼎成交通枢纽建设发展有限公司  </t>
  </si>
  <si>
    <t>北京市怀柔区怀北镇雁柏山庄北侧地块B1商业用地</t>
  </si>
  <si>
    <t xml:space="preserve"> 怀北镇 </t>
  </si>
  <si>
    <t>京土整储挂(怀)[2020]057号</t>
  </si>
  <si>
    <t xml:space="preserve"> 怀柔区怀北镇 </t>
  </si>
  <si>
    <t xml:space="preserve"> ≤0.45 </t>
  </si>
  <si>
    <t xml:space="preserve"> 北京雁柏山庄有限责任公司  </t>
  </si>
  <si>
    <t>北京市房山区长阳镇06、07街区棚户区改造土地开发七片区项目FS10-0107-0005地块F3其他类多功能用地</t>
  </si>
  <si>
    <t xml:space="preserve"> 长阳北 </t>
  </si>
  <si>
    <t>京土整储挂(房)[2020]046号</t>
  </si>
  <si>
    <t xml:space="preserve"> 房山区长阳镇 </t>
  </si>
  <si>
    <t xml:space="preserve"> ≤3 </t>
  </si>
  <si>
    <t xml:space="preserve"> 北京北投新城开发建设有限公司 、北京城市副中心投资基金合伙企业(有限合伙)  </t>
  </si>
  <si>
    <t>北京市延庆区张山营镇西大庄科村YQ06-0400-0016地块F3其他类多功能用地</t>
  </si>
  <si>
    <t xml:space="preserve"> 张山营镇 </t>
  </si>
  <si>
    <t>京土整储招(延)[2020]047号</t>
  </si>
  <si>
    <t xml:space="preserve"> 延庆区张山营镇西大庄科村 </t>
  </si>
  <si>
    <t xml:space="preserve"> ≤1.01 </t>
  </si>
  <si>
    <t xml:space="preserve"> 招标 </t>
  </si>
  <si>
    <t xml:space="preserve"> 北京北控智开实业发展有限公司  </t>
  </si>
  <si>
    <t>北京市石景山区中关村科技园石景山园北Ⅱ区西井地块土地一级开发项目1606-034地块B1商业用地</t>
  </si>
  <si>
    <t>京土整储挂(石)[2020]045号</t>
  </si>
  <si>
    <t xml:space="preserve"> ≤4.0 </t>
  </si>
  <si>
    <t xml:space="preserve"> 中关村发展集团股份有限公司 、北京石景山产业发展有限公司联合体  </t>
  </si>
  <si>
    <t>北京市海淀区西八里庄0711-652、640、641地块B4综合性商业金融服务业用地</t>
  </si>
  <si>
    <t xml:space="preserve"> 八里庄 </t>
  </si>
  <si>
    <t>京土整储挂(海)[2020]042号</t>
  </si>
  <si>
    <t xml:space="preserve"> 海淀区玲珑巷地区 </t>
  </si>
  <si>
    <t xml:space="preserve"> 0711一652≤4.5,0711一640≤1.7,0711一641≤1.3 </t>
  </si>
  <si>
    <t xml:space="preserve"> 中国电建地产集团有限公司  </t>
  </si>
  <si>
    <t>北京市怀柔科学城核心区及周边土地一级开发项目HR00-0211-6002、6009、6010、6011、6019地块(城市客厅A)F3其他类多功能用地</t>
  </si>
  <si>
    <t>京土整储挂(怀)[2020]039号</t>
  </si>
  <si>
    <t xml:space="preserve"> 怀柔区雁栖镇、怀北镇 </t>
  </si>
  <si>
    <t xml:space="preserve"> ≤1.9 </t>
  </si>
  <si>
    <t xml:space="preserve"> 北京怀柔科学城城开一部开发建设有限公司  </t>
  </si>
  <si>
    <t>北京市怀柔区怀北镇雁柏山庄南侧地块B1商业用地</t>
  </si>
  <si>
    <t>京土整储挂(怀)[2020]038号</t>
  </si>
  <si>
    <t xml:space="preserve"> ≤0.16 </t>
  </si>
  <si>
    <t>北京市怀柔区怀北镇栖湖组团F3其他类多功能用地</t>
  </si>
  <si>
    <t>京土整储挂(怀)[2020]037号</t>
  </si>
  <si>
    <t xml:space="preserve"> ≤0.68 </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</si>
  <si>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</si>
  <si>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</si>
  <si>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</si>
  <si>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 </t>
  </si>
  <si>
    <t xml:space="preserve"> g4f-4≤3,g6f-1、g6f-5、g7f-1、g7f-2≤2.5,g7f-3≤1.96 </t>
  </si>
  <si>
    <t xml:space="preserve"> 北京通明湖信息城发展有限公司  </t>
  </si>
  <si>
    <t>北京市朝阳区望京花家地西里三组团配套综合楼1006-605地块B4商业金融用地</t>
  </si>
  <si>
    <t xml:space="preserve"> 望京 </t>
  </si>
  <si>
    <t>京土整储挂(朝)[2020]004号</t>
  </si>
  <si>
    <t xml:space="preserve"> 朝阳区望京花家地 </t>
  </si>
  <si>
    <t xml:space="preserve"> B4商业金融用地 </t>
  </si>
  <si>
    <t xml:space="preserve"> 北京金隅嘉业房地产开发有限公司  </t>
  </si>
  <si>
    <t>北京市昌平区朱辛庄新区(二期)土地一级开发项目ZXZ-010地块F3其他类多功能用地</t>
  </si>
  <si>
    <t xml:space="preserve"> 昌平区 </t>
  </si>
  <si>
    <t xml:space="preserve"> 朱辛庄 </t>
  </si>
  <si>
    <t>京土整储挂(昌)[2020]005号</t>
  </si>
  <si>
    <t xml:space="preserve"> 昌平区朱辛庄 </t>
  </si>
  <si>
    <t xml:space="preserve"> 北京裕聪置业有限公司  </t>
  </si>
  <si>
    <t>北京市石景山区古城南街东侧(首钢园区东南区)1612-769、775等地块B4综合性商业金融服务业用地</t>
  </si>
  <si>
    <t>京土整储挂(石)[2019]037号</t>
  </si>
  <si>
    <t xml:space="preserve"> 石景山区古城南街东侧(首钢园区东南区) </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</si>
  <si>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</si>
  <si>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</si>
  <si>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</si>
  <si>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</si>
  <si>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B4综合性商业金融服务业用地、F3其他类多功能用地 </t>
  </si>
  <si>
    <t xml:space="preserve"> 1612-778≤3.5,779≤4,783、786≤1.1,784≤1.5 </t>
  </si>
  <si>
    <t>北京市海淀区学院路北端A、B、C、J地块B4综合性商业金融服务业用地、B23研发设计用地</t>
  </si>
  <si>
    <t>京土整储招(海)[2019]034号</t>
  </si>
  <si>
    <t xml:space="preserve"> 海淀区学院路北端 </t>
  </si>
  <si>
    <t xml:space="preserve"> ≤4.04 </t>
  </si>
  <si>
    <t xml:space="preserve"> 紫光集团有限公司 、紫光股份有限公司 、紫光国芯微电子股份有限公司 、北京紫光科技服务集团有限公司联合体  </t>
  </si>
  <si>
    <t>北京市通州区潞城镇FZX-0901-0162地块F3其他类多功能用地</t>
  </si>
  <si>
    <t>京土整储挂(通)[2019]029号</t>
  </si>
  <si>
    <t xml:space="preserve"> 通州区潞城镇 </t>
  </si>
  <si>
    <t xml:space="preserve"> ≤2.5 </t>
  </si>
  <si>
    <t xml:space="preserve"> 北京润置商业运营管理有限公司 、北京首都开发股份有限公司联合体  </t>
  </si>
  <si>
    <t>北京经济技术开发区河西区X78C2地块B4综合性商业金融服务业用地</t>
  </si>
  <si>
    <t xml:space="preserve"> 河西区南部 </t>
  </si>
  <si>
    <t>京土整储挂(开)[2019]019号</t>
  </si>
  <si>
    <t xml:space="preserve"> 北京经济技术开发区河西区X78C2地块 </t>
  </si>
  <si>
    <t xml:space="preserve"> 办公50年、商业40年 </t>
  </si>
  <si>
    <t xml:space="preserve"> ≤2 </t>
  </si>
  <si>
    <t xml:space="preserve"> 北京尚恒锦瑞商业运营管理有限公司  </t>
  </si>
  <si>
    <t>临三通，中安盛业大厦</t>
    <phoneticPr fontId="134" type="noConversion"/>
  </si>
  <si>
    <t>临三通，北京朝阳站西广场南侧</t>
    <phoneticPr fontId="134" type="noConversion"/>
  </si>
  <si>
    <t>临三通，中电发展大厦东北角，司法部司法行政学院西北角</t>
    <phoneticPr fontId="134" type="noConversion"/>
  </si>
  <si>
    <t>六通，运通中医院南侧，广通街与张凤路西南角</t>
    <phoneticPr fontId="134" type="noConversion"/>
  </si>
  <si>
    <t>三通，首旅集团总部大厦，本次出让宗地地上、地下建设规模全部自持，自持年限为最高土地出让年限。</t>
    <phoneticPr fontId="134" type="noConversion"/>
  </si>
  <si>
    <t>六通，中建八局广渠路生活区</t>
    <phoneticPr fontId="134" type="noConversion"/>
  </si>
  <si>
    <t>京土储挂(通)[2023]042号</t>
    <phoneticPr fontId="134" type="noConversion"/>
  </si>
  <si>
    <t>京土储挂(通)〔2023〕004号</t>
    <phoneticPr fontId="134" type="noConversion"/>
  </si>
  <si>
    <t>三通，易宝大厦，全部自持</t>
    <phoneticPr fontId="134" type="noConversion"/>
  </si>
  <si>
    <t>https://j.map.baidu.com/33/N4wi</t>
    <phoneticPr fontId="134" type="noConversion"/>
  </si>
  <si>
    <t>较差</t>
  </si>
  <si>
    <t>郑燚</t>
  </si>
  <si>
    <t>崔锴</t>
  </si>
  <si>
    <t>土地面积</t>
  </si>
  <si>
    <t>划拨国有建设用地使用权价值</t>
  </si>
  <si>
    <t>建筑物价值</t>
  </si>
  <si>
    <t>自持</t>
    <phoneticPr fontId="30" type="noConversion"/>
  </si>
  <si>
    <t>无</t>
    <phoneticPr fontId="30" type="noConversion"/>
  </si>
  <si>
    <t>自持</t>
    <phoneticPr fontId="30" type="noConversion"/>
  </si>
  <si>
    <t>无</t>
    <phoneticPr fontId="30" type="noConversion"/>
  </si>
  <si>
    <t>自持</t>
    <phoneticPr fontId="30" type="noConversion"/>
  </si>
  <si>
    <t>三通，荞馨园西南角，全部自持，有配建</t>
    <phoneticPr fontId="134" type="noConversion"/>
  </si>
  <si>
    <t>三通，西门金街-a区，部分自持，有配建</t>
    <phoneticPr fontId="134" type="noConversion"/>
  </si>
  <si>
    <r>
      <t>50%</t>
    </r>
    <r>
      <rPr>
        <sz val="11"/>
        <color indexed="8"/>
        <rFont val="宋体"/>
        <family val="3"/>
        <charset val="134"/>
      </rPr>
      <t>自持</t>
    </r>
    <phoneticPr fontId="30" type="noConversion"/>
  </si>
  <si>
    <t xml:space="preserve"> B4综合性商业金融服务业用地 </t>
    <phoneticPr fontId="134" type="noConversion"/>
  </si>
  <si>
    <t xml:space="preserve"> F3 其他类多功能用地 </t>
    <phoneticPr fontId="134" type="noConversion"/>
  </si>
  <si>
    <r>
      <t xml:space="preserve"> F3 </t>
    </r>
    <r>
      <rPr>
        <sz val="11"/>
        <rFont val="宋体"/>
        <family val="3"/>
        <charset val="134"/>
      </rPr>
      <t>其他类多功能用地</t>
    </r>
    <r>
      <rPr>
        <sz val="11"/>
        <rFont val="Arial"/>
        <family val="2"/>
      </rPr>
      <t xml:space="preserve"> </t>
    </r>
    <phoneticPr fontId="30" type="noConversion"/>
  </si>
  <si>
    <t>商业用地</t>
  </si>
  <si>
    <t>商业用地</t>
    <phoneticPr fontId="30" type="noConversion"/>
  </si>
  <si>
    <r>
      <t>5.4</t>
    </r>
    <r>
      <rPr>
        <sz val="10"/>
        <color indexed="8"/>
        <rFont val="宋体"/>
        <family val="3"/>
        <charset val="134"/>
      </rPr>
      <t>？</t>
    </r>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</si>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</sst>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宋体"/>
      <family val="2"/>
      <scheme val="minor"/>
    </font>
    <font>
      <sz val="10"/>
      <color rgb="FFFF0000"/>
      <name val="宋体"/>
      <family val="2"/>
      <scheme val="minor"/>
    </font>
    <font>
      <sz val="10"/>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83" fontId="47" fillId="8" borderId="1" xfId="0" applyNumberFormat="1" applyFont="1" applyFill="1" applyBorder="1" applyAlignment="1" applyProtection="1">
      <alignment horizontal="center" vertical="center" shrinkToFit="1"/>
      <protection locked="0"/>
    </xf>
    <xf numFmtId="0" fontId="95" fillId="0" borderId="0" xfId="0" applyFont="1">
      <alignment vertical="center"/>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0" fontId="77" fillId="7" borderId="0" xfId="0" applyFont="1" applyFill="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NumberFormat="1" applyFont="1" applyAlignment="1">
      <alignment horizontal="left" vertical="center"/>
    </xf>
    <xf numFmtId="0" fontId="107" fillId="0" borderId="0" xfId="0" applyNumberFormat="1" applyFont="1" applyAlignment="1">
      <alignment horizontal="left" vertical="center"/>
    </xf>
    <xf numFmtId="14" fontId="107" fillId="0" borderId="0" xfId="0" applyNumberFormat="1" applyFont="1" applyAlignment="1">
      <alignment horizontal="left" vertical="center"/>
    </xf>
    <xf numFmtId="0" fontId="269" fillId="0" borderId="0" xfId="0" applyNumberFormat="1" applyFont="1" applyAlignment="1">
      <alignment horizontal="left" vertical="center" wrapText="1"/>
    </xf>
    <xf numFmtId="0" fontId="107" fillId="0" borderId="0" xfId="0" applyNumberFormat="1" applyFont="1" applyAlignment="1">
      <alignment horizontal="left" vertical="center" wrapText="1"/>
    </xf>
    <xf numFmtId="0" fontId="270" fillId="0" borderId="0" xfId="0" applyNumberFormat="1" applyFont="1" applyAlignment="1">
      <alignment horizontal="left" vertical="center" wrapText="1"/>
    </xf>
    <xf numFmtId="0" fontId="271" fillId="0" borderId="0" xfId="0" applyNumberFormat="1" applyFont="1" applyAlignment="1">
      <alignment horizontal="left" vertical="center"/>
    </xf>
    <xf numFmtId="0" fontId="269" fillId="5" borderId="0" xfId="0" applyNumberFormat="1" applyFont="1" applyFill="1" applyAlignment="1">
      <alignment horizontal="left" vertical="center"/>
    </xf>
    <xf numFmtId="14" fontId="107" fillId="5" borderId="0" xfId="0" applyNumberFormat="1" applyFont="1" applyFill="1" applyAlignment="1">
      <alignment horizontal="left" vertical="center"/>
    </xf>
    <xf numFmtId="0" fontId="271" fillId="5" borderId="0" xfId="0" applyNumberFormat="1" applyFont="1" applyFill="1" applyAlignment="1">
      <alignment horizontal="left" vertical="center"/>
    </xf>
    <xf numFmtId="0" fontId="107" fillId="5" borderId="0" xfId="0" applyNumberFormat="1" applyFont="1" applyFill="1" applyAlignment="1">
      <alignment horizontal="left" vertical="center"/>
    </xf>
    <xf numFmtId="0" fontId="272" fillId="0" borderId="0" xfId="19" applyNumberFormat="1" applyAlignment="1">
      <alignment horizontal="left" vertical="center"/>
    </xf>
    <xf numFmtId="179" fontId="52" fillId="16" borderId="24" xfId="0" applyNumberFormat="1" applyFont="1" applyFill="1" applyBorder="1" applyAlignment="1" applyProtection="1">
      <alignment horizontal="center" vertical="center"/>
    </xf>
    <xf numFmtId="177" fontId="47" fillId="16" borderId="1" xfId="1" applyNumberFormat="1" applyFont="1" applyFill="1" applyBorder="1" applyAlignment="1" applyProtection="1">
      <alignment horizontal="center"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67</xdr:row>
      <xdr:rowOff>0</xdr:rowOff>
    </xdr:from>
    <xdr:to>
      <xdr:col>17</xdr:col>
      <xdr:colOff>646565</xdr:colOff>
      <xdr:row>97</xdr:row>
      <xdr:rowOff>151809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620000"/>
          <a:ext cx="9076190" cy="4723809"/>
        </a:xfrm>
        <a:prstGeom prst="rect">
          <a:avLst/>
        </a:prstGeom>
      </xdr:spPr>
    </xdr:pic>
    <xdr:clientData/>
  </xdr:twoCellAnchor>
  <xdr:twoCellAnchor>
    <xdr:from>
      <xdr:col>8</xdr:col>
      <xdr:colOff>342899</xdr:colOff>
      <xdr:row>80</xdr:row>
      <xdr:rowOff>47625</xdr:rowOff>
    </xdr:from>
    <xdr:to>
      <xdr:col>10</xdr:col>
      <xdr:colOff>533399</xdr:colOff>
      <xdr:row>82</xdr:row>
      <xdr:rowOff>114301</xdr:rowOff>
    </xdr:to>
    <xdr:sp macro="" textlink="">
      <xdr:nvSpPr>
        <xdr:cNvPr id="5" name="椭圆形标注 4"/>
        <xdr:cNvSpPr/>
      </xdr:nvSpPr>
      <xdr:spPr>
        <a:xfrm>
          <a:off x="5029199" y="9667875"/>
          <a:ext cx="1514475" cy="371476"/>
        </a:xfrm>
        <a:prstGeom prst="wedgeEllipseCallout">
          <a:avLst>
            <a:gd name="adj1" fmla="val -27875"/>
            <a:gd name="adj2" fmla="val 105833"/>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案例</a:t>
          </a:r>
          <a:r>
            <a:rPr lang="en-US" altLang="zh-CN" sz="1000">
              <a:solidFill>
                <a:sysClr val="windowText" lastClr="000000"/>
              </a:solidFill>
            </a:rPr>
            <a:t>C</a:t>
          </a:r>
          <a:r>
            <a:rPr lang="zh-CN" altLang="en-US" sz="1000">
              <a:solidFill>
                <a:sysClr val="windowText" lastClr="000000"/>
              </a:solidFill>
            </a:rPr>
            <a:t>易宝大厦</a:t>
          </a:r>
        </a:p>
      </xdr:txBody>
    </xdr:sp>
    <xdr:clientData/>
  </xdr:twoCellAnchor>
  <xdr:twoCellAnchor>
    <xdr:from>
      <xdr:col>6</xdr:col>
      <xdr:colOff>352426</xdr:colOff>
      <xdr:row>82</xdr:row>
      <xdr:rowOff>95250</xdr:rowOff>
    </xdr:from>
    <xdr:to>
      <xdr:col>7</xdr:col>
      <xdr:colOff>581026</xdr:colOff>
      <xdr:row>85</xdr:row>
      <xdr:rowOff>9526</xdr:rowOff>
    </xdr:to>
    <xdr:sp macro="" textlink="">
      <xdr:nvSpPr>
        <xdr:cNvPr id="6" name="椭圆形标注 5"/>
        <xdr:cNvSpPr/>
      </xdr:nvSpPr>
      <xdr:spPr>
        <a:xfrm>
          <a:off x="3600451" y="10020300"/>
          <a:ext cx="1009650" cy="371476"/>
        </a:xfrm>
        <a:prstGeom prst="wedgeEllipseCallout">
          <a:avLst>
            <a:gd name="adj1" fmla="val 55144"/>
            <a:gd name="adj2" fmla="val 82756"/>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估价对象</a:t>
          </a:r>
        </a:p>
      </xdr:txBody>
    </xdr:sp>
    <xdr:clientData/>
  </xdr:twoCellAnchor>
  <xdr:twoCellAnchor>
    <xdr:from>
      <xdr:col>6</xdr:col>
      <xdr:colOff>714376</xdr:colOff>
      <xdr:row>88</xdr:row>
      <xdr:rowOff>38100</xdr:rowOff>
    </xdr:from>
    <xdr:to>
      <xdr:col>9</xdr:col>
      <xdr:colOff>523876</xdr:colOff>
      <xdr:row>90</xdr:row>
      <xdr:rowOff>104776</xdr:rowOff>
    </xdr:to>
    <xdr:sp macro="" textlink="">
      <xdr:nvSpPr>
        <xdr:cNvPr id="7" name="椭圆形标注 6"/>
        <xdr:cNvSpPr/>
      </xdr:nvSpPr>
      <xdr:spPr>
        <a:xfrm>
          <a:off x="3962401" y="10877550"/>
          <a:ext cx="1752600" cy="371476"/>
        </a:xfrm>
        <a:prstGeom prst="wedgeEllipseCallout">
          <a:avLst>
            <a:gd name="adj1" fmla="val 28100"/>
            <a:gd name="adj2" fmla="val -104423"/>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案例</a:t>
          </a:r>
          <a:r>
            <a:rPr lang="en-US" altLang="zh-CN" sz="1000">
              <a:solidFill>
                <a:sysClr val="windowText" lastClr="000000"/>
              </a:solidFill>
            </a:rPr>
            <a:t>B</a:t>
          </a:r>
          <a:r>
            <a:rPr lang="zh-CN" altLang="en-US" sz="1000">
              <a:solidFill>
                <a:sysClr val="windowText" lastClr="000000"/>
              </a:solidFill>
            </a:rPr>
            <a:t>西门金街</a:t>
          </a:r>
          <a:r>
            <a:rPr lang="en-US" altLang="zh-CN" sz="1000">
              <a:solidFill>
                <a:sysClr val="windowText" lastClr="000000"/>
              </a:solidFill>
            </a:rPr>
            <a:t>A</a:t>
          </a:r>
          <a:r>
            <a:rPr lang="zh-CN" altLang="en-US" sz="1000">
              <a:solidFill>
                <a:sysClr val="windowText" lastClr="000000"/>
              </a:solidFill>
            </a:rPr>
            <a:t>区</a:t>
          </a:r>
        </a:p>
      </xdr:txBody>
    </xdr:sp>
    <xdr:clientData/>
  </xdr:twoCellAnchor>
  <xdr:twoCellAnchor>
    <xdr:from>
      <xdr:col>10</xdr:col>
      <xdr:colOff>361951</xdr:colOff>
      <xdr:row>84</xdr:row>
      <xdr:rowOff>0</xdr:rowOff>
    </xdr:from>
    <xdr:to>
      <xdr:col>11</xdr:col>
      <xdr:colOff>600075</xdr:colOff>
      <xdr:row>86</xdr:row>
      <xdr:rowOff>66676</xdr:rowOff>
    </xdr:to>
    <xdr:sp macro="" textlink="">
      <xdr:nvSpPr>
        <xdr:cNvPr id="8" name="椭圆形标注 7"/>
        <xdr:cNvSpPr/>
      </xdr:nvSpPr>
      <xdr:spPr>
        <a:xfrm>
          <a:off x="6372226" y="10229850"/>
          <a:ext cx="895349" cy="371476"/>
        </a:xfrm>
        <a:prstGeom prst="wedgeEllipseCallout">
          <a:avLst>
            <a:gd name="adj1" fmla="val -48629"/>
            <a:gd name="adj2" fmla="val 82756"/>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案例</a:t>
          </a:r>
          <a:r>
            <a:rPr lang="en-US" altLang="zh-CN" sz="1000">
              <a:solidFill>
                <a:sysClr val="windowText" lastClr="000000"/>
              </a:solidFill>
            </a:rPr>
            <a:t>A</a:t>
          </a:r>
          <a:endParaRPr lang="zh-CN" altLang="en-US" sz="1000">
            <a:solidFill>
              <a:sysClr val="windowText" lastClr="000000"/>
            </a:solidFill>
          </a:endParaRPr>
        </a:p>
      </xdr:txBody>
    </xdr:sp>
    <xdr:clientData/>
  </xdr:twoCellAnchor>
  <xdr:twoCellAnchor>
    <xdr:from>
      <xdr:col>9</xdr:col>
      <xdr:colOff>104775</xdr:colOff>
      <xdr:row>93</xdr:row>
      <xdr:rowOff>152399</xdr:rowOff>
    </xdr:from>
    <xdr:to>
      <xdr:col>15</xdr:col>
      <xdr:colOff>523875</xdr:colOff>
      <xdr:row>96</xdr:row>
      <xdr:rowOff>38100</xdr:rowOff>
    </xdr:to>
    <xdr:sp macro="" textlink="">
      <xdr:nvSpPr>
        <xdr:cNvPr id="9" name="椭圆形标注 8"/>
        <xdr:cNvSpPr/>
      </xdr:nvSpPr>
      <xdr:spPr>
        <a:xfrm>
          <a:off x="5295900" y="11753849"/>
          <a:ext cx="2724150" cy="342901"/>
        </a:xfrm>
        <a:prstGeom prst="wedgeEllipseCallout">
          <a:avLst>
            <a:gd name="adj1" fmla="val -28504"/>
            <a:gd name="adj2" fmla="val -109551"/>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这两个，楼面单价</a:t>
          </a:r>
          <a:r>
            <a:rPr lang="en-US" altLang="zh-CN" sz="1000">
              <a:solidFill>
                <a:sysClr val="windowText" lastClr="000000"/>
              </a:solidFill>
            </a:rPr>
            <a:t>16000</a:t>
          </a:r>
          <a:r>
            <a:rPr lang="zh-CN" altLang="en-US" sz="1000">
              <a:solidFill>
                <a:sysClr val="windowText" lastClr="000000"/>
              </a:solidFill>
            </a:rPr>
            <a:t>以上</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12</xdr:col>
      <xdr:colOff>341828</xdr:colOff>
      <xdr:row>15</xdr:row>
      <xdr:rowOff>142564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8600"/>
          <a:ext cx="8571428" cy="2485714"/>
        </a:xfrm>
        <a:prstGeom prst="rect">
          <a:avLst/>
        </a:prstGeom>
      </xdr:spPr>
    </xdr:pic>
    <xdr:clientData/>
  </xdr:twoCellAnchor>
  <xdr:twoCellAnchor editAs="oneCell">
    <xdr:from>
      <xdr:col>0</xdr:col>
      <xdr:colOff>0</xdr:colOff>
      <xdr:row>19</xdr:row>
      <xdr:rowOff>1</xdr:rowOff>
    </xdr:from>
    <xdr:to>
      <xdr:col>13</xdr:col>
      <xdr:colOff>191163</xdr:colOff>
      <xdr:row>43</xdr:row>
      <xdr:rowOff>114301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1"/>
          <a:ext cx="9106563" cy="4229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276225</xdr:colOff>
      <xdr:row>21</xdr:row>
      <xdr:rowOff>156639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
          <a:ext cx="8505825" cy="3757088"/>
        </a:xfrm>
        <a:prstGeom prst="rect">
          <a:avLst/>
        </a:prstGeom>
      </xdr:spPr>
    </xdr:pic>
    <xdr:clientData/>
  </xdr:twoCellAnchor>
  <xdr:twoCellAnchor editAs="oneCell">
    <xdr:from>
      <xdr:col>0</xdr:col>
      <xdr:colOff>0</xdr:colOff>
      <xdr:row>23</xdr:row>
      <xdr:rowOff>0</xdr:rowOff>
    </xdr:from>
    <xdr:to>
      <xdr:col>11</xdr:col>
      <xdr:colOff>550129</xdr:colOff>
      <xdr:row>43</xdr:row>
      <xdr:rowOff>104775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943350"/>
          <a:ext cx="8093929" cy="3533775"/>
        </a:xfrm>
        <a:prstGeom prst="rect">
          <a:avLst/>
        </a:prstGeom>
      </xdr:spPr>
    </xdr:pic>
    <xdr:clientData/>
  </xdr:twoCellAnchor>
  <xdr:twoCellAnchor editAs="oneCell">
    <xdr:from>
      <xdr:col>0</xdr:col>
      <xdr:colOff>0</xdr:colOff>
      <xdr:row>44</xdr:row>
      <xdr:rowOff>0</xdr:rowOff>
    </xdr:from>
    <xdr:to>
      <xdr:col>11</xdr:col>
      <xdr:colOff>675566</xdr:colOff>
      <xdr:row>64</xdr:row>
      <xdr:rowOff>85725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8219366" cy="3514725"/>
        </a:xfrm>
        <a:prstGeom prst="rect">
          <a:avLst/>
        </a:prstGeom>
      </xdr:spPr>
    </xdr:pic>
    <xdr:clientData/>
  </xdr:twoCellAnchor>
  <xdr:twoCellAnchor editAs="oneCell">
    <xdr:from>
      <xdr:col>0</xdr:col>
      <xdr:colOff>0</xdr:colOff>
      <xdr:row>65</xdr:row>
      <xdr:rowOff>0</xdr:rowOff>
    </xdr:from>
    <xdr:to>
      <xdr:col>11</xdr:col>
      <xdr:colOff>575419</xdr:colOff>
      <xdr:row>85</xdr:row>
      <xdr:rowOff>114300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144250"/>
          <a:ext cx="8119219" cy="3543300"/>
        </a:xfrm>
        <a:prstGeom prst="rect">
          <a:avLst/>
        </a:prstGeom>
      </xdr:spPr>
    </xdr:pic>
    <xdr:clientData/>
  </xdr:twoCellAnchor>
  <xdr:twoCellAnchor editAs="oneCell">
    <xdr:from>
      <xdr:col>0</xdr:col>
      <xdr:colOff>0</xdr:colOff>
      <xdr:row>87</xdr:row>
      <xdr:rowOff>0</xdr:rowOff>
    </xdr:from>
    <xdr:to>
      <xdr:col>5</xdr:col>
      <xdr:colOff>428143</xdr:colOff>
      <xdr:row>110</xdr:row>
      <xdr:rowOff>151888</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4916150"/>
          <a:ext cx="3857143" cy="4095238"/>
        </a:xfrm>
        <a:prstGeom prst="rect">
          <a:avLst/>
        </a:prstGeom>
      </xdr:spPr>
    </xdr:pic>
    <xdr:clientData/>
  </xdr:twoCellAnchor>
  <xdr:twoCellAnchor editAs="oneCell">
    <xdr:from>
      <xdr:col>5</xdr:col>
      <xdr:colOff>523875</xdr:colOff>
      <xdr:row>86</xdr:row>
      <xdr:rowOff>9525</xdr:rowOff>
    </xdr:from>
    <xdr:to>
      <xdr:col>11</xdr:col>
      <xdr:colOff>199551</xdr:colOff>
      <xdr:row>111</xdr:row>
      <xdr:rowOff>132799</xdr:rowOff>
    </xdr:to>
    <xdr:pic>
      <xdr:nvPicPr>
        <xdr:cNvPr id="8" name="图片 7"/>
        <xdr:cNvPicPr>
          <a:picLocks noChangeAspect="1"/>
        </xdr:cNvPicPr>
      </xdr:nvPicPr>
      <xdr:blipFill>
        <a:blip xmlns:r="http://schemas.openxmlformats.org/officeDocument/2006/relationships" r:embed="rId6"/>
        <a:stretch>
          <a:fillRect/>
        </a:stretch>
      </xdr:blipFill>
      <xdr:spPr>
        <a:xfrm>
          <a:off x="3952875" y="14754225"/>
          <a:ext cx="3790476" cy="4409524"/>
        </a:xfrm>
        <a:prstGeom prst="rect">
          <a:avLst/>
        </a:prstGeom>
      </xdr:spPr>
    </xdr:pic>
    <xdr:clientData/>
  </xdr:twoCellAnchor>
  <xdr:twoCellAnchor editAs="oneCell">
    <xdr:from>
      <xdr:col>11</xdr:col>
      <xdr:colOff>257175</xdr:colOff>
      <xdr:row>85</xdr:row>
      <xdr:rowOff>161925</xdr:rowOff>
    </xdr:from>
    <xdr:to>
      <xdr:col>17</xdr:col>
      <xdr:colOff>28089</xdr:colOff>
      <xdr:row>109</xdr:row>
      <xdr:rowOff>9030</xdr:rowOff>
    </xdr:to>
    <xdr:pic>
      <xdr:nvPicPr>
        <xdr:cNvPr id="9" name="图片 8"/>
        <xdr:cNvPicPr>
          <a:picLocks noChangeAspect="1"/>
        </xdr:cNvPicPr>
      </xdr:nvPicPr>
      <xdr:blipFill>
        <a:blip xmlns:r="http://schemas.openxmlformats.org/officeDocument/2006/relationships" r:embed="rId7"/>
        <a:stretch>
          <a:fillRect/>
        </a:stretch>
      </xdr:blipFill>
      <xdr:spPr>
        <a:xfrm>
          <a:off x="7800975" y="14735175"/>
          <a:ext cx="3885714" cy="3961905"/>
        </a:xfrm>
        <a:prstGeom prst="rect">
          <a:avLst/>
        </a:prstGeom>
      </xdr:spPr>
    </xdr:pic>
    <xdr:clientData/>
  </xdr:twoCellAnchor>
  <xdr:twoCellAnchor editAs="oneCell">
    <xdr:from>
      <xdr:col>0</xdr:col>
      <xdr:colOff>0</xdr:colOff>
      <xdr:row>112</xdr:row>
      <xdr:rowOff>0</xdr:rowOff>
    </xdr:from>
    <xdr:to>
      <xdr:col>5</xdr:col>
      <xdr:colOff>371000</xdr:colOff>
      <xdr:row>132</xdr:row>
      <xdr:rowOff>171000</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9202400"/>
          <a:ext cx="3800000" cy="3600000"/>
        </a:xfrm>
        <a:prstGeom prst="rect">
          <a:avLst/>
        </a:prstGeom>
      </xdr:spPr>
    </xdr:pic>
    <xdr:clientData/>
  </xdr:twoCellAnchor>
  <xdr:twoCellAnchor editAs="oneCell">
    <xdr:from>
      <xdr:col>6</xdr:col>
      <xdr:colOff>0</xdr:colOff>
      <xdr:row>112</xdr:row>
      <xdr:rowOff>0</xdr:rowOff>
    </xdr:from>
    <xdr:to>
      <xdr:col>11</xdr:col>
      <xdr:colOff>418619</xdr:colOff>
      <xdr:row>137</xdr:row>
      <xdr:rowOff>8988</xdr:rowOff>
    </xdr:to>
    <xdr:pic>
      <xdr:nvPicPr>
        <xdr:cNvPr id="11" name="图片 10"/>
        <xdr:cNvPicPr>
          <a:picLocks noChangeAspect="1"/>
        </xdr:cNvPicPr>
      </xdr:nvPicPr>
      <xdr:blipFill>
        <a:blip xmlns:r="http://schemas.openxmlformats.org/officeDocument/2006/relationships" r:embed="rId9"/>
        <a:stretch>
          <a:fillRect/>
        </a:stretch>
      </xdr:blipFill>
      <xdr:spPr>
        <a:xfrm>
          <a:off x="4114800" y="19202400"/>
          <a:ext cx="3847619" cy="4295238"/>
        </a:xfrm>
        <a:prstGeom prst="rect">
          <a:avLst/>
        </a:prstGeom>
      </xdr:spPr>
    </xdr:pic>
    <xdr:clientData/>
  </xdr:twoCellAnchor>
  <xdr:twoCellAnchor editAs="oneCell">
    <xdr:from>
      <xdr:col>11</xdr:col>
      <xdr:colOff>390525</xdr:colOff>
      <xdr:row>112</xdr:row>
      <xdr:rowOff>0</xdr:rowOff>
    </xdr:from>
    <xdr:to>
      <xdr:col>17</xdr:col>
      <xdr:colOff>351915</xdr:colOff>
      <xdr:row>134</xdr:row>
      <xdr:rowOff>28100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7934325" y="19202400"/>
          <a:ext cx="4076190" cy="3800000"/>
        </a:xfrm>
        <a:prstGeom prst="rect">
          <a:avLst/>
        </a:prstGeom>
      </xdr:spPr>
    </xdr:pic>
    <xdr:clientData/>
  </xdr:twoCellAnchor>
  <xdr:twoCellAnchor editAs="oneCell">
    <xdr:from>
      <xdr:col>0</xdr:col>
      <xdr:colOff>0</xdr:colOff>
      <xdr:row>136</xdr:row>
      <xdr:rowOff>0</xdr:rowOff>
    </xdr:from>
    <xdr:to>
      <xdr:col>5</xdr:col>
      <xdr:colOff>466238</xdr:colOff>
      <xdr:row>160</xdr:row>
      <xdr:rowOff>170914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317200"/>
          <a:ext cx="3895238" cy="4285714"/>
        </a:xfrm>
        <a:prstGeom prst="rect">
          <a:avLst/>
        </a:prstGeom>
      </xdr:spPr>
    </xdr:pic>
    <xdr:clientData/>
  </xdr:twoCellAnchor>
  <xdr:twoCellAnchor editAs="oneCell">
    <xdr:from>
      <xdr:col>6</xdr:col>
      <xdr:colOff>72153</xdr:colOff>
      <xdr:row>138</xdr:row>
      <xdr:rowOff>76200</xdr:rowOff>
    </xdr:from>
    <xdr:to>
      <xdr:col>14</xdr:col>
      <xdr:colOff>598908</xdr:colOff>
      <xdr:row>153</xdr:row>
      <xdr:rowOff>142875</xdr:rowOff>
    </xdr:to>
    <xdr:pic>
      <xdr:nvPicPr>
        <xdr:cNvPr id="14" name="图片 13"/>
        <xdr:cNvPicPr>
          <a:picLocks noChangeAspect="1"/>
        </xdr:cNvPicPr>
      </xdr:nvPicPr>
      <xdr:blipFill>
        <a:blip xmlns:r="http://schemas.openxmlformats.org/officeDocument/2006/relationships" r:embed="rId12"/>
        <a:stretch>
          <a:fillRect/>
        </a:stretch>
      </xdr:blipFill>
      <xdr:spPr>
        <a:xfrm>
          <a:off x="4186953" y="23736300"/>
          <a:ext cx="6013155" cy="2638425"/>
        </a:xfrm>
        <a:prstGeom prst="rect">
          <a:avLst/>
        </a:prstGeom>
      </xdr:spPr>
    </xdr:pic>
    <xdr:clientData/>
  </xdr:twoCellAnchor>
  <xdr:twoCellAnchor editAs="oneCell">
    <xdr:from>
      <xdr:col>5</xdr:col>
      <xdr:colOff>615373</xdr:colOff>
      <xdr:row>154</xdr:row>
      <xdr:rowOff>85726</xdr:rowOff>
    </xdr:from>
    <xdr:to>
      <xdr:col>15</xdr:col>
      <xdr:colOff>141685</xdr:colOff>
      <xdr:row>171</xdr:row>
      <xdr:rowOff>161925</xdr:rowOff>
    </xdr:to>
    <xdr:pic>
      <xdr:nvPicPr>
        <xdr:cNvPr id="15" name="图片 14"/>
        <xdr:cNvPicPr>
          <a:picLocks noChangeAspect="1"/>
        </xdr:cNvPicPr>
      </xdr:nvPicPr>
      <xdr:blipFill>
        <a:blip xmlns:r="http://schemas.openxmlformats.org/officeDocument/2006/relationships" r:embed="rId13"/>
        <a:stretch>
          <a:fillRect/>
        </a:stretch>
      </xdr:blipFill>
      <xdr:spPr>
        <a:xfrm>
          <a:off x="4044373" y="26489026"/>
          <a:ext cx="6384312" cy="2990849"/>
        </a:xfrm>
        <a:prstGeom prst="rect">
          <a:avLst/>
        </a:prstGeom>
      </xdr:spPr>
    </xdr:pic>
    <xdr:clientData/>
  </xdr:twoCellAnchor>
  <xdr:twoCellAnchor editAs="oneCell">
    <xdr:from>
      <xdr:col>0</xdr:col>
      <xdr:colOff>0</xdr:colOff>
      <xdr:row>174</xdr:row>
      <xdr:rowOff>0</xdr:rowOff>
    </xdr:from>
    <xdr:to>
      <xdr:col>9</xdr:col>
      <xdr:colOff>228600</xdr:colOff>
      <xdr:row>190</xdr:row>
      <xdr:rowOff>127229</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29832300"/>
          <a:ext cx="6400800" cy="2870429"/>
        </a:xfrm>
        <a:prstGeom prst="rect">
          <a:avLst/>
        </a:prstGeom>
      </xdr:spPr>
    </xdr:pic>
    <xdr:clientData/>
  </xdr:twoCellAnchor>
  <xdr:twoCellAnchor editAs="oneCell">
    <xdr:from>
      <xdr:col>0</xdr:col>
      <xdr:colOff>1</xdr:colOff>
      <xdr:row>192</xdr:row>
      <xdr:rowOff>0</xdr:rowOff>
    </xdr:from>
    <xdr:to>
      <xdr:col>9</xdr:col>
      <xdr:colOff>400051</xdr:colOff>
      <xdr:row>208</xdr:row>
      <xdr:rowOff>108664</xdr:rowOff>
    </xdr:to>
    <xdr:pic>
      <xdr:nvPicPr>
        <xdr:cNvPr id="17" name="图片 16"/>
        <xdr:cNvPicPr>
          <a:picLocks noChangeAspect="1"/>
        </xdr:cNvPicPr>
      </xdr:nvPicPr>
      <xdr:blipFill>
        <a:blip xmlns:r="http://schemas.openxmlformats.org/officeDocument/2006/relationships" r:embed="rId15"/>
        <a:stretch>
          <a:fillRect/>
        </a:stretch>
      </xdr:blipFill>
      <xdr:spPr>
        <a:xfrm>
          <a:off x="1" y="32918400"/>
          <a:ext cx="6572250" cy="28518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97972</xdr:colOff>
      <xdr:row>19</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41772" cy="3343275"/>
        </a:xfrm>
        <a:prstGeom prst="rect">
          <a:avLst/>
        </a:prstGeom>
      </xdr:spPr>
    </xdr:pic>
    <xdr:clientData/>
  </xdr:twoCellAnchor>
  <xdr:twoCellAnchor editAs="oneCell">
    <xdr:from>
      <xdr:col>0</xdr:col>
      <xdr:colOff>0</xdr:colOff>
      <xdr:row>21</xdr:row>
      <xdr:rowOff>0</xdr:rowOff>
    </xdr:from>
    <xdr:to>
      <xdr:col>11</xdr:col>
      <xdr:colOff>108720</xdr:colOff>
      <xdr:row>39</xdr:row>
      <xdr:rowOff>76200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600450"/>
          <a:ext cx="7652520" cy="3162300"/>
        </a:xfrm>
        <a:prstGeom prst="rect">
          <a:avLst/>
        </a:prstGeom>
      </xdr:spPr>
    </xdr:pic>
    <xdr:clientData/>
  </xdr:twoCellAnchor>
  <xdr:twoCellAnchor editAs="oneCell">
    <xdr:from>
      <xdr:col>0</xdr:col>
      <xdr:colOff>0</xdr:colOff>
      <xdr:row>41</xdr:row>
      <xdr:rowOff>0</xdr:rowOff>
    </xdr:from>
    <xdr:to>
      <xdr:col>11</xdr:col>
      <xdr:colOff>112727</xdr:colOff>
      <xdr:row>61</xdr:row>
      <xdr:rowOff>28575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7029450"/>
          <a:ext cx="7656527" cy="3457575"/>
        </a:xfrm>
        <a:prstGeom prst="rect">
          <a:avLst/>
        </a:prstGeom>
      </xdr:spPr>
    </xdr:pic>
    <xdr:clientData/>
  </xdr:twoCellAnchor>
  <xdr:twoCellAnchor editAs="oneCell">
    <xdr:from>
      <xdr:col>0</xdr:col>
      <xdr:colOff>0</xdr:colOff>
      <xdr:row>86</xdr:row>
      <xdr:rowOff>0</xdr:rowOff>
    </xdr:from>
    <xdr:to>
      <xdr:col>5</xdr:col>
      <xdr:colOff>599571</xdr:colOff>
      <xdr:row>102</xdr:row>
      <xdr:rowOff>18705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4744700"/>
          <a:ext cx="4028571" cy="2761905"/>
        </a:xfrm>
        <a:prstGeom prst="rect">
          <a:avLst/>
        </a:prstGeom>
      </xdr:spPr>
    </xdr:pic>
    <xdr:clientData/>
  </xdr:twoCellAnchor>
  <xdr:twoCellAnchor editAs="oneCell">
    <xdr:from>
      <xdr:col>0</xdr:col>
      <xdr:colOff>0</xdr:colOff>
      <xdr:row>63</xdr:row>
      <xdr:rowOff>0</xdr:rowOff>
    </xdr:from>
    <xdr:to>
      <xdr:col>5</xdr:col>
      <xdr:colOff>504333</xdr:colOff>
      <xdr:row>77</xdr:row>
      <xdr:rowOff>85414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0801350"/>
          <a:ext cx="3933333" cy="2485714"/>
        </a:xfrm>
        <a:prstGeom prst="rect">
          <a:avLst/>
        </a:prstGeom>
      </xdr:spPr>
    </xdr:pic>
    <xdr:clientData/>
  </xdr:twoCellAnchor>
  <xdr:twoCellAnchor editAs="oneCell">
    <xdr:from>
      <xdr:col>6</xdr:col>
      <xdr:colOff>0</xdr:colOff>
      <xdr:row>63</xdr:row>
      <xdr:rowOff>0</xdr:rowOff>
    </xdr:from>
    <xdr:to>
      <xdr:col>11</xdr:col>
      <xdr:colOff>523381</xdr:colOff>
      <xdr:row>77</xdr:row>
      <xdr:rowOff>66367</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10801350"/>
          <a:ext cx="3952381" cy="2466667"/>
        </a:xfrm>
        <a:prstGeom prst="rect">
          <a:avLst/>
        </a:prstGeom>
      </xdr:spPr>
    </xdr:pic>
    <xdr:clientData/>
  </xdr:twoCellAnchor>
  <xdr:twoCellAnchor editAs="oneCell">
    <xdr:from>
      <xdr:col>0</xdr:col>
      <xdr:colOff>0</xdr:colOff>
      <xdr:row>78</xdr:row>
      <xdr:rowOff>0</xdr:rowOff>
    </xdr:from>
    <xdr:to>
      <xdr:col>5</xdr:col>
      <xdr:colOff>428143</xdr:colOff>
      <xdr:row>86</xdr:row>
      <xdr:rowOff>56971</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3373100"/>
          <a:ext cx="3857143" cy="1428571"/>
        </a:xfrm>
        <a:prstGeom prst="rect">
          <a:avLst/>
        </a:prstGeom>
      </xdr:spPr>
    </xdr:pic>
    <xdr:clientData/>
  </xdr:twoCellAnchor>
  <xdr:twoCellAnchor editAs="oneCell">
    <xdr:from>
      <xdr:col>6</xdr:col>
      <xdr:colOff>0</xdr:colOff>
      <xdr:row>78</xdr:row>
      <xdr:rowOff>0</xdr:rowOff>
    </xdr:from>
    <xdr:to>
      <xdr:col>11</xdr:col>
      <xdr:colOff>580524</xdr:colOff>
      <xdr:row>91</xdr:row>
      <xdr:rowOff>85436</xdr:rowOff>
    </xdr:to>
    <xdr:pic>
      <xdr:nvPicPr>
        <xdr:cNvPr id="12" name="图片 11"/>
        <xdr:cNvPicPr>
          <a:picLocks noChangeAspect="1"/>
        </xdr:cNvPicPr>
      </xdr:nvPicPr>
      <xdr:blipFill>
        <a:blip xmlns:r="http://schemas.openxmlformats.org/officeDocument/2006/relationships" r:embed="rId8"/>
        <a:stretch>
          <a:fillRect/>
        </a:stretch>
      </xdr:blipFill>
      <xdr:spPr>
        <a:xfrm>
          <a:off x="4114800" y="13373100"/>
          <a:ext cx="4009524" cy="2314286"/>
        </a:xfrm>
        <a:prstGeom prst="rect">
          <a:avLst/>
        </a:prstGeom>
      </xdr:spPr>
    </xdr:pic>
    <xdr:clientData/>
  </xdr:twoCellAnchor>
  <xdr:twoCellAnchor editAs="oneCell">
    <xdr:from>
      <xdr:col>6</xdr:col>
      <xdr:colOff>0</xdr:colOff>
      <xdr:row>93</xdr:row>
      <xdr:rowOff>0</xdr:rowOff>
    </xdr:from>
    <xdr:to>
      <xdr:col>11</xdr:col>
      <xdr:colOff>485286</xdr:colOff>
      <xdr:row>113</xdr:row>
      <xdr:rowOff>56714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114800" y="15944850"/>
          <a:ext cx="3914286" cy="3485714"/>
        </a:xfrm>
        <a:prstGeom prst="rect">
          <a:avLst/>
        </a:prstGeom>
      </xdr:spPr>
    </xdr:pic>
    <xdr:clientData/>
  </xdr:twoCellAnchor>
  <xdr:twoCellAnchor editAs="oneCell">
    <xdr:from>
      <xdr:col>0</xdr:col>
      <xdr:colOff>0</xdr:colOff>
      <xdr:row>102</xdr:row>
      <xdr:rowOff>0</xdr:rowOff>
    </xdr:from>
    <xdr:to>
      <xdr:col>5</xdr:col>
      <xdr:colOff>513857</xdr:colOff>
      <xdr:row>122</xdr:row>
      <xdr:rowOff>37667</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17487900"/>
          <a:ext cx="3942857" cy="3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198971</xdr:colOff>
      <xdr:row>24</xdr:row>
      <xdr:rowOff>113771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28571" cy="4228571"/>
        </a:xfrm>
        <a:prstGeom prst="rect">
          <a:avLst/>
        </a:prstGeom>
      </xdr:spPr>
    </xdr:pic>
    <xdr:clientData/>
  </xdr:twoCellAnchor>
  <xdr:twoCellAnchor editAs="oneCell">
    <xdr:from>
      <xdr:col>12</xdr:col>
      <xdr:colOff>190500</xdr:colOff>
      <xdr:row>0</xdr:row>
      <xdr:rowOff>0</xdr:rowOff>
    </xdr:from>
    <xdr:to>
      <xdr:col>17</xdr:col>
      <xdr:colOff>247214</xdr:colOff>
      <xdr:row>14</xdr:row>
      <xdr:rowOff>113986</xdr:rowOff>
    </xdr:to>
    <xdr:pic>
      <xdr:nvPicPr>
        <xdr:cNvPr id="3" name="图片 2"/>
        <xdr:cNvPicPr>
          <a:picLocks noChangeAspect="1"/>
        </xdr:cNvPicPr>
      </xdr:nvPicPr>
      <xdr:blipFill>
        <a:blip xmlns:r="http://schemas.openxmlformats.org/officeDocument/2006/relationships" r:embed="rId2"/>
        <a:stretch>
          <a:fillRect/>
        </a:stretch>
      </xdr:blipFill>
      <xdr:spPr>
        <a:xfrm>
          <a:off x="8420100" y="0"/>
          <a:ext cx="3485714" cy="2514286"/>
        </a:xfrm>
        <a:prstGeom prst="rect">
          <a:avLst/>
        </a:prstGeom>
      </xdr:spPr>
    </xdr:pic>
    <xdr:clientData/>
  </xdr:twoCellAnchor>
  <xdr:twoCellAnchor editAs="oneCell">
    <xdr:from>
      <xdr:col>0</xdr:col>
      <xdr:colOff>0</xdr:colOff>
      <xdr:row>25</xdr:row>
      <xdr:rowOff>0</xdr:rowOff>
    </xdr:from>
    <xdr:to>
      <xdr:col>11</xdr:col>
      <xdr:colOff>218105</xdr:colOff>
      <xdr:row>53</xdr:row>
      <xdr:rowOff>85114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7761905" cy="4885714"/>
        </a:xfrm>
        <a:prstGeom prst="rect">
          <a:avLst/>
        </a:prstGeom>
      </xdr:spPr>
    </xdr:pic>
    <xdr:clientData/>
  </xdr:twoCellAnchor>
  <xdr:twoCellAnchor editAs="oneCell">
    <xdr:from>
      <xdr:col>0</xdr:col>
      <xdr:colOff>0</xdr:colOff>
      <xdr:row>54</xdr:row>
      <xdr:rowOff>0</xdr:rowOff>
    </xdr:from>
    <xdr:to>
      <xdr:col>11</xdr:col>
      <xdr:colOff>180009</xdr:colOff>
      <xdr:row>76</xdr:row>
      <xdr:rowOff>151909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258300"/>
          <a:ext cx="7723809" cy="39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3/N4wi"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北京市朝阳区建国路管庄6号其他商服用房房地产抵押价值预评估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受贵公司委托，我公司对北京市朝阳区建国路管庄6号其他商服用房房地产抵押价值进行了预评估。</v>
      </c>
    </row>
    <row r="7" spans="1:2" s="1202" customFormat="1">
      <c r="A7" s="1200" t="s">
        <v>566</v>
      </c>
      <c r="B7" s="1201" t="str">
        <f>'预评函-1'!A7</f>
        <v>估价对象为北京市朝阳区建国路管庄6号其他商服用房房地产，为所有。根据《国有土地使用证》[]，估价对象（分摊）出让国有建设用地使用权面积为2957.47平方米，建筑面积为4704.86平方米。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建国路管庄6号其他商服用房房地产,属开发建设的综合项目（商业、办公），该项目尚在开发建设中。根据《国有土地使用证》[]，估价对象（分摊）出让国有建设用地使用权面积为2957.47平方米，规划建筑面积为4704.86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朝阳区建国路管庄6号其他商服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2024年7月23日（评估专业人员实地查勘之日）</v>
      </c>
    </row>
    <row r="13" spans="1:2" s="1202" customFormat="1">
      <c r="A13" s="1200" t="s">
        <v>529</v>
      </c>
      <c r="B13" s="1201" t="str">
        <f>'预评函-1'!A18</f>
        <v>本次估价的“房地产价值”是指在正常市场情况下，在价值时点2024年7月23日，估价对象规划用途为，土地取得方式为划拨，假定未设立法定优先受偿款下的房地产市场价值。</v>
      </c>
    </row>
    <row r="14" spans="1:2" s="1202" customFormat="1">
      <c r="A14" s="1200" t="s">
        <v>530</v>
      </c>
      <c r="B14" s="1201" t="str">
        <f>'预评函-1'!A19</f>
        <v>其中，“划拨国有建设用地使用权价值”是指估价对象用途为，实际开发程度为宗地红线外“七通”（即通路、通电、通讯、通上水、通下水、通热、）、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11092</v>
      </c>
    </row>
    <row r="21" spans="1:2" s="1202" customFormat="1">
      <c r="A21" s="1200" t="s">
        <v>537</v>
      </c>
      <c r="B21" s="1201">
        <f ca="1">'预评函-2'!D7</f>
        <v>23576</v>
      </c>
    </row>
    <row r="22" spans="1:2" s="1202" customFormat="1">
      <c r="A22" s="1200" t="s">
        <v>538</v>
      </c>
      <c r="B22" s="1201" t="str">
        <f ca="1">'预评函-2'!D6</f>
        <v>壹亿壹仟零玖拾贰万元整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11092</v>
      </c>
    </row>
    <row r="31" spans="1:2" s="1202" customFormat="1">
      <c r="A31" s="1200" t="s">
        <v>576</v>
      </c>
      <c r="B31" s="1201">
        <f ca="1">'预评函-2'!D15</f>
        <v>23576</v>
      </c>
    </row>
    <row r="32" spans="1:2" s="1202" customFormat="1">
      <c r="A32" s="1200" t="s">
        <v>543</v>
      </c>
      <c r="B32" s="1201" t="str">
        <f ca="1">'预评函-2'!D14</f>
        <v>壹亿壹仟零玖拾贰万元整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北京市朝阳区建国路管庄6号其他商服用房房地产</v>
      </c>
    </row>
    <row r="42" spans="1:2" s="1202" customFormat="1">
      <c r="A42" s="1200" t="s">
        <v>590</v>
      </c>
      <c r="B42" s="1201" t="str">
        <f>'预评函-3'!B2</f>
        <v>建筑面积</v>
      </c>
    </row>
    <row r="43" spans="1:2" s="1202" customFormat="1">
      <c r="A43" s="1200" t="s">
        <v>591</v>
      </c>
      <c r="B43" s="1201">
        <f>'预评函-3'!B4</f>
        <v>4704.8599999999997</v>
      </c>
    </row>
    <row r="44" spans="1:2" s="1202" customFormat="1">
      <c r="A44" s="1200" t="s">
        <v>575</v>
      </c>
      <c r="B44" s="1201" t="str">
        <f>'预评函-3'!C2</f>
        <v>(分摊)土地面积</v>
      </c>
    </row>
    <row r="45" spans="1:2" s="1202" customFormat="1">
      <c r="A45" s="1200" t="s">
        <v>547</v>
      </c>
      <c r="B45" s="1201">
        <f>'预评函-3'!C4</f>
        <v>2957.47</v>
      </c>
    </row>
    <row r="46" spans="1:2" s="1202" customFormat="1">
      <c r="A46" s="1200" t="s">
        <v>573</v>
      </c>
      <c r="B46" s="1201" t="str">
        <f>'预评函-3'!D2</f>
        <v>划拨国有建设用地使用权价值</v>
      </c>
    </row>
    <row r="47" spans="1:2" s="1202" customFormat="1">
      <c r="A47" s="1200" t="s">
        <v>548</v>
      </c>
      <c r="B47" s="1201">
        <f ca="1">'预评函-3'!D4</f>
        <v>9394</v>
      </c>
    </row>
    <row r="48" spans="1:2" s="1202" customFormat="1">
      <c r="A48" s="1200" t="s">
        <v>549</v>
      </c>
      <c r="B48" s="1201">
        <f ca="1">'预评函-3'!E4</f>
        <v>19967</v>
      </c>
    </row>
    <row r="49" spans="1:2" s="1202" customFormat="1">
      <c r="A49" s="1200" t="s">
        <v>550</v>
      </c>
      <c r="B49" s="1201" t="str">
        <f ca="1">'预评函-3'!D5</f>
        <v>玖仟叁佰玖拾肆万元整</v>
      </c>
    </row>
    <row r="50" spans="1:2" s="1202" customFormat="1">
      <c r="A50" s="1200" t="s">
        <v>574</v>
      </c>
      <c r="B50" s="1201" t="str">
        <f>'预评函-3'!F2</f>
        <v>建筑物价值</v>
      </c>
    </row>
    <row r="51" spans="1:2" s="1202" customFormat="1">
      <c r="A51" s="1200" t="s">
        <v>551</v>
      </c>
      <c r="B51" s="1201">
        <f ca="1">'预评函-3'!F4</f>
        <v>1698</v>
      </c>
    </row>
    <row r="52" spans="1:2" s="1202" customFormat="1">
      <c r="A52" s="1200" t="s">
        <v>552</v>
      </c>
      <c r="B52" s="1201">
        <f ca="1">'预评函-3'!G4</f>
        <v>3609</v>
      </c>
    </row>
    <row r="53" spans="1:2" s="1202" customFormat="1">
      <c r="A53" s="1200" t="s">
        <v>580</v>
      </c>
      <c r="B53" s="1201" t="str">
        <f ca="1">'预评函-3'!F5</f>
        <v>壹仟陆佰玖拾捌万元整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2575</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2576</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2287</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路管庄6号其他商服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3" t="s">
        <v>385</v>
      </c>
      <c r="C54" s="1550" t="s">
        <v>583</v>
      </c>
    </row>
    <row r="55" spans="1:4">
      <c r="A55" s="3518"/>
      <c r="B55" s="1553" t="s">
        <v>386</v>
      </c>
      <c r="C55" s="1550" t="s">
        <v>584</v>
      </c>
    </row>
    <row r="56" spans="1:4">
      <c r="A56" s="3518"/>
      <c r="B56" s="1553" t="s">
        <v>387</v>
      </c>
      <c r="C56" s="1550" t="s">
        <v>588</v>
      </c>
    </row>
    <row r="57" spans="1:4">
      <c r="A57" s="351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19" t="s">
        <v>2578</v>
      </c>
      <c r="J2" s="3519"/>
      <c r="K2" s="3519"/>
      <c r="L2" s="3519"/>
      <c r="M2" s="3519"/>
      <c r="N2" s="3519"/>
      <c r="O2" s="3519"/>
      <c r="P2" s="3519"/>
      <c r="Q2" s="3519"/>
      <c r="R2" s="3519"/>
    </row>
    <row r="3" spans="1:18">
      <c r="A3" s="3019" t="s">
        <v>2499</v>
      </c>
      <c r="B3" s="3020">
        <f>项目基本情况!D3</f>
        <v>45496</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2.4</v>
      </c>
      <c r="D5" s="3024">
        <f>IF(ISERROR(ROUND(POWER(1+E5,A5-C5)*(POWER(1+E5,C5)-1)/(POWER(1+E5,A5)-1),3)),0,ROUND(POWER(1+E5,A5-C5)*(POWER(1+E5,C5)-1)/(POWER(1+E5,A5)-1),4))</f>
        <v>0.1135</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12.41</v>
      </c>
      <c r="D6" s="3024">
        <f>IF(ISERROR(ROUND(POWER(1+E6,A6-C6)*(POWER(1+E6,C6)-1)/(POWER(1+E6,A6)-1),3)),0,ROUND(POWER(1+E6,A6-C6)*(POWER(1+E6,C6)-1)/(POWER(1+E6,A6)-1),4))</f>
        <v>0.44850000000000001</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32.43</v>
      </c>
      <c r="D7" s="3024">
        <f>IF(ISERROR(ROUND(POWER(1+E7,A7-C7)*(POWER(1+E7,C7)-1)/(POWER(1+E7,A7)-1),3)),0,ROUND(POWER(1+E7,A7-C7)*(POWER(1+E7,C7)-1)/(POWER(1+E7,A7)-1),4))</f>
        <v>0.76910000000000001</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4.25" thickBot="1">
      <c r="A18" s="3030" t="s">
        <v>2514</v>
      </c>
      <c r="B18" s="3031">
        <f>ROUND(B17*F11/F12,2)</f>
        <v>5541.87</v>
      </c>
      <c r="C18" s="3031">
        <f>ROUND(F11/F12,4)</f>
        <v>1.1521999999999999</v>
      </c>
      <c r="D18" s="3032"/>
      <c r="E18" s="3032"/>
      <c r="F18" s="3033"/>
    </row>
    <row r="19" spans="1:13" ht="14.25" thickBot="1"/>
    <row r="20" spans="1:13" s="3068" customFormat="1" ht="14.2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4.2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2" sqref="D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2162</v>
      </c>
      <c r="B1" s="3520" t="str">
        <f>IF(B10="北京市","北京市",C10)&amp;F10&amp;IF(结果表!G1="在建","出让国有建设用地使用权及在建建筑物",IF(结果表!G1="土地","出让国有建设用地使用权",))&amp;B9&amp;"预评估"</f>
        <v>北京市朝阳区建国路管庄6号其他商服用房房地产抵押价值预评估</v>
      </c>
      <c r="C1" s="3521"/>
      <c r="D1" s="3521"/>
      <c r="E1" s="3521"/>
      <c r="F1" s="3521"/>
      <c r="G1" s="3521"/>
      <c r="H1" s="3521"/>
      <c r="I1" s="352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北京市朝阳区建国路管庄6号其他商服用房房地产抵押价值</v>
      </c>
      <c r="T1" s="1744"/>
      <c r="U1" s="1744"/>
      <c r="V1" s="1744"/>
      <c r="W1" s="1744"/>
      <c r="X1" s="1744"/>
      <c r="Y1" s="1744"/>
      <c r="Z1" s="1744"/>
      <c r="AA1" s="1744"/>
      <c r="AB1" s="1744"/>
    </row>
    <row r="2" spans="1:30">
      <c r="A2" s="2366" t="s">
        <v>2163</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北京市朝阳区建国路管庄6号其他商服用房房地产</v>
      </c>
      <c r="T2" s="1744"/>
      <c r="U2" s="1744"/>
      <c r="V2" s="1744"/>
      <c r="W2" s="1744"/>
      <c r="X2" s="1744"/>
      <c r="Y2" s="1744"/>
      <c r="Z2" s="1744"/>
      <c r="AA2" s="1744"/>
      <c r="AB2" s="1744"/>
    </row>
    <row r="3" spans="1:30">
      <c r="A3" s="302" t="s">
        <v>2164</v>
      </c>
      <c r="B3" s="2372">
        <v>45496</v>
      </c>
      <c r="C3" s="2373" t="s">
        <v>2165</v>
      </c>
      <c r="D3" s="2372">
        <f>B3</f>
        <v>45496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2166</v>
      </c>
      <c r="B4" s="2374" t="s">
        <v>3855</v>
      </c>
      <c r="C4" s="2375">
        <f ca="1">SUMIF(注册房地产估价师,B4,估价师及机构信息!B3:B24)</f>
        <v>1120070131</v>
      </c>
      <c r="D4" s="2374" t="s">
        <v>3856</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2167</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2168</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2169</v>
      </c>
      <c r="B7" s="2386"/>
      <c r="C7" s="2384"/>
      <c r="D7" s="2385"/>
      <c r="E7" s="2661"/>
      <c r="F7" s="2663"/>
      <c r="G7" s="2663"/>
      <c r="H7" s="2663"/>
      <c r="I7" s="2663"/>
      <c r="J7" s="2438"/>
      <c r="K7" s="2615"/>
      <c r="L7" s="2612"/>
      <c r="M7" s="2612"/>
      <c r="N7" s="2438"/>
      <c r="O7" s="2449"/>
      <c r="P7" s="2438"/>
      <c r="Q7" s="2438"/>
      <c r="R7" s="2438"/>
    </row>
    <row r="8" spans="1:30">
      <c r="A8" s="2387" t="s">
        <v>2170</v>
      </c>
      <c r="B8" s="2388" t="s">
        <v>3376</v>
      </c>
      <c r="C8" s="2389"/>
      <c r="D8" s="3523" t="s">
        <v>2171</v>
      </c>
      <c r="E8" s="2390" t="s">
        <v>3377</v>
      </c>
      <c r="F8" s="2391"/>
      <c r="G8" s="2662"/>
      <c r="H8" s="2662"/>
      <c r="I8" s="2662"/>
      <c r="J8" s="2438"/>
      <c r="K8" s="2613"/>
      <c r="L8" s="2612"/>
      <c r="M8" s="2612"/>
      <c r="N8" s="2438"/>
      <c r="O8" s="2449"/>
      <c r="P8" s="2438"/>
      <c r="Q8" s="2438"/>
      <c r="R8" s="2438"/>
    </row>
    <row r="9" spans="1:30" ht="13.5" thickBot="1">
      <c r="A9" s="2392" t="s">
        <v>2172</v>
      </c>
      <c r="B9" s="2393" t="s">
        <v>3377</v>
      </c>
      <c r="C9" s="2394"/>
      <c r="D9" s="3524"/>
      <c r="E9" s="2393"/>
      <c r="F9" s="2395"/>
      <c r="G9" s="2664"/>
      <c r="H9" s="2664"/>
      <c r="I9" s="2664"/>
      <c r="J9" s="2438"/>
      <c r="K9" s="2615"/>
      <c r="L9" s="2612"/>
      <c r="M9" s="2612"/>
      <c r="N9" s="2438"/>
      <c r="O9" s="2449"/>
      <c r="P9" s="2438"/>
      <c r="Q9" s="2438"/>
      <c r="R9" s="2438"/>
    </row>
    <row r="10" spans="1:30" ht="13.5" thickTop="1">
      <c r="A10" s="2396" t="s">
        <v>2173</v>
      </c>
      <c r="B10" s="2397" t="s">
        <v>3378</v>
      </c>
      <c r="C10" s="2398"/>
      <c r="D10" s="2381"/>
      <c r="E10" s="2399" t="s">
        <v>2174</v>
      </c>
      <c r="F10" s="2665" t="s">
        <v>3483</v>
      </c>
      <c r="G10" s="2666"/>
      <c r="H10" s="2667"/>
      <c r="I10" s="2668"/>
      <c r="J10" s="2438"/>
      <c r="K10" s="2615"/>
      <c r="L10" s="2612"/>
      <c r="M10" s="2612"/>
      <c r="N10" s="2438"/>
      <c r="O10" s="2449"/>
      <c r="P10" s="2438"/>
      <c r="Q10" s="2438"/>
      <c r="R10" s="2438"/>
    </row>
    <row r="11" spans="1:30">
      <c r="A11" s="2400" t="s">
        <v>2175</v>
      </c>
      <c r="B11" s="2401" t="s">
        <v>3380</v>
      </c>
      <c r="C11" s="2402"/>
      <c r="D11" s="2403"/>
      <c r="E11" s="2369"/>
      <c r="F11" s="2369"/>
      <c r="G11" s="2369"/>
      <c r="H11" s="2369"/>
      <c r="I11" s="2369"/>
      <c r="J11" s="3060"/>
      <c r="K11" s="3059"/>
      <c r="L11" s="2612"/>
      <c r="M11" s="2612"/>
      <c r="N11" s="2438"/>
      <c r="O11" s="2449"/>
      <c r="P11" s="2438"/>
      <c r="Q11" s="2438"/>
      <c r="R11" s="2438"/>
    </row>
    <row r="12" spans="1:30">
      <c r="A12" s="2404" t="s">
        <v>2176</v>
      </c>
      <c r="B12" s="323" t="s">
        <v>2177</v>
      </c>
      <c r="C12" s="2405" t="s">
        <v>2178</v>
      </c>
      <c r="D12" s="2405" t="s">
        <v>2179</v>
      </c>
      <c r="E12" s="2405" t="s">
        <v>2180</v>
      </c>
      <c r="F12" s="2405" t="s">
        <v>2181</v>
      </c>
      <c r="G12" s="2405" t="s">
        <v>2182</v>
      </c>
      <c r="H12" s="2405" t="s">
        <v>2183</v>
      </c>
      <c r="I12" s="3058" t="s">
        <v>2574</v>
      </c>
      <c r="J12" s="3061"/>
      <c r="K12" s="2612"/>
      <c r="L12" s="2612"/>
      <c r="M12" s="2438"/>
      <c r="N12" s="2449"/>
      <c r="O12" s="2438"/>
      <c r="P12" s="2438"/>
      <c r="Q12" s="2438"/>
      <c r="AD12" s="1744"/>
    </row>
    <row r="13" spans="1:30">
      <c r="A13" s="3422" t="s">
        <v>3379</v>
      </c>
      <c r="B13" s="2406" t="s">
        <v>2184</v>
      </c>
      <c r="C13" s="856"/>
      <c r="D13" s="3448">
        <v>58200</v>
      </c>
      <c r="E13" s="856"/>
      <c r="F13" s="856"/>
      <c r="G13" s="856"/>
      <c r="H13" s="856"/>
      <c r="I13" s="856"/>
      <c r="J13" s="3061"/>
      <c r="K13" s="2612"/>
      <c r="L13" s="2612"/>
      <c r="M13" s="2438"/>
      <c r="N13" s="2449"/>
      <c r="O13" s="2438"/>
      <c r="P13" s="2438"/>
      <c r="Q13" s="2438"/>
      <c r="AD13" s="1744"/>
    </row>
    <row r="14" spans="1:30">
      <c r="A14" s="1081"/>
      <c r="B14" s="2406" t="s">
        <v>2185</v>
      </c>
      <c r="C14" s="2407"/>
      <c r="D14" s="2407">
        <v>40</v>
      </c>
      <c r="E14" s="2407"/>
      <c r="F14" s="2407"/>
      <c r="G14" s="2407"/>
      <c r="H14" s="2407"/>
      <c r="I14" s="2407"/>
      <c r="J14" s="3062"/>
      <c r="K14" s="2612"/>
      <c r="L14" s="2612"/>
      <c r="M14" s="2438"/>
      <c r="N14" s="2449"/>
      <c r="O14" s="2438"/>
      <c r="P14" s="2438"/>
      <c r="Q14" s="2438"/>
      <c r="AD14" s="1744"/>
    </row>
    <row r="15" spans="1:30">
      <c r="A15" s="320"/>
      <c r="B15" s="2408" t="s">
        <v>2186</v>
      </c>
      <c r="C15" s="2409">
        <f>IF(A13="出让",IF(C13="","",ROUNDDOWN(MIN((C13-$D$3)/365,C14),2)),C14)</f>
        <v>0</v>
      </c>
      <c r="D15" s="2409">
        <f>IF(A13="出让",IF(D13="","",ROUNDDOWN(MIN((D13-$D$3)/365,D14),2)),D14)</f>
        <v>40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3"/>
      <c r="K15" s="2450"/>
      <c r="L15" s="2450"/>
      <c r="M15" s="2508"/>
      <c r="N15" s="2450"/>
      <c r="O15" s="2508"/>
      <c r="P15" s="2438"/>
      <c r="Q15" s="2438"/>
      <c r="AD15" s="1744"/>
    </row>
    <row r="16" spans="1:30">
      <c r="A16" s="2399" t="s">
        <v>2187</v>
      </c>
      <c r="B16" s="3530"/>
      <c r="C16" s="3531"/>
      <c r="D16" s="3532"/>
      <c r="E16" s="2412" t="s">
        <v>2188</v>
      </c>
      <c r="F16" s="3533"/>
      <c r="G16" s="3534"/>
      <c r="H16" s="3534"/>
      <c r="I16" s="3535"/>
      <c r="J16" s="2438"/>
      <c r="K16" s="2616"/>
      <c r="L16" s="2450"/>
      <c r="M16" s="2450"/>
      <c r="N16" s="2508"/>
      <c r="O16" s="2450"/>
      <c r="P16" s="2508"/>
      <c r="Q16" s="2438"/>
      <c r="R16" s="2438"/>
    </row>
    <row r="17" spans="1:28">
      <c r="A17" s="313" t="s">
        <v>2189</v>
      </c>
      <c r="B17" s="302" t="s">
        <v>2190</v>
      </c>
      <c r="C17" s="8">
        <f>'数据-汇总表'!E3</f>
        <v>4704.8599999999997</v>
      </c>
      <c r="D17" s="2321" t="s">
        <v>2191</v>
      </c>
      <c r="E17" s="3536" t="s">
        <v>2192</v>
      </c>
      <c r="F17" s="3537"/>
      <c r="G17" s="3537"/>
      <c r="H17" s="3537"/>
      <c r="I17" s="3538"/>
      <c r="J17" s="2438"/>
      <c r="K17" s="2617"/>
      <c r="L17" s="2450"/>
      <c r="M17" s="2450"/>
      <c r="N17" s="2508"/>
      <c r="O17" s="2450"/>
      <c r="P17" s="2508"/>
      <c r="Q17" s="2438"/>
      <c r="R17" s="2438"/>
      <c r="S17" s="2438"/>
      <c r="T17" s="2438"/>
      <c r="U17" s="2438"/>
      <c r="V17" s="2438"/>
    </row>
    <row r="18" spans="1:28" ht="24.75" thickBot="1">
      <c r="A18" s="2413" t="s">
        <v>2193</v>
      </c>
      <c r="B18" s="1090" t="s">
        <v>2194</v>
      </c>
      <c r="C18" s="2414">
        <f>'数据-汇总表'!D3</f>
        <v>2957.47</v>
      </c>
      <c r="D18" s="1092" t="s">
        <v>2195</v>
      </c>
      <c r="E18" s="3539" t="s">
        <v>2196</v>
      </c>
      <c r="F18" s="3540"/>
      <c r="G18" s="3540"/>
      <c r="H18" s="3540"/>
      <c r="I18" s="3541"/>
      <c r="J18" s="2438"/>
      <c r="K18" s="2617"/>
      <c r="L18" s="2450"/>
      <c r="M18" s="2450"/>
      <c r="N18" s="2508"/>
      <c r="O18" s="2450"/>
      <c r="P18" s="2508"/>
      <c r="Q18" s="2438"/>
      <c r="R18" s="2438"/>
      <c r="S18" s="2438"/>
      <c r="T18" s="2438"/>
      <c r="U18" s="2438"/>
      <c r="V18" s="2438"/>
    </row>
    <row r="19" spans="1:28" ht="37.5" thickTop="1" thickBot="1">
      <c r="A19" s="327" t="s">
        <v>1055</v>
      </c>
      <c r="B19" s="307" t="s">
        <v>2197</v>
      </c>
      <c r="C19" s="1562"/>
      <c r="D19" s="1563" t="s">
        <v>2198</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2199</v>
      </c>
      <c r="B20" s="3526" t="s">
        <v>2200</v>
      </c>
      <c r="C20" s="3527"/>
      <c r="D20" s="3528" t="s">
        <v>2201</v>
      </c>
      <c r="E20" s="3529"/>
      <c r="F20" s="2646" t="s">
        <v>1056</v>
      </c>
      <c r="G20" s="2663"/>
      <c r="H20" s="2663"/>
      <c r="I20" s="2663"/>
      <c r="J20" s="2438"/>
      <c r="K20" s="3525" t="s">
        <v>2202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2203</v>
      </c>
      <c r="C21" s="2633" t="s">
        <v>1057</v>
      </c>
      <c r="D21" s="1567" t="s">
        <v>2204</v>
      </c>
      <c r="E21" s="2634" t="s">
        <v>1057</v>
      </c>
      <c r="F21" s="2647"/>
      <c r="G21" s="2663"/>
      <c r="H21" s="2663"/>
      <c r="I21" s="2663"/>
      <c r="J21" s="2438"/>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2205</v>
      </c>
      <c r="C22" s="2633" t="s">
        <v>1058</v>
      </c>
      <c r="D22" s="2662"/>
      <c r="E22" s="2662"/>
      <c r="F22" s="2662"/>
      <c r="G22" s="2663"/>
      <c r="H22" s="2663"/>
      <c r="I22" s="2663"/>
      <c r="J22" s="2438"/>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2206</v>
      </c>
      <c r="B23" s="2501" t="s">
        <v>2207</v>
      </c>
      <c r="C23" s="2637"/>
      <c r="D23" s="2638" t="s">
        <v>2207</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3" t="s">
        <v>2208</v>
      </c>
      <c r="B27" s="320" t="s">
        <v>2209</v>
      </c>
      <c r="C27" s="2415" t="s">
        <v>3381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3"/>
      <c r="B28" s="302" t="s">
        <v>2210</v>
      </c>
      <c r="C28" s="2417" t="s">
        <v>3382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3"/>
      <c r="B29" s="302" t="s">
        <v>2211</v>
      </c>
      <c r="C29" s="2419" t="s">
        <v>3383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4"/>
      <c r="B30" s="302" t="s">
        <v>2212</v>
      </c>
      <c r="C30" s="3545"/>
      <c r="D30" s="3546"/>
      <c r="E30" s="2663"/>
      <c r="F30" s="2663"/>
      <c r="G30" s="2663"/>
      <c r="H30" s="2663"/>
      <c r="I30" s="2663"/>
      <c r="J30" s="2438"/>
      <c r="K30" s="2615"/>
      <c r="L30" s="2612"/>
      <c r="M30" s="2612"/>
      <c r="N30" s="2438"/>
      <c r="O30" s="2449"/>
      <c r="P30" s="2438"/>
      <c r="Q30" s="2438"/>
      <c r="R30" s="2438"/>
      <c r="S30" s="2438"/>
      <c r="T30" s="2438"/>
      <c r="U30" s="2438"/>
      <c r="V30" s="2438"/>
    </row>
    <row r="31" spans="1:28">
      <c r="A31" s="3547" t="s">
        <v>2213</v>
      </c>
      <c r="B31" s="2421" t="s">
        <v>3384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2214</v>
      </c>
      <c r="B34" s="2025" t="s">
        <v>3385</v>
      </c>
      <c r="C34" s="2025" t="s">
        <v>3386</v>
      </c>
      <c r="D34" s="2025" t="s">
        <v>3387</v>
      </c>
      <c r="E34" s="2025" t="s">
        <v>3388</v>
      </c>
      <c r="F34" s="2025" t="s">
        <v>3389</v>
      </c>
      <c r="G34" s="2025" t="s">
        <v>3390</v>
      </c>
      <c r="H34" s="2025"/>
      <c r="I34" s="2663"/>
      <c r="J34" s="2438"/>
      <c r="K34" s="2426">
        <f>COUNTIF(B34:H34,"——")</f>
        <v>0</v>
      </c>
      <c r="L34" s="323" t="s">
        <v>2215</v>
      </c>
      <c r="M34" s="323" t="s">
        <v>2216</v>
      </c>
      <c r="N34" s="323" t="s">
        <v>2217</v>
      </c>
      <c r="O34" s="323" t="s">
        <v>2218</v>
      </c>
      <c r="P34" s="323" t="s">
        <v>2219</v>
      </c>
      <c r="Q34" s="323" t="s">
        <v>2220</v>
      </c>
      <c r="R34" s="323" t="s">
        <v>2221</v>
      </c>
      <c r="S34" s="3542" t="s">
        <v>2222</v>
      </c>
      <c r="T34" s="2427" t="str">
        <f>NUMBERSTRING(7-K34,1)&amp;"通"</f>
        <v>七通</v>
      </c>
      <c r="U34" s="2438"/>
      <c r="V34" s="2438"/>
    </row>
    <row r="35" spans="1:30">
      <c r="A35" s="2428"/>
      <c r="B35" s="3549" t="s">
        <v>2223</v>
      </c>
      <c r="C35" s="3549"/>
      <c r="D35" s="3549"/>
      <c r="E35" s="3549"/>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v>
      </c>
      <c r="S35" s="3542"/>
      <c r="T35" s="329" t="str">
        <f>IF(T34="一通",L35,IF(T34="二通",M35,IF(T34="三通",N35,IF(T34="四通",O35,IF(T34="五通",P35,IF(T34="六通",Q35,R35))))))</f>
        <v>通路、通电、通讯、通上水、通下水、通热、</v>
      </c>
      <c r="U35" s="2438"/>
      <c r="V35" s="2438"/>
    </row>
    <row r="36" spans="1:30">
      <c r="A36" s="2429"/>
      <c r="B36" s="664" t="s">
        <v>2179</v>
      </c>
      <c r="C36" s="664" t="s">
        <v>2180</v>
      </c>
      <c r="D36" s="664" t="s">
        <v>2178</v>
      </c>
      <c r="E36" s="664" t="s">
        <v>2183</v>
      </c>
      <c r="F36" s="3064" t="s">
        <v>2577</v>
      </c>
      <c r="G36" s="2663"/>
      <c r="H36" s="2663"/>
      <c r="I36" s="2663"/>
      <c r="J36" s="2438"/>
      <c r="K36" s="2615"/>
      <c r="L36" s="2612"/>
      <c r="M36" s="2612"/>
      <c r="N36" s="2438"/>
      <c r="O36" s="2449"/>
      <c r="P36" s="2438"/>
      <c r="Q36" s="2438"/>
      <c r="R36" s="2438"/>
      <c r="S36" s="2438"/>
      <c r="T36" s="2438"/>
      <c r="U36" s="2438"/>
      <c r="V36" s="2438"/>
    </row>
    <row r="37" spans="1:30">
      <c r="A37" s="2629" t="s">
        <v>2224</v>
      </c>
      <c r="B37" s="2430" t="s">
        <v>29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2225</v>
      </c>
      <c r="B38" s="2431" t="s">
        <v>248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2226</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2227</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2228</v>
      </c>
      <c r="B42" s="8" t="s">
        <v>2229</v>
      </c>
      <c r="C42" s="8" t="s">
        <v>2230</v>
      </c>
      <c r="D42" s="8" t="s">
        <v>2231</v>
      </c>
      <c r="E42" s="8" t="s">
        <v>2232</v>
      </c>
      <c r="F42" s="8" t="s">
        <v>2233</v>
      </c>
      <c r="G42" s="8" t="s">
        <v>2234</v>
      </c>
      <c r="H42" s="8" t="s">
        <v>2235</v>
      </c>
      <c r="I42" s="8" t="s">
        <v>2236</v>
      </c>
      <c r="J42" s="2625" t="s">
        <v>2237</v>
      </c>
      <c r="K42" s="2626" t="s">
        <v>2238</v>
      </c>
      <c r="L42" s="2626" t="s">
        <v>2239</v>
      </c>
      <c r="M42" s="2626" t="s">
        <v>2240</v>
      </c>
      <c r="N42" s="2619" t="s">
        <v>2241</v>
      </c>
      <c r="O42" s="2619" t="s">
        <v>2242</v>
      </c>
      <c r="P42" s="2619" t="s">
        <v>2243</v>
      </c>
      <c r="Q42" s="2620" t="s">
        <v>2244</v>
      </c>
      <c r="R42" s="2620" t="s">
        <v>2245</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2957.47</v>
      </c>
      <c r="B3" s="11">
        <f>IF(C3="否",G5-AT5,G5)</f>
        <v>4704.8599999999997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4704.8599999999997</v>
      </c>
      <c r="H5" s="13">
        <f t="shared" ref="H5:AT5" si="0">SUM(H13:H656)</f>
        <v>4704.8599999999997</v>
      </c>
      <c r="I5" s="13">
        <f t="shared" si="0"/>
        <v>4704.8599999999997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4704.8599999999997</v>
      </c>
      <c r="BA5" s="15">
        <f t="shared" si="1"/>
        <v>4704.8599999999997</v>
      </c>
      <c r="BB5" s="15">
        <f t="shared" si="1"/>
        <v>4704.8599999999997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2957.47</v>
      </c>
      <c r="F6" s="13" t="s">
        <v>0</v>
      </c>
      <c r="G6" s="13" t="s">
        <v>1</v>
      </c>
      <c r="H6" s="17">
        <f>SUMIF(I$12:AB$12,"总值",I6:AB6)</f>
        <v>2957.47</v>
      </c>
      <c r="I6" s="13">
        <f t="shared" ref="I6:AB6" si="2">ROUND($A$3*I5/$B$3,2)</f>
        <v>2957.47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2957.47</v>
      </c>
      <c r="AZ6" s="13" t="s">
        <v>2</v>
      </c>
      <c r="BA6" s="13">
        <f>ROUND($AY$6*BA5/$AZ$5,2)</f>
        <v>2957.47</v>
      </c>
      <c r="BB6" s="13">
        <f>ROUND($AY$6*BB5/$AZ$5,2)</f>
        <v>2957.47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3397</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625"/>
      <c r="C13" s="1051" t="s">
        <v>3392</v>
      </c>
      <c r="D13" s="1624" t="s">
        <v>3391</v>
      </c>
      <c r="E13" s="13">
        <f>IF($C$3="是",ROUND($A$3*G13/$B$3,2),ROUND($A$3*(G13-AT13)/$B$3,2))</f>
        <v>2508.5100000000002</v>
      </c>
      <c r="F13" s="29"/>
      <c r="G13" s="30">
        <f>H13+AC13+AT13</f>
        <v>3990.64</v>
      </c>
      <c r="H13" s="17">
        <f>SUMIF(I$12:AB$12,"总值",I13:AB13)</f>
        <v>3990.64</v>
      </c>
      <c r="I13" s="1625">
        <f>Sheet1!E3+Sheet1!E4+Sheet1!E5+Sheet1!E6</f>
        <v>3990.64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1幢</v>
      </c>
      <c r="AY13" s="1348">
        <f>ROUND($AY$6*AZ13/$AZ$5,2)</f>
        <v>2508.5100000000002</v>
      </c>
      <c r="AZ13" s="13">
        <f>BA13+BL13</f>
        <v>3990.64</v>
      </c>
      <c r="BA13" s="13">
        <f>SUM(BB13:BK13)</f>
        <v>3990.64</v>
      </c>
      <c r="BB13" s="13">
        <f>IF($D13="是",I13-J13,0)</f>
        <v>3990.64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625"/>
      <c r="C14" s="1569" t="s">
        <v>3393</v>
      </c>
      <c r="D14" s="1624" t="s">
        <v>3391</v>
      </c>
      <c r="E14" s="13">
        <f>IF($C$3="是",ROUND($A$3*G14/$B$3,2),ROUND($A$3*(G14-AT14)/$B$3,2))</f>
        <v>9.7899999999999991</v>
      </c>
      <c r="F14" s="29"/>
      <c r="G14" s="30">
        <f>H14+AC14+AT14</f>
        <v>15.57</v>
      </c>
      <c r="H14" s="17">
        <f>SUMIF(I$12:AB$12,"总值",I14:AB14)</f>
        <v>15.57</v>
      </c>
      <c r="I14" s="1625">
        <f>Sheet1!E7</f>
        <v>15.57</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2幢</v>
      </c>
      <c r="AY14" s="1348">
        <f>ROUND($AY$6*AZ14/$AZ$5,2)</f>
        <v>9.7899999999999991</v>
      </c>
      <c r="AZ14" s="13">
        <f>BA14+BL14</f>
        <v>15.57</v>
      </c>
      <c r="BA14" s="13">
        <f>SUM(BB14:BK14)</f>
        <v>15.57</v>
      </c>
      <c r="BB14" s="13">
        <f>IF($D14="是",I14-J14,0)</f>
        <v>15.57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625"/>
      <c r="C15" s="1569" t="s">
        <v>3394</v>
      </c>
      <c r="D15" s="1624" t="s">
        <v>3391</v>
      </c>
      <c r="E15" s="13">
        <f>IF($C$3="是",ROUND($A$3*G15/$B$3,2),ROUND($A$3*(G15-AT15)/$B$3,2))</f>
        <v>180.12</v>
      </c>
      <c r="F15" s="29"/>
      <c r="G15" s="30">
        <f>H15+AC15+AT15</f>
        <v>286.54000000000002</v>
      </c>
      <c r="H15" s="17">
        <f>SUMIF(I$12:AB$12,"总值",I15:AB15)</f>
        <v>286.54000000000002</v>
      </c>
      <c r="I15" s="1625">
        <f>Sheet1!E8</f>
        <v>286.54000000000002</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3幢</v>
      </c>
      <c r="AY15" s="1348">
        <f>ROUND($AY$6*AZ15/$AZ$5,2)</f>
        <v>180.12</v>
      </c>
      <c r="AZ15" s="13">
        <f>BA15+BL15</f>
        <v>286.54000000000002</v>
      </c>
      <c r="BA15" s="13">
        <f>SUM(BB15:BK15)</f>
        <v>286.54000000000002</v>
      </c>
      <c r="BB15" s="13">
        <f>IF($D15="是",I15-J15,0)</f>
        <v>286.54000000000002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625"/>
      <c r="C16" s="1569" t="s">
        <v>3395</v>
      </c>
      <c r="D16" s="1624" t="s">
        <v>3391</v>
      </c>
      <c r="E16" s="13">
        <f>IF($C$3="是",ROUND($A$3*G16/$B$3,2),ROUND($A$3*(G16-AT16)/$B$3,2))</f>
        <v>259.05</v>
      </c>
      <c r="F16" s="29"/>
      <c r="G16" s="30">
        <f>H16+AC16+AT16</f>
        <v>412.11</v>
      </c>
      <c r="H16" s="17">
        <f>SUMIF(I$12:AB$12,"总值",I16:AB16)</f>
        <v>412.11</v>
      </c>
      <c r="I16" s="1625">
        <f>Sheet1!E9+Sheet1!E10</f>
        <v>412.11</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4幢</v>
      </c>
      <c r="AY16" s="1348">
        <f>ROUND($AY$6*AZ16/$AZ$5,2)</f>
        <v>259.05</v>
      </c>
      <c r="AZ16" s="13">
        <f>BA16+BL16</f>
        <v>412.11</v>
      </c>
      <c r="BA16" s="13">
        <f>SUM(BB16:BK16)</f>
        <v>412.11</v>
      </c>
      <c r="BB16" s="13">
        <f>IF($D16="是",I16-J16,0)</f>
        <v>412.11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1"/>
  <sheetViews>
    <sheetView workbookViewId="0">
      <selection activeCell="E9" sqref="E9:E10"/>
    </sheetView>
  </sheetViews>
  <sheetFormatPr defaultRowHeight="13.5"/>
  <sheetData>
    <row r="2" spans="2:8">
      <c r="B2" s="3449" t="s">
        <v>3398</v>
      </c>
      <c r="C2" s="3449" t="s">
        <v>3399</v>
      </c>
      <c r="D2" s="3449" t="s">
        <v>3400</v>
      </c>
      <c r="E2" s="3449" t="s">
        <v>3401</v>
      </c>
      <c r="F2" s="3449" t="s">
        <v>3402</v>
      </c>
      <c r="G2" s="3449" t="s">
        <v>3403</v>
      </c>
      <c r="H2" s="3449" t="s">
        <v>3461</v>
      </c>
    </row>
    <row r="3" spans="2:8">
      <c r="B3">
        <v>1</v>
      </c>
      <c r="C3">
        <v>4</v>
      </c>
      <c r="D3">
        <v>1</v>
      </c>
      <c r="E3">
        <v>1065.52</v>
      </c>
      <c r="F3" s="3449" t="s">
        <v>3405</v>
      </c>
      <c r="G3" s="3449" t="s">
        <v>3405</v>
      </c>
      <c r="H3" s="3449">
        <v>5.4</v>
      </c>
    </row>
    <row r="4" spans="2:8">
      <c r="B4">
        <v>1</v>
      </c>
      <c r="C4">
        <v>4</v>
      </c>
      <c r="D4">
        <v>2</v>
      </c>
      <c r="E4">
        <v>1128.3699999999999</v>
      </c>
      <c r="F4" s="3449" t="s">
        <v>3405</v>
      </c>
      <c r="G4" s="3449" t="s">
        <v>3405</v>
      </c>
      <c r="H4" s="3449">
        <v>4.3</v>
      </c>
    </row>
    <row r="5" spans="2:8">
      <c r="B5">
        <v>1</v>
      </c>
      <c r="C5">
        <v>4</v>
      </c>
      <c r="D5">
        <v>3</v>
      </c>
      <c r="E5">
        <v>1128.3699999999999</v>
      </c>
      <c r="F5" s="3449" t="s">
        <v>3405</v>
      </c>
      <c r="G5" s="3449" t="s">
        <v>3405</v>
      </c>
    </row>
    <row r="6" spans="2:8">
      <c r="B6">
        <v>1</v>
      </c>
      <c r="C6">
        <v>4</v>
      </c>
      <c r="D6">
        <v>4</v>
      </c>
      <c r="E6">
        <v>668.38</v>
      </c>
      <c r="F6" s="3449" t="s">
        <v>3405</v>
      </c>
      <c r="G6" s="3449" t="s">
        <v>3405</v>
      </c>
    </row>
    <row r="7" spans="2:8">
      <c r="B7">
        <v>2</v>
      </c>
      <c r="C7">
        <v>1</v>
      </c>
      <c r="D7">
        <v>1</v>
      </c>
      <c r="E7">
        <v>15.57</v>
      </c>
      <c r="F7" s="3449" t="s">
        <v>3405</v>
      </c>
      <c r="G7" s="3449" t="s">
        <v>3406</v>
      </c>
    </row>
    <row r="8" spans="2:8">
      <c r="B8">
        <v>3</v>
      </c>
      <c r="C8">
        <v>1</v>
      </c>
      <c r="D8">
        <v>1</v>
      </c>
      <c r="E8">
        <v>286.54000000000002</v>
      </c>
      <c r="F8" s="3449" t="s">
        <v>3405</v>
      </c>
      <c r="G8" s="3449" t="s">
        <v>3407</v>
      </c>
    </row>
    <row r="9" spans="2:8">
      <c r="B9">
        <v>4</v>
      </c>
      <c r="C9">
        <v>2</v>
      </c>
      <c r="D9">
        <v>1</v>
      </c>
      <c r="E9">
        <v>278.36</v>
      </c>
      <c r="F9" s="3449" t="s">
        <v>3405</v>
      </c>
      <c r="G9" s="3449" t="s">
        <v>3408</v>
      </c>
    </row>
    <row r="10" spans="2:8">
      <c r="B10">
        <v>4</v>
      </c>
      <c r="C10">
        <v>2</v>
      </c>
      <c r="D10">
        <v>2</v>
      </c>
      <c r="E10">
        <v>133.75</v>
      </c>
      <c r="F10" s="3449" t="s">
        <v>3405</v>
      </c>
      <c r="G10" s="3449" t="s">
        <v>3408</v>
      </c>
    </row>
    <row r="11" spans="2:8">
      <c r="B11" s="3449" t="s">
        <v>3404</v>
      </c>
      <c r="E11">
        <f>SUM(E3:E10)</f>
        <v>4704.8599999999997</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8" t="s">
        <v>1108</v>
      </c>
      <c r="F2" s="2658"/>
      <c r="G2" s="2649"/>
      <c r="H2" s="2650"/>
      <c r="I2" s="2324" t="s">
        <v>1132</v>
      </c>
      <c r="J2" s="2658"/>
      <c r="K2" s="2658"/>
      <c r="L2" s="2658"/>
      <c r="M2" s="2658"/>
      <c r="N2" s="2660"/>
      <c r="O2" s="2658"/>
      <c r="P2" s="2658"/>
    </row>
    <row r="3" spans="1:16" ht="15.75" thickBot="1">
      <c r="A3" s="3560" t="s">
        <v>1105</v>
      </c>
      <c r="B3" s="3560"/>
      <c r="C3" s="3560"/>
      <c r="D3" s="43">
        <f>'数据-基础表'!AY6</f>
        <v>2957.47</v>
      </c>
      <c r="E3" s="43">
        <f>'数据-基础表'!AZ5</f>
        <v>4704.8599999999997</v>
      </c>
      <c r="F3" s="2658"/>
      <c r="G3" s="1145"/>
      <c r="H3" s="1026" t="s">
        <v>1106</v>
      </c>
      <c r="I3" s="855">
        <f>ROUND('数据-基础表'!B3/'数据-基础表'!A3,2)</f>
        <v>1.59</v>
      </c>
      <c r="J3" s="2658"/>
      <c r="K3" s="2658"/>
      <c r="L3" s="2658"/>
      <c r="M3" s="2658"/>
      <c r="N3" s="2660"/>
      <c r="O3" s="2658"/>
      <c r="P3" s="2658"/>
    </row>
    <row r="4" spans="1:16" ht="15">
      <c r="A4" s="3561"/>
      <c r="B4" s="3562"/>
      <c r="C4" s="3563"/>
      <c r="D4" s="1640" t="s">
        <v>1107</v>
      </c>
      <c r="E4" s="1641" t="s">
        <v>1108</v>
      </c>
      <c r="F4" s="2658"/>
      <c r="G4" s="2651" t="s">
        <v>1133</v>
      </c>
      <c r="H4" s="1026" t="s">
        <v>1113</v>
      </c>
      <c r="I4" s="855">
        <f>ROUND(SUMIF('数据-基础表'!I9:AS9,"地上",'数据-基础表'!I5:AS5)/'数据-基础表'!A3,2)</f>
        <v>1.59</v>
      </c>
      <c r="J4" s="2658"/>
      <c r="K4" s="2658"/>
      <c r="L4" s="2658"/>
      <c r="M4" s="2658"/>
      <c r="N4" s="2660"/>
      <c r="O4" s="2658"/>
      <c r="P4" s="2658"/>
    </row>
    <row r="5" spans="1:16">
      <c r="A5" s="44" t="s">
        <v>1109</v>
      </c>
      <c r="B5" s="3564" t="s">
        <v>1110</v>
      </c>
      <c r="C5" s="3564"/>
      <c r="D5" s="45">
        <f>ROUND($D$3*E5/$E$3,2)</f>
        <v>0</v>
      </c>
      <c r="E5" s="46">
        <f>SUMIF('数据-基础表'!$11:$11,"住宅",'数据-基础表'!$5:$5)</f>
        <v>0</v>
      </c>
      <c r="F5" s="2658"/>
      <c r="G5" s="1145"/>
      <c r="H5" s="1026" t="s">
        <v>1106</v>
      </c>
      <c r="I5" s="855">
        <f>ROUND(E31/D31,2)</f>
        <v>1.59</v>
      </c>
      <c r="J5" s="2658"/>
      <c r="K5" s="2658"/>
      <c r="L5" s="2658"/>
      <c r="M5" s="2658"/>
      <c r="N5" s="2658"/>
      <c r="O5" s="2658"/>
      <c r="P5" s="2658"/>
    </row>
    <row r="6" spans="1:16" ht="15" thickBot="1">
      <c r="A6" s="1643"/>
      <c r="B6" s="3564" t="s">
        <v>1111</v>
      </c>
      <c r="C6" s="3564"/>
      <c r="D6" s="45">
        <f>ROUND($D$3*E6/$E$3,2)</f>
        <v>2957.47</v>
      </c>
      <c r="E6" s="46">
        <f>E3-E5</f>
        <v>4704.8599999999997</v>
      </c>
      <c r="F6" s="2658"/>
      <c r="G6" s="2652" t="s">
        <v>1112</v>
      </c>
      <c r="H6" s="1146" t="s">
        <v>1113</v>
      </c>
      <c r="I6" s="2653">
        <f>ROUND(F31/D31,2)</f>
        <v>1.59</v>
      </c>
      <c r="J6" s="2658"/>
      <c r="K6" s="2658"/>
      <c r="L6" s="2658"/>
      <c r="M6" s="2658"/>
      <c r="N6" s="2658"/>
      <c r="O6" s="2658"/>
      <c r="P6" s="2658"/>
    </row>
    <row r="7" spans="1:16" ht="15.75" thickBot="1">
      <c r="A7" s="3556"/>
      <c r="B7" s="3557"/>
      <c r="C7" s="3558"/>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2957.47</v>
      </c>
      <c r="E8" s="48">
        <f>SUMIF('数据-基础表'!BB10:BK10,"地上",'数据-基础表'!BB5:BK5)</f>
        <v>4704.8599999999997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2957.47</v>
      </c>
      <c r="E16" s="50">
        <f>SUM(E8:E15)</f>
        <v>4704.8599999999997</v>
      </c>
      <c r="F16" s="2658"/>
      <c r="G16" s="2659"/>
      <c r="H16" s="1647" t="s">
        <v>1135</v>
      </c>
      <c r="I16" s="1648"/>
      <c r="J16" s="1139"/>
      <c r="K16" s="3553" t="s">
        <v>1135</v>
      </c>
      <c r="L16" s="3554"/>
      <c r="M16" s="3554"/>
      <c r="N16" s="3554"/>
      <c r="O16" s="3554"/>
      <c r="P16" s="3555"/>
    </row>
    <row r="17" spans="1:19" ht="15">
      <c r="A17" s="1649" t="s">
        <v>1136</v>
      </c>
      <c r="B17" s="1650" t="s">
        <v>1137</v>
      </c>
      <c r="C17" s="1651" t="s">
        <v>1138</v>
      </c>
      <c r="D17" s="1652" t="s">
        <v>1126</v>
      </c>
      <c r="E17" s="1653" t="s">
        <v>1127</v>
      </c>
      <c r="F17" s="1654"/>
      <c r="G17" s="1655"/>
      <c r="H17" s="1656" t="s">
        <v>1139</v>
      </c>
      <c r="I17" s="1657" t="s">
        <v>1124</v>
      </c>
      <c r="J17" s="1139"/>
      <c r="K17" s="3550" t="s">
        <v>1140</v>
      </c>
      <c r="L17" s="3551"/>
      <c r="M17" s="3552"/>
      <c r="N17" s="3550" t="s">
        <v>1141</v>
      </c>
      <c r="O17" s="3551"/>
      <c r="P17" s="355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3409</v>
      </c>
      <c r="D19" s="45">
        <f>ROUND($D$3*E19/$E$3,2)</f>
        <v>2957.47</v>
      </c>
      <c r="E19" s="53">
        <f t="shared" ref="E19:E26" si="1">SUM(F19:G19)</f>
        <v>4704.8599999999997</v>
      </c>
      <c r="F19" s="2794">
        <f>'数据-基础表'!B3</f>
        <v>4704.8599999999997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2957.47</v>
      </c>
      <c r="S19" s="1027">
        <f t="shared" si="5"/>
        <v>4704.8599999999997</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2957.47</v>
      </c>
      <c r="E27" s="1141">
        <f>IF(SUM(E19:E26)='数据-基础表'!BA5,SUM(E19:E26),IF(F27="地上面积有误","面积有误","地下面积有误"))</f>
        <v>4704.8599999999997</v>
      </c>
      <c r="F27" s="1140">
        <f>IF(SUM(F19:F26)=E8,SUM(F19:F26),"地上面积有误")</f>
        <v>4704.8599999999997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2957.47</v>
      </c>
      <c r="S27" s="1026">
        <f>IF(SUM(S19:S26)=$E$3,SUM(S19:S26),SUM(S19:S26)&amp;"误差"&amp;ROUND(SUM(S19:S26)-E3,2))</f>
        <v>4704.8599999999997</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2957.47</v>
      </c>
      <c r="E31" s="676">
        <f>E27+E30</f>
        <v>4704.8599999999997</v>
      </c>
      <c r="F31" s="677">
        <f>F27+F30</f>
        <v>4704.8599999999997</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9.75" style="1681" customWidth="1"/>
    <col min="23" max="23" width="10.875" style="1681" customWidth="1"/>
    <col min="24" max="25" width="6.75" style="1681" customWidth="1"/>
    <col min="26" max="26" width="10.375" style="1681" customWidth="1"/>
    <col min="27"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45496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3410</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673</v>
      </c>
      <c r="D6" s="858">
        <f>SUMIF(项目基本情况!C$12:I$12,C6,项目基本情况!C$14:I$14)</f>
        <v>40</v>
      </c>
      <c r="E6" s="857">
        <f>IF(B6="","",SUMIF(项目基本情况!C$12:I$12,C6,项目基本情况!C$13:I$13))</f>
        <v>58200</v>
      </c>
      <c r="F6" s="64">
        <f>SUMIF(项目基本情况!C$12:I$12,C6,项目基本情况!C$15:I$15)</f>
        <v>40</v>
      </c>
      <c r="G6" s="65">
        <f>IF(ISERROR(ROUND(POWER(1+H6,D6-F6)*(POWER(1+H6,F6)-1)/(POWER(1+H6,D6)-1),3)),0,ROUND(POWER(1+H6,D6-F6)*(POWER(1+H6,F6)-1)/(POWER(1+H6,D6)-1),3))</f>
        <v>1</v>
      </c>
      <c r="H6" s="732">
        <v>0.05</v>
      </c>
      <c r="I6" s="732">
        <v>5.5E-2</v>
      </c>
      <c r="J6" s="66">
        <v>7.0000000000000007E-2</v>
      </c>
      <c r="K6" s="1030">
        <f>SUMIF('数据-汇总表'!C$19:C$33,A6,'数据-汇总表'!E$19:E$33)</f>
        <v>4704.8599999999997</v>
      </c>
      <c r="L6" s="3471">
        <v>4500</v>
      </c>
      <c r="M6" s="67">
        <f t="shared" ref="M6:M14" si="0">ROUND(K6*L6/10000,0)</f>
        <v>2117</v>
      </c>
      <c r="N6" s="731">
        <f>N23</f>
        <v>0.72</v>
      </c>
      <c r="O6" s="67" t="str">
        <f>IF($N$5="成新度","——",ROUND(M6*N6,0))</f>
        <v>——</v>
      </c>
      <c r="P6" s="68" t="str">
        <f>IF($N$5="成新度","——",M6-O6)</f>
        <v>——</v>
      </c>
      <c r="Q6" s="734">
        <v>0.2</v>
      </c>
      <c r="R6" s="69">
        <f ca="1">SUMIF('数据-汇总表'!C$19:C$33,A6,'数据-汇总表'!R$19:R$27)</f>
        <v>2957.47</v>
      </c>
      <c r="S6" s="51">
        <f>IF('数据-汇总表'!$I$17="按面积比例",SUMIF('数据-汇总表'!C$19:C$33,A6,'数据-汇总表'!K$19:K$33),SUMIF('数据-汇总表'!C$19:C$33,A6,'数据-汇总表'!N$19:N$33))</f>
        <v>0</v>
      </c>
      <c r="T6" s="1172">
        <f>ROUND($L$14*S6/10000,0)</f>
        <v>0</v>
      </c>
      <c r="U6" s="3476">
        <v>4.3</v>
      </c>
      <c r="V6" s="70">
        <v>2.5000000000000001E-2</v>
      </c>
      <c r="W6" s="3477">
        <v>0.05</v>
      </c>
      <c r="X6" s="1040"/>
      <c r="Y6" s="71">
        <f>N6</f>
        <v>0.72</v>
      </c>
      <c r="Z6" s="72"/>
      <c r="AA6" s="66"/>
      <c r="AB6" s="66"/>
      <c r="AC6" s="1040"/>
      <c r="AD6" s="73"/>
      <c r="AE6" s="1041">
        <f ca="1">IF(AN6="",0,SUMIF(INDIRECT("'"&amp;AN6&amp;"'"&amp;"!E:E"),$AE$5,INDIRECT("'"&amp;AN6&amp;"'"&amp;"!F:F")))</f>
        <v>40</v>
      </c>
      <c r="AF6" s="1347"/>
      <c r="AG6" s="138">
        <f>IF(AF6="",0,AE6-AF6)</f>
        <v>0</v>
      </c>
      <c r="AH6" s="74"/>
      <c r="AI6" s="76">
        <v>365</v>
      </c>
      <c r="AJ6" s="77"/>
      <c r="AK6" s="78">
        <v>5.0000000000000001E-3</v>
      </c>
      <c r="AL6" s="79">
        <v>1E-3</v>
      </c>
      <c r="AM6" s="80">
        <v>5.0000000000000001E-3</v>
      </c>
      <c r="AN6" s="1714" t="s">
        <v>3419</v>
      </c>
      <c r="AO6" s="52">
        <f ca="1">SUMIF(INDIRECT("'"&amp;AN6&amp;"'"&amp;"!A:A"),"总价",INDIRECT("'"&amp;AN6&amp;"'"&amp;"!B:B"))</f>
        <v>12825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1</v>
      </c>
      <c r="H16" s="90">
        <f>ROUND(SUMPRODUCT(H6:H13,K6:K13)/SUMPRODUCT((H6:H13&gt;0)*(K6:K13)),3)</f>
        <v>0.05</v>
      </c>
      <c r="I16" s="91"/>
      <c r="J16" s="91"/>
      <c r="K16" s="92">
        <f>SUM(K6:K15)</f>
        <v>4704.8599999999997</v>
      </c>
      <c r="L16" s="93">
        <f>ROUND(M16*10000/SUM(K6:K14),0)</f>
        <v>4500</v>
      </c>
      <c r="M16" s="93">
        <f>SUM(M6:M14)</f>
        <v>2117</v>
      </c>
      <c r="N16" s="94">
        <f>ROUND(SUMPRODUCT(M6:M14,N6:N14)/M16,3)</f>
        <v>0.72</v>
      </c>
      <c r="O16" s="93">
        <f>SUM(O6:O14)</f>
        <v>0</v>
      </c>
      <c r="P16" s="93">
        <f>SUM(P6:P14)</f>
        <v>0</v>
      </c>
      <c r="Q16" s="95">
        <f>ROUND(SUMPRODUCT(Q6:Q13,K6:K13)/SUMPRODUCT((Q6:Q13&gt;0)*(K6:K13)),2)</f>
        <v>0.2</v>
      </c>
      <c r="R16" s="1034">
        <f ca="1">SUM(R6:R13)</f>
        <v>2957.47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f>Q16/B20</f>
        <v>0.1</v>
      </c>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v>5.4</v>
      </c>
      <c r="I18" s="2672">
        <v>5.5</v>
      </c>
      <c r="J18" s="2672">
        <v>8.5</v>
      </c>
      <c r="K18" s="2671"/>
      <c r="L18" s="2671">
        <v>3000</v>
      </c>
      <c r="M18" s="3451" t="s">
        <v>3415</v>
      </c>
      <c r="N18" s="2670"/>
      <c r="O18" s="2670"/>
      <c r="P18" s="2670"/>
      <c r="Q18" s="2670">
        <v>25</v>
      </c>
      <c r="R18" s="2670"/>
      <c r="S18" s="2670"/>
      <c r="T18" s="2670"/>
      <c r="U18" s="2670">
        <v>4.2</v>
      </c>
      <c r="V18" s="2670">
        <v>3</v>
      </c>
      <c r="W18" s="2670">
        <v>5</v>
      </c>
      <c r="X18" s="2670"/>
      <c r="Y18" s="2670"/>
      <c r="Z18" s="2670"/>
      <c r="AA18" s="2670"/>
      <c r="AB18" s="2670"/>
      <c r="AC18" s="2670"/>
      <c r="AD18" s="2670"/>
      <c r="AE18" s="2670"/>
      <c r="AF18" s="2670"/>
      <c r="AG18" s="2670"/>
      <c r="AH18" s="2670"/>
      <c r="AI18" s="2670"/>
      <c r="AJ18" s="2670"/>
      <c r="AK18" s="2670">
        <v>0.5</v>
      </c>
      <c r="AL18" s="2670">
        <v>0.1</v>
      </c>
      <c r="AM18" s="2670">
        <v>0.5</v>
      </c>
      <c r="AN18" s="2670"/>
      <c r="AO18" s="2670"/>
      <c r="AP18" s="2670"/>
      <c r="AQ18" s="2670"/>
      <c r="AR18" s="2670"/>
    </row>
    <row r="19" spans="1:67" ht="14.25">
      <c r="A19" s="1721" t="s">
        <v>1211</v>
      </c>
      <c r="B19" s="103">
        <v>0</v>
      </c>
      <c r="C19" s="2798" t="s">
        <v>2299</v>
      </c>
      <c r="D19" s="2675"/>
      <c r="E19" s="2672"/>
      <c r="F19" s="2672"/>
      <c r="G19" s="2672"/>
      <c r="H19" s="2672"/>
      <c r="I19" s="2672"/>
      <c r="J19" s="2672"/>
      <c r="K19" s="2671"/>
      <c r="L19" s="2671"/>
      <c r="M19" s="3451" t="s">
        <v>3414</v>
      </c>
      <c r="N19" s="2670">
        <v>1996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2297</v>
      </c>
      <c r="D20" s="2675"/>
      <c r="E20" s="2672"/>
      <c r="F20" s="2672"/>
      <c r="G20" s="2672"/>
      <c r="H20" s="2672"/>
      <c r="I20" s="2672"/>
      <c r="J20" s="2672"/>
      <c r="K20" s="3450"/>
      <c r="L20" s="2671"/>
      <c r="M20" s="2670"/>
      <c r="N20" s="2670"/>
      <c r="O20" s="3451" t="s">
        <v>3418</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3451" t="s">
        <v>3411</v>
      </c>
      <c r="N21" s="2670">
        <f>ROUND(1-(1-0%)*(2024-N19)/60,2)</f>
        <v>0.53</v>
      </c>
      <c r="O21" s="2670">
        <v>0.4</v>
      </c>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3451" t="s">
        <v>3412</v>
      </c>
      <c r="N22" s="2670">
        <v>0.85</v>
      </c>
      <c r="O22" s="2670">
        <v>0.6</v>
      </c>
      <c r="P22" s="2670"/>
      <c r="Q22" s="2670"/>
      <c r="R22" s="2670"/>
      <c r="S22" s="3450" t="s">
        <v>3462</v>
      </c>
      <c r="T22" s="3450" t="s">
        <v>3463</v>
      </c>
      <c r="U22" s="3450" t="s">
        <v>3464</v>
      </c>
      <c r="V22" s="3450" t="s">
        <v>3465</v>
      </c>
      <c r="W22" s="2671" t="s">
        <v>3466</v>
      </c>
      <c r="X22" s="2671" t="s">
        <v>3458</v>
      </c>
      <c r="Y22" s="3450" t="s">
        <v>3468</v>
      </c>
      <c r="Z22" s="2671"/>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3451" t="s">
        <v>3417</v>
      </c>
      <c r="N23" s="2670">
        <f>ROUND(N21*O21+N22*O22,2)</f>
        <v>0.72</v>
      </c>
      <c r="O23" s="2670"/>
      <c r="P23" s="2670"/>
      <c r="Q23" s="2670"/>
      <c r="R23" s="2670"/>
      <c r="S23" s="2671">
        <v>1</v>
      </c>
      <c r="T23" s="3450">
        <v>4</v>
      </c>
      <c r="U23" s="2671">
        <v>1</v>
      </c>
      <c r="V23" s="2671">
        <v>1065.52</v>
      </c>
      <c r="W23" s="2671" t="s">
        <v>21</v>
      </c>
      <c r="X23" s="2671" t="s">
        <v>21</v>
      </c>
      <c r="Y23" s="2671">
        <v>4.3</v>
      </c>
      <c r="Z23" s="2671">
        <f>V23*Y23</f>
        <v>4581.7359999999999</v>
      </c>
      <c r="AA23" s="2670"/>
      <c r="AB23" s="2670" t="s">
        <v>3470</v>
      </c>
      <c r="AC23" s="2670"/>
      <c r="AD23" s="2670"/>
      <c r="AE23" s="2670" t="s">
        <v>3873</v>
      </c>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1">
        <v>1</v>
      </c>
      <c r="T24" s="3450">
        <v>4</v>
      </c>
      <c r="U24" s="2671">
        <v>2</v>
      </c>
      <c r="V24" s="2671">
        <v>1128.3699999999999</v>
      </c>
      <c r="W24" s="2671" t="s">
        <v>21</v>
      </c>
      <c r="X24" s="2671" t="s">
        <v>21</v>
      </c>
      <c r="Y24" s="2671">
        <f>'比较法-办公'!C50</f>
        <v>4.3</v>
      </c>
      <c r="Z24" s="2671">
        <f t="shared" ref="Z24:Z30" si="12">V24*Y24</f>
        <v>4851.9909999999991</v>
      </c>
      <c r="AA24" s="2670"/>
      <c r="AB24" s="2670"/>
      <c r="AC24" s="2670">
        <v>23000</v>
      </c>
      <c r="AD24" s="2670">
        <f>Y24*365/AC24</f>
        <v>6.8239130434782608E-2</v>
      </c>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1">
        <v>1</v>
      </c>
      <c r="T25" s="3450">
        <v>4</v>
      </c>
      <c r="U25" s="2671">
        <v>3</v>
      </c>
      <c r="V25" s="2671">
        <v>1128.3699999999999</v>
      </c>
      <c r="W25" s="2671" t="s">
        <v>21</v>
      </c>
      <c r="X25" s="2671" t="s">
        <v>21</v>
      </c>
      <c r="Y25" s="2671">
        <f>Y24</f>
        <v>4.3</v>
      </c>
      <c r="Z25" s="2671">
        <f t="shared" si="12"/>
        <v>4851.9909999999991</v>
      </c>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1">
        <v>1</v>
      </c>
      <c r="T26" s="3450">
        <v>4</v>
      </c>
      <c r="U26" s="2671">
        <v>4</v>
      </c>
      <c r="V26" s="2671">
        <v>668.38</v>
      </c>
      <c r="W26" s="2671" t="s">
        <v>21</v>
      </c>
      <c r="X26" s="2671" t="s">
        <v>21</v>
      </c>
      <c r="Y26" s="2671">
        <f>Y24</f>
        <v>4.3</v>
      </c>
      <c r="Z26" s="2671">
        <f t="shared" si="12"/>
        <v>2874.0339999999997</v>
      </c>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2301</v>
      </c>
      <c r="D27" s="2678"/>
      <c r="E27" s="2660"/>
      <c r="F27" s="2660"/>
      <c r="G27" s="2672"/>
      <c r="H27" s="2672"/>
      <c r="I27" s="2672"/>
      <c r="J27" s="2672"/>
      <c r="K27" s="2671"/>
      <c r="L27" s="2671"/>
      <c r="M27" s="2670"/>
      <c r="N27" s="2670"/>
      <c r="O27" s="2670"/>
      <c r="P27" s="2670"/>
      <c r="Q27" s="2670"/>
      <c r="R27" s="2670"/>
      <c r="S27" s="3450">
        <v>2</v>
      </c>
      <c r="T27" s="3450">
        <v>1</v>
      </c>
      <c r="U27" s="2671">
        <v>1</v>
      </c>
      <c r="V27" s="2671">
        <v>15.57</v>
      </c>
      <c r="W27" s="2671" t="s">
        <v>21</v>
      </c>
      <c r="X27" s="2671" t="s">
        <v>3467</v>
      </c>
      <c r="Y27" s="2671">
        <v>0</v>
      </c>
      <c r="Z27" s="2671">
        <f t="shared" si="12"/>
        <v>0</v>
      </c>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1">
        <v>3</v>
      </c>
      <c r="T28" s="2671">
        <v>1</v>
      </c>
      <c r="U28" s="2671">
        <v>1</v>
      </c>
      <c r="V28" s="2671">
        <v>286.54000000000002</v>
      </c>
      <c r="W28" s="2671" t="s">
        <v>21</v>
      </c>
      <c r="X28" s="2671" t="s">
        <v>3330</v>
      </c>
      <c r="Y28" s="2671">
        <v>0.5</v>
      </c>
      <c r="Z28" s="2671">
        <f t="shared" si="12"/>
        <v>143.27000000000001</v>
      </c>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94</v>
      </c>
      <c r="C29" s="2801" t="s">
        <v>2288</v>
      </c>
      <c r="D29" s="2678"/>
      <c r="E29" s="2660"/>
      <c r="F29" s="2660"/>
      <c r="G29" s="2672"/>
      <c r="H29" s="2672"/>
      <c r="I29" s="2672"/>
      <c r="J29" s="2672"/>
      <c r="K29" s="2671"/>
      <c r="L29" s="2671"/>
      <c r="M29" s="2670"/>
      <c r="N29" s="2670"/>
      <c r="O29" s="2670"/>
      <c r="P29" s="2670"/>
      <c r="Q29" s="2670"/>
      <c r="R29" s="2670"/>
      <c r="S29" s="2671">
        <v>4</v>
      </c>
      <c r="T29" s="2671">
        <v>2</v>
      </c>
      <c r="U29" s="2671">
        <v>1</v>
      </c>
      <c r="V29" s="2671">
        <v>278.36</v>
      </c>
      <c r="W29" s="2671" t="s">
        <v>21</v>
      </c>
      <c r="X29" s="2671" t="s">
        <v>3459</v>
      </c>
      <c r="Y29" s="2671">
        <v>0</v>
      </c>
      <c r="Z29" s="2671">
        <f t="shared" si="12"/>
        <v>0</v>
      </c>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1">
        <v>4</v>
      </c>
      <c r="T30" s="2671">
        <v>2</v>
      </c>
      <c r="U30" s="2671">
        <v>2</v>
      </c>
      <c r="V30" s="2671">
        <v>133.75</v>
      </c>
      <c r="W30" s="2671" t="s">
        <v>21</v>
      </c>
      <c r="X30" s="2671" t="s">
        <v>3459</v>
      </c>
      <c r="Y30" s="2671">
        <v>0</v>
      </c>
      <c r="Z30" s="2671">
        <f t="shared" si="12"/>
        <v>0</v>
      </c>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1" t="s">
        <v>3460</v>
      </c>
      <c r="T31" s="2671"/>
      <c r="U31" s="2671"/>
      <c r="V31" s="2671">
        <f>V23+V24+V25+V26+V27+V28+V29+V30</f>
        <v>4704.8599999999997</v>
      </c>
      <c r="W31" s="2671"/>
      <c r="X31" s="2671"/>
      <c r="Y31" s="2671">
        <f>ROUND(Z31/V31,1)</f>
        <v>3.7</v>
      </c>
      <c r="Z31" s="2671">
        <f t="shared" ref="Z31" si="13">Z23+Z24+Z25+Z26+Z27+Z28+Z29+Z30</f>
        <v>17303.021999999997</v>
      </c>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t="s">
        <v>3469</v>
      </c>
      <c r="V32" s="2670">
        <f>V23+V24+V25+V26+V28</f>
        <v>4277.18</v>
      </c>
      <c r="W32" s="2670"/>
      <c r="X32" s="2670"/>
      <c r="Y32" s="2671">
        <f>ROUND(Z32/V32,1)</f>
        <v>4</v>
      </c>
      <c r="Z32" s="2670">
        <f t="shared" ref="Z32" si="14">Z23+Z24+Z25+Z26+Z28</f>
        <v>17303.021999999997</v>
      </c>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2289</v>
      </c>
      <c r="D33" s="2675"/>
      <c r="E33" s="2672">
        <v>5</v>
      </c>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2290</v>
      </c>
      <c r="D34" s="2683" t="s">
        <v>2298</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2291</v>
      </c>
      <c r="D35" s="2678"/>
      <c r="E35" s="2660"/>
      <c r="F35" s="2660"/>
      <c r="G35" s="2672"/>
      <c r="H35" s="2672"/>
      <c r="I35" s="2672"/>
      <c r="J35" s="2672"/>
      <c r="K35" s="2671"/>
      <c r="L35" s="2671"/>
      <c r="M35" s="2670"/>
      <c r="N35" s="2670"/>
      <c r="O35" s="2670"/>
      <c r="P35" s="2670"/>
      <c r="Q35" s="2670"/>
      <c r="R35" s="2670"/>
      <c r="S35" s="2670"/>
      <c r="T35" s="2670"/>
      <c r="U35" s="2670"/>
      <c r="V35" s="2670">
        <f>V23+V24+V25+V26+V28</f>
        <v>4277.18</v>
      </c>
      <c r="W35" s="2670"/>
      <c r="X35" s="2670"/>
      <c r="Y35" s="2670">
        <v>4.3</v>
      </c>
      <c r="Z35" s="2670">
        <f>Y35*365*V35</f>
        <v>6713034.0100000007</v>
      </c>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2292</v>
      </c>
      <c r="D36" s="2675"/>
      <c r="E36" s="2672">
        <v>1.5</v>
      </c>
      <c r="F36" s="2672"/>
      <c r="G36" s="2672"/>
      <c r="H36" s="2672"/>
      <c r="I36" s="2672"/>
      <c r="J36" s="2672"/>
      <c r="K36" s="2671"/>
      <c r="L36" s="2671"/>
      <c r="M36" s="2670"/>
      <c r="N36" s="2670"/>
      <c r="O36" s="2670"/>
      <c r="P36" s="2670"/>
      <c r="Q36" s="2670"/>
      <c r="R36" s="2670"/>
      <c r="S36" s="2670"/>
      <c r="T36" s="2670"/>
      <c r="U36" s="2670"/>
      <c r="V36" s="2670">
        <v>1300</v>
      </c>
      <c r="W36" s="2670"/>
      <c r="X36" s="2670"/>
      <c r="Y36" s="2670">
        <v>1</v>
      </c>
      <c r="Z36" s="2670">
        <f>Y36*365*V36</f>
        <v>474500</v>
      </c>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2293</v>
      </c>
      <c r="D37" s="2675"/>
      <c r="E37" s="2672">
        <v>3</v>
      </c>
      <c r="F37" s="2672"/>
      <c r="G37" s="2672"/>
      <c r="H37" s="2672"/>
      <c r="I37" s="2672"/>
      <c r="J37" s="2672"/>
      <c r="K37" s="2671"/>
      <c r="L37" s="2671"/>
      <c r="M37" s="2670"/>
      <c r="N37" s="2670"/>
      <c r="O37" s="2670"/>
      <c r="P37" s="2670"/>
      <c r="Q37" s="2670"/>
      <c r="R37" s="2670"/>
      <c r="S37" s="2670"/>
      <c r="T37" s="2670"/>
      <c r="U37" s="2670"/>
      <c r="V37" s="2670"/>
      <c r="W37" s="2670"/>
      <c r="X37" s="2670"/>
      <c r="Y37" s="2670">
        <f>Z37/365/'数据-汇总表'!F19</f>
        <v>4.1854325102128449</v>
      </c>
      <c r="Z37" s="2670">
        <f>Z35+Z36</f>
        <v>7187534.0100000007</v>
      </c>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2293</v>
      </c>
      <c r="D38" s="2675"/>
      <c r="E38" s="2672">
        <v>3</v>
      </c>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2294</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2295</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2294</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2296</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3</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303</v>
      </c>
      <c r="C53" s="2660" t="s">
        <v>1246</v>
      </c>
      <c r="D53" s="2803" t="s">
        <v>2300</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5" t="s">
        <v>2280</v>
      </c>
      <c r="B1" s="3566"/>
      <c r="C1" s="3566"/>
      <c r="D1" s="3566"/>
      <c r="E1" s="3566"/>
      <c r="F1" s="3566"/>
      <c r="G1" s="356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2275</v>
      </c>
      <c r="D2" s="2460"/>
      <c r="E2" s="2457"/>
      <c r="F2" s="2461"/>
      <c r="G2" s="2459" t="s">
        <v>2276</v>
      </c>
      <c r="H2" s="799"/>
      <c r="I2" s="799"/>
      <c r="J2" s="799"/>
      <c r="K2" s="799"/>
      <c r="L2" s="799"/>
      <c r="M2" s="799"/>
      <c r="N2" s="799"/>
      <c r="O2" s="799"/>
      <c r="P2" s="799"/>
      <c r="Q2" s="799"/>
      <c r="R2" s="799"/>
    </row>
    <row r="3" spans="1:29" ht="48">
      <c r="A3" s="2440" t="s">
        <v>2277</v>
      </c>
      <c r="B3" s="2462" t="s">
        <v>2246</v>
      </c>
      <c r="C3" s="2463" t="s">
        <v>2278</v>
      </c>
      <c r="D3" s="2464"/>
      <c r="E3" s="2441" t="s">
        <v>2277</v>
      </c>
      <c r="F3" s="2465" t="s">
        <v>2247</v>
      </c>
      <c r="G3" s="2466" t="s">
        <v>2279</v>
      </c>
      <c r="H3" s="799"/>
      <c r="I3" s="799"/>
      <c r="J3" s="799"/>
      <c r="K3" s="799"/>
      <c r="L3" s="799"/>
      <c r="M3" s="799"/>
      <c r="N3" s="799"/>
      <c r="O3" s="799"/>
      <c r="P3" s="799"/>
      <c r="Q3" s="799"/>
      <c r="R3" s="799"/>
    </row>
    <row r="4" spans="1:29" ht="36.75">
      <c r="A4" s="2441"/>
      <c r="B4" s="323" t="s">
        <v>2248</v>
      </c>
      <c r="C4" s="2467" t="s">
        <v>2249</v>
      </c>
      <c r="D4" s="2464"/>
      <c r="E4" s="2468"/>
      <c r="F4" s="1372" t="s">
        <v>2250</v>
      </c>
      <c r="G4" s="2469" t="s">
        <v>2251</v>
      </c>
      <c r="H4" s="799"/>
      <c r="I4" s="799"/>
      <c r="J4" s="799"/>
      <c r="K4" s="799"/>
      <c r="L4" s="799"/>
      <c r="M4" s="799"/>
      <c r="N4" s="799"/>
      <c r="O4" s="799"/>
      <c r="P4" s="799"/>
      <c r="Q4" s="799"/>
      <c r="R4" s="799"/>
    </row>
    <row r="5" spans="1:29" ht="36.75">
      <c r="A5" s="2441"/>
      <c r="B5" s="323" t="s">
        <v>2252</v>
      </c>
      <c r="C5" s="2467" t="s">
        <v>2253</v>
      </c>
      <c r="D5" s="2464"/>
      <c r="E5" s="2468"/>
      <c r="F5" s="323" t="s">
        <v>2254</v>
      </c>
      <c r="G5" s="2469" t="s">
        <v>2255</v>
      </c>
      <c r="H5" s="799"/>
      <c r="I5" s="799"/>
      <c r="J5" s="799"/>
      <c r="K5" s="799"/>
      <c r="L5" s="799"/>
      <c r="M5" s="799"/>
      <c r="N5" s="799"/>
      <c r="O5" s="799"/>
      <c r="P5" s="799"/>
      <c r="Q5" s="799"/>
      <c r="R5" s="799"/>
    </row>
    <row r="6" spans="1:29" ht="36">
      <c r="A6" s="2441"/>
      <c r="B6" s="323" t="s">
        <v>2256</v>
      </c>
      <c r="C6" s="2469" t="s">
        <v>2251</v>
      </c>
      <c r="D6" s="2464"/>
      <c r="E6" s="2468"/>
      <c r="F6" s="323" t="s">
        <v>2257</v>
      </c>
      <c r="G6" s="2469" t="s">
        <v>2258</v>
      </c>
      <c r="H6" s="799"/>
      <c r="I6" s="799"/>
      <c r="J6" s="799"/>
      <c r="K6" s="799"/>
      <c r="L6" s="799"/>
      <c r="M6" s="799"/>
      <c r="N6" s="799"/>
      <c r="O6" s="799"/>
      <c r="P6" s="799"/>
      <c r="Q6" s="799"/>
      <c r="R6" s="799"/>
    </row>
    <row r="7" spans="1:29" ht="24.75" thickBot="1">
      <c r="A7" s="2441"/>
      <c r="B7" s="323" t="s">
        <v>2254</v>
      </c>
      <c r="C7" s="2469" t="s">
        <v>2255</v>
      </c>
      <c r="D7" s="2470"/>
      <c r="E7" s="2471"/>
      <c r="F7" s="2472" t="s">
        <v>2259</v>
      </c>
      <c r="G7" s="2473" t="s">
        <v>2260</v>
      </c>
      <c r="H7" s="799"/>
      <c r="I7" s="799"/>
      <c r="J7" s="799"/>
      <c r="K7" s="799"/>
      <c r="L7" s="799"/>
      <c r="M7" s="799"/>
      <c r="N7" s="799"/>
      <c r="O7" s="799"/>
      <c r="P7" s="799"/>
      <c r="Q7" s="799"/>
      <c r="R7" s="799"/>
    </row>
    <row r="8" spans="1:29">
      <c r="A8" s="2441"/>
      <c r="B8" s="323" t="s">
        <v>2257</v>
      </c>
      <c r="C8" s="2469" t="s">
        <v>2258</v>
      </c>
      <c r="D8" s="2470"/>
      <c r="E8" s="2470"/>
      <c r="F8" s="2474"/>
      <c r="G8" s="2474"/>
      <c r="H8" s="799"/>
      <c r="I8" s="799"/>
      <c r="J8" s="799"/>
      <c r="K8" s="799"/>
      <c r="L8" s="799"/>
      <c r="M8" s="799"/>
      <c r="N8" s="799"/>
      <c r="O8" s="799"/>
      <c r="P8" s="799"/>
      <c r="Q8" s="799"/>
      <c r="R8" s="799"/>
    </row>
    <row r="9" spans="1:29" ht="24">
      <c r="A9" s="2441"/>
      <c r="B9" s="323" t="s">
        <v>2261</v>
      </c>
      <c r="C9" s="2467" t="s">
        <v>2262</v>
      </c>
      <c r="D9" s="2464"/>
      <c r="E9" s="2470"/>
      <c r="F9" s="2474"/>
      <c r="G9" s="2474"/>
      <c r="H9" s="799"/>
      <c r="I9" s="799"/>
      <c r="J9" s="799"/>
      <c r="K9" s="799"/>
      <c r="L9" s="799"/>
      <c r="M9" s="799"/>
      <c r="N9" s="799"/>
      <c r="O9" s="799"/>
      <c r="P9" s="799"/>
      <c r="Q9" s="799"/>
      <c r="R9" s="799"/>
    </row>
    <row r="10" spans="1:29" s="2480" customFormat="1" ht="15" thickBot="1">
      <c r="A10" s="2442"/>
      <c r="B10" s="2475" t="s">
        <v>2263</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2281</v>
      </c>
      <c r="B13" s="2483"/>
      <c r="C13" s="2483"/>
      <c r="D13" s="2481"/>
      <c r="E13" s="2483"/>
      <c r="F13" s="2483"/>
      <c r="G13" s="2483"/>
    </row>
    <row r="14" spans="1:29" ht="15" thickBot="1">
      <c r="A14" s="2493"/>
      <c r="B14" s="2493"/>
      <c r="C14" s="2494" t="s">
        <v>2264</v>
      </c>
      <c r="D14" s="2464"/>
      <c r="E14" s="2495"/>
      <c r="F14" s="2495"/>
      <c r="G14" s="2459" t="s">
        <v>2265</v>
      </c>
    </row>
    <row r="15" spans="1:29" ht="51">
      <c r="A15" s="2443" t="s">
        <v>2266</v>
      </c>
      <c r="B15" s="2496" t="s">
        <v>2246</v>
      </c>
      <c r="C15" s="2497" t="str">
        <f>C3</f>
        <v>估价对象周边居住用地比例、居住小区规模和社区发展完善程度，综合评价居住社区成熟度一般</v>
      </c>
      <c r="D15" s="2464"/>
      <c r="E15" s="2444" t="s">
        <v>2267</v>
      </c>
      <c r="F15" s="2496" t="s">
        <v>2268</v>
      </c>
      <c r="G15" s="2498" t="str">
        <f>G3</f>
        <v>估价对象位于XX开发区，园区建设成熟度XX，产业集聚程度XX</v>
      </c>
    </row>
    <row r="16" spans="1:29" ht="38.25">
      <c r="A16" s="2445"/>
      <c r="B16" s="2499" t="s">
        <v>2248</v>
      </c>
      <c r="C16" s="2500" t="str">
        <f>C4</f>
        <v>估价对象位于XX商圈，周边商业氛围成熟，人流量大，商业繁华度好</v>
      </c>
      <c r="D16" s="2464"/>
      <c r="E16" s="2446"/>
      <c r="F16" s="2501" t="s">
        <v>2250</v>
      </c>
      <c r="G16" s="2502" t="str">
        <f>G4</f>
        <v>估价对象周边道路状况、公共交通通达情况、停车便捷程度，综合评价交通便捷度较好</v>
      </c>
    </row>
    <row r="17" spans="1:18" ht="38.25">
      <c r="A17" s="2445"/>
      <c r="B17" s="2499" t="s">
        <v>2252</v>
      </c>
      <c r="C17" s="2500" t="str">
        <f>C5</f>
        <v>估价对象位于XX商圈，周边办公楼项目较多，入驻率高，办公集聚程度较好</v>
      </c>
      <c r="D17" s="2470"/>
      <c r="E17" s="2446"/>
      <c r="F17" s="2501" t="s">
        <v>2269</v>
      </c>
      <c r="G17" s="2503"/>
    </row>
    <row r="18" spans="1:18" ht="38.25">
      <c r="A18" s="2445"/>
      <c r="B18" s="2501" t="s">
        <v>2256</v>
      </c>
      <c r="C18" s="2502" t="str">
        <f>C6</f>
        <v>估价对象周边道路状况、公共交通通达情况、停车便捷程度，综合评价交通便捷度较好</v>
      </c>
      <c r="D18" s="2470"/>
      <c r="E18" s="2446"/>
      <c r="F18" s="2501" t="s">
        <v>2259</v>
      </c>
      <c r="G18" s="2502" t="str">
        <f>G7</f>
        <v>该园区内是否有污染型企业，绿化情况，卫生条件，整体环境状况判断</v>
      </c>
    </row>
    <row r="19" spans="1:18" ht="25.5">
      <c r="A19" s="2445"/>
      <c r="B19" s="2501" t="s">
        <v>2270</v>
      </c>
      <c r="C19" s="2503"/>
      <c r="D19" s="2464"/>
      <c r="E19" s="2446"/>
      <c r="F19" s="323" t="s">
        <v>2254</v>
      </c>
      <c r="G19" s="2502" t="str">
        <f>G5</f>
        <v>估价对象所在区域公共配套设施齐备情况</v>
      </c>
    </row>
    <row r="20" spans="1:18" ht="25.5">
      <c r="A20" s="2445"/>
      <c r="B20" s="2501" t="s">
        <v>2271</v>
      </c>
      <c r="C20" s="2500" t="str">
        <f>C9</f>
        <v>区域自然环境：；人文环境；综合评价环境状况一般</v>
      </c>
      <c r="D20" s="2470"/>
      <c r="E20" s="2446"/>
      <c r="F20" s="323" t="s">
        <v>2257</v>
      </c>
      <c r="G20" s="2502" t="str">
        <f>G6</f>
        <v>估价对象所在区域基础设施水平</v>
      </c>
    </row>
    <row r="21" spans="1:18" ht="25.5">
      <c r="A21" s="2445"/>
      <c r="B21" s="323" t="s">
        <v>2254</v>
      </c>
      <c r="C21" s="2502" t="str">
        <f>C7</f>
        <v>估价对象所在区域公共配套设施齐备情况</v>
      </c>
      <c r="D21" s="2464"/>
      <c r="E21" s="2446"/>
      <c r="F21" s="2501" t="s">
        <v>2272</v>
      </c>
      <c r="G21" s="2504"/>
    </row>
    <row r="22" spans="1:18" ht="13.5" customHeight="1">
      <c r="A22" s="2445"/>
      <c r="B22" s="323" t="s">
        <v>2257</v>
      </c>
      <c r="C22" s="2502" t="str">
        <f>C8</f>
        <v>估价对象所在区域基础设施水平</v>
      </c>
      <c r="D22" s="2464"/>
      <c r="E22" s="2446"/>
      <c r="F22" s="2501" t="s">
        <v>2263</v>
      </c>
      <c r="G22" s="2503"/>
    </row>
    <row r="23" spans="1:18" s="799" customFormat="1" ht="15" thickBot="1">
      <c r="A23" s="2445"/>
      <c r="B23" s="2501" t="s">
        <v>2272</v>
      </c>
      <c r="C23" s="2504"/>
      <c r="D23" s="1740"/>
      <c r="E23" s="2447"/>
      <c r="F23" s="2505" t="s">
        <v>2273</v>
      </c>
      <c r="G23" s="2506"/>
      <c r="H23" s="2490"/>
      <c r="I23" s="2491"/>
      <c r="J23" s="2490"/>
      <c r="K23" s="2490"/>
      <c r="L23" s="2491"/>
      <c r="M23" s="2490"/>
      <c r="N23" s="2490"/>
      <c r="O23" s="2491"/>
      <c r="P23" s="2490"/>
      <c r="Q23" s="2490"/>
      <c r="R23" s="2492"/>
    </row>
    <row r="24" spans="1:18" s="799" customFormat="1" ht="15" thickBot="1">
      <c r="A24" s="2448"/>
      <c r="B24" s="2505" t="s">
        <v>2274</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4704.8599999999997</v>
      </c>
      <c r="C1" s="2685"/>
      <c r="D1" s="2685"/>
      <c r="E1" s="2685"/>
      <c r="F1" s="2685"/>
      <c r="G1" s="2686"/>
      <c r="H1" s="2687"/>
      <c r="I1" s="2687"/>
      <c r="J1" s="2687"/>
      <c r="K1" s="2687"/>
    </row>
    <row r="2" spans="1:11" ht="16.5">
      <c r="A2" s="2511" t="s">
        <v>653</v>
      </c>
      <c r="B2" s="2511">
        <f>SUM(C14:C23)</f>
        <v>2957.47</v>
      </c>
      <c r="C2" s="2685"/>
      <c r="D2" s="2685"/>
      <c r="E2" s="2685"/>
      <c r="F2" s="2685"/>
      <c r="G2" s="2686"/>
      <c r="H2" s="2687"/>
      <c r="I2" s="2687"/>
      <c r="J2" s="2687"/>
      <c r="K2" s="2687"/>
    </row>
    <row r="3" spans="1:11" ht="16.5">
      <c r="A3" s="2511" t="s">
        <v>662</v>
      </c>
      <c r="B3" s="2513">
        <f>项目基本情况!D3</f>
        <v>45496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11092</v>
      </c>
      <c r="C5" s="2511">
        <f ca="1">IF(B5=D14,结果表!H102,ROUND(B5*10000/$B$1,0))</f>
        <v>23576</v>
      </c>
      <c r="D5" s="2511">
        <f ca="1">ROUND(B5*10000/$B$2,0)</f>
        <v>37505</v>
      </c>
      <c r="E5" s="2685"/>
      <c r="F5" s="2686"/>
      <c r="G5" s="2686"/>
      <c r="H5" s="2687"/>
      <c r="I5" s="2687"/>
      <c r="J5" s="2687"/>
      <c r="K5" s="2687"/>
    </row>
    <row r="6" spans="1:11" ht="16.5">
      <c r="A6" s="2511" t="s">
        <v>656</v>
      </c>
      <c r="B6" s="2511">
        <f ca="1">SUM(G14:G23)</f>
        <v>11092</v>
      </c>
      <c r="C6" s="2511">
        <f ca="1">IF(B6=G14,结果表!H108,ROUND(B6*10000/$B$1,0))</f>
        <v>23576</v>
      </c>
      <c r="D6" s="2511">
        <f ca="1">ROUND(B6*10000/$B$2,0)</f>
        <v>37505</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4704.8599999999997</v>
      </c>
      <c r="C14" s="2517">
        <f>'数据-汇总表'!D3</f>
        <v>2957.47</v>
      </c>
      <c r="D14" s="2517">
        <f ca="1">结果表!H101</f>
        <v>11092</v>
      </c>
      <c r="E14" s="2517">
        <f ca="1">ROUND(D14*10000/B14,0)</f>
        <v>23576</v>
      </c>
      <c r="F14" s="2517">
        <f ca="1">ROUND(D14*10000/C14,0)</f>
        <v>37505</v>
      </c>
      <c r="G14" s="2517">
        <f ca="1">结果表!H107</f>
        <v>11092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D119" sqref="D119:G1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4" t="str">
        <f>项目基本情况!S2</f>
        <v>北京市朝阳区建国路管庄6号其他商服用房房地产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3" t="s">
        <v>1265</v>
      </c>
      <c r="B4" s="1754" t="s">
        <v>1266</v>
      </c>
      <c r="C4" s="1755" t="s">
        <v>3433</v>
      </c>
      <c r="D4" s="1755" t="s">
        <v>3419</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1268</v>
      </c>
      <c r="B5" s="3637">
        <v>25</v>
      </c>
      <c r="C5" s="3640"/>
      <c r="D5" s="3628"/>
      <c r="E5" s="131" t="s">
        <v>1269</v>
      </c>
      <c r="F5" s="1756"/>
      <c r="G5" s="1756"/>
      <c r="H5" s="1756"/>
      <c r="I5" s="1372"/>
    </row>
    <row r="6" spans="1:12" ht="12.75">
      <c r="A6" s="3582"/>
      <c r="B6" s="3637"/>
      <c r="C6" s="3642"/>
      <c r="D6" s="3628"/>
      <c r="E6" s="131" t="s">
        <v>1270</v>
      </c>
      <c r="F6" s="1756"/>
      <c r="G6" s="1756"/>
      <c r="H6" s="1756"/>
      <c r="I6" s="1372"/>
    </row>
    <row r="7" spans="1:12" ht="12.75">
      <c r="A7" s="3582"/>
      <c r="B7" s="3637"/>
      <c r="C7" s="3641"/>
      <c r="D7" s="3628"/>
      <c r="E7" s="131" t="s">
        <v>1271</v>
      </c>
      <c r="F7" s="1756"/>
      <c r="G7" s="1756"/>
      <c r="H7" s="1756"/>
      <c r="I7" s="1372"/>
    </row>
    <row r="8" spans="1:12" ht="12.75">
      <c r="A8" s="3582" t="s">
        <v>1272</v>
      </c>
      <c r="B8" s="3637">
        <v>15</v>
      </c>
      <c r="C8" s="3640"/>
      <c r="D8" s="3628"/>
      <c r="E8" s="131" t="s">
        <v>1273</v>
      </c>
      <c r="F8" s="1756"/>
      <c r="G8" s="1756"/>
      <c r="H8" s="1756"/>
      <c r="I8" s="1372"/>
    </row>
    <row r="9" spans="1:12" ht="12.75">
      <c r="A9" s="3582"/>
      <c r="B9" s="3637"/>
      <c r="C9" s="3641"/>
      <c r="D9" s="3628"/>
      <c r="E9" s="131" t="s">
        <v>1274</v>
      </c>
      <c r="F9" s="1756"/>
      <c r="G9" s="1756"/>
      <c r="H9" s="1756"/>
      <c r="I9" s="1372"/>
    </row>
    <row r="10" spans="1:12" ht="12.75">
      <c r="A10" s="3582" t="s">
        <v>1275</v>
      </c>
      <c r="B10" s="3637">
        <v>15</v>
      </c>
      <c r="C10" s="3640"/>
      <c r="D10" s="3628"/>
      <c r="E10" s="131" t="s">
        <v>1276</v>
      </c>
      <c r="F10" s="1756"/>
      <c r="G10" s="1756"/>
      <c r="H10" s="1756"/>
      <c r="I10" s="1372"/>
    </row>
    <row r="11" spans="1:12" ht="12.75">
      <c r="A11" s="3582"/>
      <c r="B11" s="3637"/>
      <c r="C11" s="3641"/>
      <c r="D11" s="3628"/>
      <c r="E11" s="131" t="s">
        <v>1277</v>
      </c>
      <c r="F11" s="1756"/>
      <c r="G11" s="1756"/>
      <c r="H11" s="1756"/>
      <c r="I11" s="1372"/>
    </row>
    <row r="12" spans="1:12" ht="12.75">
      <c r="A12" s="3582" t="s">
        <v>1278</v>
      </c>
      <c r="B12" s="3637">
        <v>15</v>
      </c>
      <c r="C12" s="3640"/>
      <c r="D12" s="3628"/>
      <c r="E12" s="131" t="s">
        <v>1279</v>
      </c>
      <c r="F12" s="1756"/>
      <c r="G12" s="1756"/>
      <c r="H12" s="1756"/>
      <c r="I12" s="1372"/>
    </row>
    <row r="13" spans="1:12" ht="12.75">
      <c r="A13" s="3582"/>
      <c r="B13" s="3637"/>
      <c r="C13" s="3641"/>
      <c r="D13" s="3628"/>
      <c r="E13" s="131" t="s">
        <v>1280</v>
      </c>
      <c r="F13" s="1756"/>
      <c r="G13" s="1756"/>
      <c r="H13" s="1756"/>
      <c r="I13" s="1372"/>
    </row>
    <row r="14" spans="1:12" ht="12.75">
      <c r="A14" s="3582" t="s">
        <v>1281</v>
      </c>
      <c r="B14" s="3637">
        <v>30</v>
      </c>
      <c r="C14" s="3640">
        <v>5</v>
      </c>
      <c r="D14" s="3628">
        <v>5</v>
      </c>
      <c r="E14" s="131" t="s">
        <v>1282</v>
      </c>
      <c r="F14" s="1756"/>
      <c r="G14" s="1756"/>
      <c r="H14" s="1756"/>
      <c r="I14" s="1372"/>
    </row>
    <row r="15" spans="1:12" ht="12.75">
      <c r="A15" s="3582"/>
      <c r="B15" s="3637"/>
      <c r="C15" s="3642"/>
      <c r="D15" s="3628"/>
      <c r="E15" s="131" t="s">
        <v>1283</v>
      </c>
      <c r="F15" s="1756"/>
      <c r="G15" s="1756"/>
      <c r="H15" s="1756"/>
      <c r="I15" s="1372"/>
    </row>
    <row r="16" spans="1:12" ht="12.75">
      <c r="A16" s="3582"/>
      <c r="B16" s="3637"/>
      <c r="C16" s="3641"/>
      <c r="D16" s="362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9" t="s">
        <v>2125</v>
      </c>
      <c r="F18" s="3660"/>
      <c r="G18" s="3660"/>
      <c r="H18" s="3660"/>
      <c r="I18" s="3660"/>
      <c r="K18" s="302" t="s">
        <v>1289</v>
      </c>
      <c r="L18" s="302">
        <f>IF(C1="",'数据-汇总表'!E3,SUMIF(项目类型,C1,'数据-汇总表'!E17:E26)+SUMIF(项目类型,C1,'数据-汇总表'!I17:I26))</f>
        <v>4704.8599999999997</v>
      </c>
      <c r="M18" s="302">
        <f>IF(C1="",'数据-汇总表'!E3,SUMIF(项目类型,C1,'数据-汇总表'!E17:E26))</f>
        <v>4704.8599999999997</v>
      </c>
    </row>
    <row r="19" spans="1:36" ht="15">
      <c r="A19" s="1760" t="s">
        <v>1290</v>
      </c>
      <c r="B19" s="1761" t="s">
        <v>1291</v>
      </c>
      <c r="C19" s="134">
        <f ca="1">SUMIF(INDIRECT("'"&amp;C4&amp;"'"&amp;"!A:A"),结果表!B19,INDIRECT("'"&amp;C4&amp;"'"&amp;"!B:B"))</f>
        <v>12312</v>
      </c>
      <c r="D19" s="135">
        <f ca="1">SUMIF(INDIRECT("'"&amp;D4&amp;"'"&amp;"!A:A"),结果表!B19,INDIRECT("'"&amp;D4&amp;"'"&amp;"!B:B"))</f>
        <v>12825</v>
      </c>
      <c r="E19" s="1760" t="s">
        <v>1292</v>
      </c>
      <c r="F19" s="1761" t="s">
        <v>1291</v>
      </c>
      <c r="G19" s="136">
        <f ca="1">ROUND(C19*$C$18+D19*$D$18,0)</f>
        <v>12569</v>
      </c>
      <c r="H19" s="1762" t="s">
        <v>1293</v>
      </c>
      <c r="I19" s="129"/>
      <c r="J19" s="725">
        <v>13036</v>
      </c>
      <c r="K19" s="302" t="s">
        <v>1294</v>
      </c>
      <c r="L19" s="302">
        <f>IF(C1="",'数据-汇总表'!D3,SUMIF(项目类型,C1,'数据-汇总表'!D17:D26)+SUMIF(项目类型,C1,'数据-汇总表'!H17:H27))</f>
        <v>2957.47</v>
      </c>
      <c r="M19" s="302">
        <f>IF(C1="",'数据-汇总表'!D3,SUMIF(项目类型,C1,'数据-汇总表'!D17:D26))</f>
        <v>2957.47</v>
      </c>
    </row>
    <row r="20" spans="1:36" ht="15">
      <c r="A20" s="1763"/>
      <c r="B20" s="1026" t="s">
        <v>1295</v>
      </c>
      <c r="C20" s="137">
        <f ca="1">SUMIF(INDIRECT("'"&amp;C4&amp;"'"&amp;"!A:A"),结果表!B20,INDIRECT("'"&amp;C4&amp;"'"&amp;"!B:B"))</f>
        <v>26169</v>
      </c>
      <c r="D20" s="138">
        <f ca="1">SUMIF(INDIRECT("'"&amp;D4&amp;"'"&amp;"!A:A"),结果表!B20,INDIRECT("'"&amp;D4&amp;"'"&amp;"!B:B"))</f>
        <v>27259</v>
      </c>
      <c r="E20" s="1763"/>
      <c r="F20" s="1026" t="s">
        <v>1295</v>
      </c>
      <c r="G20" s="139">
        <f ca="1">ROUND(C20*$C$18+D20*$D$18,0)</f>
        <v>26714</v>
      </c>
      <c r="H20" s="808" t="s">
        <v>1296</v>
      </c>
      <c r="I20" s="129"/>
      <c r="J20" s="725">
        <v>27707</v>
      </c>
    </row>
    <row r="21" spans="1:36" ht="15" customHeight="1" thickBot="1">
      <c r="A21" s="828"/>
      <c r="B21" s="1764" t="s">
        <v>1297</v>
      </c>
      <c r="C21" s="719">
        <f ca="1">ROUND(C19*10000/L19,0)</f>
        <v>41630</v>
      </c>
      <c r="D21" s="720">
        <f ca="1">ROUND(D19*10000/L19,0)</f>
        <v>43365</v>
      </c>
      <c r="E21" s="828"/>
      <c r="F21" s="1764" t="s">
        <v>1297</v>
      </c>
      <c r="G21" s="140">
        <f ca="1">ROUND(G19*10000/L19,0)</f>
        <v>42499</v>
      </c>
      <c r="H21" s="1765" t="s">
        <v>1296</v>
      </c>
      <c r="I21" s="129"/>
    </row>
    <row r="22" spans="1:36" ht="15" thickBot="1">
      <c r="A22" s="1687" t="s">
        <v>1298</v>
      </c>
      <c r="B22" s="1766"/>
      <c r="C22" s="1767"/>
      <c r="D22" s="721">
        <f ca="1">IF(C19&lt;D19,D19/C19-1,C19/D19-1)</f>
        <v>4.1666666666666741E-2</v>
      </c>
      <c r="E22" s="129"/>
      <c r="F22" s="129"/>
      <c r="G22" s="129"/>
      <c r="H22" s="129"/>
      <c r="I22" s="129"/>
    </row>
    <row r="23" spans="1:36" ht="13.5" thickBot="1">
      <c r="A23" s="1746"/>
      <c r="B23" s="1746"/>
      <c r="C23" s="1746"/>
      <c r="D23" s="1746"/>
      <c r="E23" s="129"/>
      <c r="F23" s="129"/>
      <c r="G23" s="129">
        <f ca="1">H101</f>
        <v>11092</v>
      </c>
      <c r="H23" s="129"/>
      <c r="I23" s="129"/>
      <c r="J23" s="3452" t="s">
        <v>3435</v>
      </c>
      <c r="K23" s="725">
        <v>11294</v>
      </c>
    </row>
    <row r="24" spans="1:36" ht="14.25">
      <c r="A24" s="3652" t="s">
        <v>1299</v>
      </c>
      <c r="B24" s="1761" t="s">
        <v>1291</v>
      </c>
      <c r="C24" s="136">
        <f>IF(B30=0,0,D30)</f>
        <v>1477</v>
      </c>
      <c r="D24" s="1768"/>
      <c r="E24" s="129"/>
      <c r="F24" s="129"/>
      <c r="G24" s="129"/>
      <c r="H24" s="129"/>
      <c r="I24" s="129"/>
      <c r="K24" s="725">
        <f ca="1">G23-K23</f>
        <v>-202</v>
      </c>
    </row>
    <row r="25" spans="1:36" ht="14.25">
      <c r="A25" s="365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f>'数据-汇总表'!E3</f>
        <v>4704.8599999999997</v>
      </c>
      <c r="C27" s="142">
        <v>0</v>
      </c>
      <c r="D27" s="143">
        <f>ROUND((基准地价修正!V2+基准地价修正!V3+基准地价修正!V4+基准地价修正!V5)*0.25*1.0305,0)</f>
        <v>1477</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f>B27</f>
        <v>4704.8599999999997</v>
      </c>
      <c r="C30" s="142"/>
      <c r="D30" s="142">
        <f>D27</f>
        <v>1477</v>
      </c>
      <c r="E30" s="2302" t="s">
        <v>2126</v>
      </c>
      <c r="F30" s="129"/>
      <c r="G30" s="129"/>
      <c r="H30" s="129"/>
      <c r="I30" s="129"/>
    </row>
    <row r="31" spans="1:36" s="2308" customFormat="1" ht="26.45" customHeight="1" thickTop="1" thickBot="1">
      <c r="A31" s="2303"/>
      <c r="B31" s="2304"/>
      <c r="C31" s="2304"/>
      <c r="D31" s="2304"/>
      <c r="E31" s="2304"/>
      <c r="F31" s="2304"/>
      <c r="G31" s="2304"/>
      <c r="H31" s="2304"/>
      <c r="I31" s="2305" t="s">
        <v>2127</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11092</v>
      </c>
      <c r="D32" s="1774" t="s">
        <v>3434</v>
      </c>
      <c r="E32" s="129"/>
      <c r="F32" s="129"/>
      <c r="G32" s="129"/>
      <c r="H32" s="129"/>
      <c r="I32" s="129"/>
    </row>
    <row r="33" spans="1:15" ht="15">
      <c r="A33" s="786" t="s">
        <v>1306</v>
      </c>
      <c r="B33" s="1775"/>
      <c r="C33" s="1776" t="s">
        <v>3874</v>
      </c>
      <c r="D33" s="1777" t="s">
        <v>3419</v>
      </c>
      <c r="E33" s="1778" t="s">
        <v>1307</v>
      </c>
      <c r="F33" s="1779" t="str">
        <f>IF(D32="楼面单价","取值（单价）","取值（总价）")</f>
        <v>取值（总价）</v>
      </c>
      <c r="G33" s="129"/>
      <c r="H33" s="129"/>
      <c r="I33" s="129"/>
    </row>
    <row r="34" spans="1:15" ht="15">
      <c r="A34" s="1780"/>
      <c r="B34" s="1781" t="s">
        <v>1308</v>
      </c>
      <c r="C34" s="148">
        <f ca="1">IF(C33="自定义",F34,C32-C35)</f>
        <v>9394</v>
      </c>
      <c r="D34" s="861">
        <f ca="1">IF(C33="自定义",ROUND(C34/C32,3),IF(C33="收益比率",SUMIF(INDIRECT("'"&amp;D33&amp;"'"&amp;"!b:b"),"土地收益比率",INDIRECT("'"&amp;D33&amp;"'"&amp;"!c:c")),SUMIF(INDIRECT("'"&amp;D33&amp;"'"&amp;"!b:b"),"土地成本比率",INDIRECT("'"&amp;D33&amp;"'"&amp;"!c:c"))))</f>
        <v>0.84699999999999998</v>
      </c>
      <c r="E34" s="1782" t="s">
        <v>1309</v>
      </c>
      <c r="F34" s="1329">
        <f ca="1">G23-F35</f>
        <v>9394</v>
      </c>
      <c r="G34" s="129"/>
      <c r="H34" s="129"/>
      <c r="I34" s="129"/>
    </row>
    <row r="35" spans="1:15" ht="15.75" thickBot="1">
      <c r="A35" s="1783"/>
      <c r="B35" s="1784" t="s">
        <v>1310</v>
      </c>
      <c r="C35" s="1170">
        <f ca="1">IF(C33="自定义",F35,ROUND(C32*D35,0))</f>
        <v>1698</v>
      </c>
      <c r="D35" s="1171">
        <f ca="1">IF(C33="自定义",ROUND(C35/C32,3),IF(C33="收益比率",SUMIF(INDIRECT("'"&amp;D33&amp;"'"&amp;"!b:b"),"建筑物收益比率",INDIRECT("'"&amp;D33&amp;"'"&amp;"!c:c")),SUMIF(INDIRECT("'"&amp;D33&amp;"'"&amp;"!b:b"),"建筑物成本比率",INDIRECT("'"&amp;D33&amp;"'"&amp;"!c:c"))))</f>
        <v>0.153</v>
      </c>
      <c r="E35" s="1785" t="s">
        <v>1311</v>
      </c>
      <c r="F35" s="154">
        <f ca="1">成本法!C54</f>
        <v>1698</v>
      </c>
      <c r="G35" s="129"/>
      <c r="H35" s="129"/>
      <c r="I35" s="129"/>
    </row>
    <row r="36" spans="1:15" ht="15.75" thickBot="1">
      <c r="A36" s="3629" t="s">
        <v>1312</v>
      </c>
      <c r="B36" s="1786" t="s">
        <v>1313</v>
      </c>
      <c r="C36" s="145"/>
      <c r="D36" s="1787"/>
      <c r="E36" s="1788"/>
      <c r="F36" s="1789"/>
      <c r="G36" s="129"/>
      <c r="H36" s="129"/>
      <c r="I36" s="129"/>
    </row>
    <row r="37" spans="1:15" ht="15.75" thickBot="1">
      <c r="A37" s="3630"/>
      <c r="B37" s="1673" t="s">
        <v>1314</v>
      </c>
      <c r="C37" s="147"/>
      <c r="D37" s="1139"/>
      <c r="E37" s="1139"/>
      <c r="F37" s="1789"/>
      <c r="G37" s="129"/>
      <c r="H37" s="129"/>
      <c r="I37" s="129"/>
    </row>
    <row r="38" spans="1:15" ht="15.75" thickBot="1">
      <c r="A38" s="363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9" t="s">
        <v>1326</v>
      </c>
      <c r="B45" s="3650"/>
      <c r="C45" s="3651"/>
      <c r="D45" s="155">
        <f ca="1">ROUND(H101*F45,0)</f>
        <v>11092</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5"/>
      <c r="I46" s="159"/>
      <c r="J46" s="2522">
        <v>1</v>
      </c>
      <c r="K46" s="3570" t="s">
        <v>1331</v>
      </c>
      <c r="L46" s="3570"/>
      <c r="M46" s="3571"/>
      <c r="N46" s="3571"/>
      <c r="O46" s="3571"/>
    </row>
    <row r="47" spans="1:15" ht="12" customHeight="1">
      <c r="A47" s="160" t="s">
        <v>1332</v>
      </c>
      <c r="B47" s="161"/>
      <c r="C47" s="162"/>
      <c r="D47" s="1087" t="s">
        <v>1333</v>
      </c>
      <c r="E47" s="302" t="s">
        <v>1334</v>
      </c>
      <c r="F47" s="163" t="s">
        <v>1335</v>
      </c>
      <c r="G47" s="2545" t="s">
        <v>1336</v>
      </c>
      <c r="H47" s="2546"/>
      <c r="I47" s="159"/>
      <c r="J47" s="2522">
        <v>2</v>
      </c>
      <c r="K47" s="3570" t="s">
        <v>1337</v>
      </c>
      <c r="L47" s="3570"/>
      <c r="M47" s="3572">
        <f>'数据-取费表'!B2</f>
        <v>45496</v>
      </c>
      <c r="N47" s="3572"/>
      <c r="O47" s="3572"/>
    </row>
    <row r="48" spans="1:15" ht="25.5">
      <c r="A48" s="3632" t="s">
        <v>1338</v>
      </c>
      <c r="B48" s="3633"/>
      <c r="C48" s="3633"/>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70" t="s">
        <v>1340</v>
      </c>
      <c r="L48" s="3570"/>
      <c r="M48" s="3573">
        <f ca="1">H101</f>
        <v>11092</v>
      </c>
      <c r="N48" s="3573"/>
      <c r="O48" s="3573"/>
    </row>
    <row r="49" spans="1:35" ht="25.5" customHeight="1">
      <c r="A49" s="2332" t="s">
        <v>1341</v>
      </c>
      <c r="B49" s="3618" t="s">
        <v>1342</v>
      </c>
      <c r="C49" s="3618"/>
      <c r="D49" s="1589">
        <v>0</v>
      </c>
      <c r="E49" s="324" t="s">
        <v>1343</v>
      </c>
      <c r="F49" s="2423" t="s">
        <v>28</v>
      </c>
      <c r="G49" s="3601"/>
      <c r="H49" s="2309" t="s">
        <v>2128</v>
      </c>
      <c r="I49" s="2310"/>
      <c r="J49" s="2522">
        <v>4</v>
      </c>
      <c r="K49" s="3570" t="str">
        <f>IF(项目基本情况!E8="房地产抵押价值","房地产抵押价值","抵押担保权已注销时的房地产抵押价值")</f>
        <v>房地产抵押价值</v>
      </c>
      <c r="L49" s="3570"/>
      <c r="M49" s="3573">
        <f ca="1">IF(项目基本情况!E8="房地产抵押价值",H107,H109)</f>
        <v>11092</v>
      </c>
      <c r="N49" s="3573"/>
      <c r="O49" s="3573"/>
    </row>
    <row r="50" spans="1:35" ht="25.5" customHeight="1">
      <c r="A50" s="2550"/>
      <c r="B50" s="3618" t="s">
        <v>1344</v>
      </c>
      <c r="C50" s="3618"/>
      <c r="D50" s="2551"/>
      <c r="E50" s="332"/>
      <c r="F50" s="2423"/>
      <c r="G50" s="3602"/>
      <c r="H50" s="2311" t="s">
        <v>2129</v>
      </c>
      <c r="I50" s="2310"/>
      <c r="J50" s="3569" t="s">
        <v>1345</v>
      </c>
      <c r="K50" s="3569"/>
      <c r="L50" s="3569"/>
      <c r="M50" s="3569"/>
      <c r="N50" s="3569"/>
      <c r="O50" s="3569"/>
    </row>
    <row r="51" spans="1:35" ht="20.45" customHeight="1">
      <c r="A51" s="2552"/>
      <c r="B51" s="3618" t="s">
        <v>1346</v>
      </c>
      <c r="C51" s="3618"/>
      <c r="D51" s="1087"/>
      <c r="E51" s="327"/>
      <c r="F51" s="2423"/>
      <c r="G51" s="3603"/>
      <c r="H51" s="2311" t="s">
        <v>2130</v>
      </c>
      <c r="I51" s="2310"/>
      <c r="J51" s="2523" t="s">
        <v>1347</v>
      </c>
      <c r="K51" s="3570" t="s">
        <v>1348</v>
      </c>
      <c r="L51" s="3570"/>
      <c r="M51" s="2523" t="s">
        <v>1349</v>
      </c>
      <c r="N51" s="2523" t="s">
        <v>1350</v>
      </c>
      <c r="O51" s="2523" t="s">
        <v>1351</v>
      </c>
    </row>
    <row r="52" spans="1:35" ht="24" customHeight="1">
      <c r="A52" s="2334" t="s">
        <v>1352</v>
      </c>
      <c r="B52" s="3618" t="s">
        <v>1353</v>
      </c>
      <c r="C52" s="3618"/>
      <c r="D52" s="1087">
        <f ca="1">ROUND(D45*'数据-取费表'!B41/(1+'数据-取费表'!C42),0)</f>
        <v>592</v>
      </c>
      <c r="E52" s="2333" t="s">
        <v>1354</v>
      </c>
      <c r="F52" s="2553">
        <f>'数据-取费表'!B41</f>
        <v>5.6000000000000001E-2</v>
      </c>
      <c r="G52" s="2554"/>
      <c r="H52" s="2543"/>
      <c r="I52" s="1806"/>
      <c r="J52" s="2522">
        <v>1</v>
      </c>
      <c r="K52" s="3595" t="s">
        <v>1355</v>
      </c>
      <c r="L52" s="3595"/>
      <c r="M52" s="2524" t="b">
        <f>D48</f>
        <v>0</v>
      </c>
      <c r="N52" s="2522" t="str">
        <f>E48</f>
        <v>销售额×税（费）率</v>
      </c>
      <c r="O52" s="2525">
        <f>F48</f>
        <v>5.6000000000000001E-2</v>
      </c>
    </row>
    <row r="53" spans="1:35" ht="12" customHeight="1">
      <c r="A53" s="2334" t="s">
        <v>1356</v>
      </c>
      <c r="B53" s="3619" t="s">
        <v>2285</v>
      </c>
      <c r="C53" s="3620"/>
      <c r="D53" s="1087">
        <f ca="1">ROUND(D45*'数据-取费表'!B41/(1+'数据-取费表'!C42),0)</f>
        <v>592</v>
      </c>
      <c r="E53" s="2333" t="s">
        <v>1354</v>
      </c>
      <c r="F53" s="2553">
        <f>'数据-取费表'!B41</f>
        <v>5.6000000000000001E-2</v>
      </c>
      <c r="G53" s="2554"/>
      <c r="H53" s="2543"/>
      <c r="I53" s="1806"/>
      <c r="J53" s="2522">
        <v>2</v>
      </c>
      <c r="K53" s="3595" t="s">
        <v>1357</v>
      </c>
      <c r="L53" s="3595"/>
      <c r="M53" s="2524">
        <f t="shared" ref="M53:O54" ca="1" si="0">D55</f>
        <v>6</v>
      </c>
      <c r="N53" s="2522" t="str">
        <f t="shared" si="0"/>
        <v>销售额×税（费）率</v>
      </c>
      <c r="O53" s="2525" t="str">
        <f t="shared" si="0"/>
        <v>免征</v>
      </c>
    </row>
    <row r="54" spans="1:35" ht="12" customHeight="1">
      <c r="A54" s="2334" t="s">
        <v>1358</v>
      </c>
      <c r="B54" s="3619" t="s">
        <v>2286</v>
      </c>
      <c r="C54" s="3620"/>
      <c r="D54" s="1087">
        <f ca="1">C68</f>
        <v>592</v>
      </c>
      <c r="E54" s="327" t="s">
        <v>1359</v>
      </c>
      <c r="F54" s="2553">
        <f>'数据-取费表'!B41</f>
        <v>5.6000000000000001E-2</v>
      </c>
      <c r="G54" s="2554"/>
      <c r="H54" s="2555"/>
      <c r="I54" s="1806"/>
      <c r="J54" s="2522">
        <v>3</v>
      </c>
      <c r="K54" s="3595" t="s">
        <v>1360</v>
      </c>
      <c r="L54" s="3595"/>
      <c r="M54" s="2524">
        <f t="shared" ca="1" si="0"/>
        <v>6279</v>
      </c>
      <c r="N54" s="2522" t="str">
        <f t="shared" si="0"/>
        <v>增值额×税（费）率</v>
      </c>
      <c r="O54" s="2526" t="str">
        <f t="shared" si="0"/>
        <v>免征</v>
      </c>
    </row>
    <row r="55" spans="1:35" ht="24" customHeight="1">
      <c r="A55" s="3655" t="s">
        <v>1361</v>
      </c>
      <c r="B55" s="3633"/>
      <c r="C55" s="3633"/>
      <c r="D55" s="2323">
        <f ca="1">IF(H55="个人住宅",0,ROUND(D45*I55,0))</f>
        <v>6</v>
      </c>
      <c r="E55" s="2333" t="s">
        <v>1362</v>
      </c>
      <c r="F55" s="2553" t="str">
        <f>IF(H55="正常",I55,"免征")</f>
        <v>免征</v>
      </c>
      <c r="G55" s="2554"/>
      <c r="H55" s="2549"/>
      <c r="I55" s="165">
        <f>'数据-取费表'!B49</f>
        <v>5.0000000000000001E-4</v>
      </c>
      <c r="J55" s="2522">
        <f>IF(H59="非个人房产","",4)</f>
        <v>4</v>
      </c>
      <c r="K55" s="3595" t="str">
        <f>IF(H59="非个人房产","——","个人所得税")</f>
        <v>个人所得税</v>
      </c>
      <c r="L55" s="3595"/>
      <c r="M55" s="2527">
        <f ca="1">D59</f>
        <v>106</v>
      </c>
      <c r="N55" s="2039" t="str">
        <f>E59</f>
        <v>差额计税</v>
      </c>
      <c r="O55" s="2528">
        <f>F59</f>
        <v>0.01</v>
      </c>
    </row>
    <row r="56" spans="1:35" ht="24.75">
      <c r="A56" s="3655" t="s">
        <v>1363</v>
      </c>
      <c r="B56" s="3633"/>
      <c r="C56" s="3633"/>
      <c r="D56" s="2323">
        <f ca="1">IF(H56="个人住宅",D57,D58)</f>
        <v>6279</v>
      </c>
      <c r="E56" s="2333" t="s">
        <v>1364</v>
      </c>
      <c r="F56" s="2553" t="str">
        <f>IF(H56="正常",F58,"免征")</f>
        <v>免征</v>
      </c>
      <c r="G56" s="2556" t="s">
        <v>1365</v>
      </c>
      <c r="H56" s="2557"/>
      <c r="I56" s="1807"/>
      <c r="J56" s="2522" t="str">
        <f>IF(项目基本情况!K6="上海银行",IF(J55="",4,J55+1),"")</f>
        <v/>
      </c>
      <c r="K56" s="3576" t="str">
        <f>IF(项目基本情况!K6="上海银行","其他处置费用","")</f>
        <v/>
      </c>
      <c r="L56" s="3577"/>
      <c r="M56" s="2524" t="str">
        <f>IF(项目基本情况!K6="上海银行",M69,"")</f>
        <v/>
      </c>
      <c r="N56" s="3576" t="str">
        <f>IF(项目基本情况!K6="上海银行","包含处置中涉及的律师、诉讼、拍卖、评估等费用","")</f>
        <v/>
      </c>
      <c r="O56" s="3579"/>
    </row>
    <row r="57" spans="1:35" ht="12.75">
      <c r="A57" s="2334" t="s">
        <v>1341</v>
      </c>
      <c r="B57" s="3619" t="s">
        <v>1366</v>
      </c>
      <c r="C57" s="3620"/>
      <c r="D57" s="1589">
        <v>0</v>
      </c>
      <c r="E57" s="324" t="s">
        <v>1343</v>
      </c>
      <c r="F57" s="302"/>
      <c r="G57" s="2554"/>
      <c r="H57" s="2558"/>
      <c r="I57" s="1807"/>
      <c r="J57" s="3595">
        <f>IF(AND(J55="",J56=""),4,IF(项目基本情况!K6="上海银行",结果表!J56+1,结果表!J55+1))</f>
        <v>5</v>
      </c>
      <c r="K57" s="3595" t="s">
        <v>1367</v>
      </c>
      <c r="L57" s="2529" t="s">
        <v>1368</v>
      </c>
      <c r="M57" s="2530"/>
      <c r="N57" s="2531">
        <f ca="1">SUMIF(M52:M56,"&lt;9e307")</f>
        <v>6391</v>
      </c>
      <c r="O57" s="2532"/>
      <c r="P57" s="2689">
        <f ca="1">N57/M49</f>
        <v>0.57618103137396326</v>
      </c>
    </row>
    <row r="58" spans="1:35" ht="24.75">
      <c r="A58" s="2334" t="s">
        <v>1352</v>
      </c>
      <c r="B58" s="3619" t="s">
        <v>1369</v>
      </c>
      <c r="C58" s="3618"/>
      <c r="D58" s="2323">
        <f ca="1">IF(H58="转让取得",C81,C97)</f>
        <v>6279</v>
      </c>
      <c r="E58" s="2333" t="s">
        <v>1364</v>
      </c>
      <c r="F58" s="302" t="s">
        <v>28</v>
      </c>
      <c r="G58" s="2554"/>
      <c r="H58" s="2557"/>
      <c r="I58" s="1807"/>
      <c r="J58" s="3595"/>
      <c r="K58" s="3595"/>
      <c r="L58" s="2529" t="s">
        <v>1370</v>
      </c>
      <c r="M58" s="2533"/>
      <c r="N58" s="2534" t="str">
        <f ca="1">NUMBERSTRING(INT(N57*10000),2)&amp;"元整"</f>
        <v>陆仟叁佰玖拾壹万元整</v>
      </c>
      <c r="O58" s="2535"/>
    </row>
    <row r="59" spans="1:35" ht="24.75" thickBot="1">
      <c r="A59" s="3599" t="s">
        <v>1371</v>
      </c>
      <c r="B59" s="3600"/>
      <c r="C59" s="3600"/>
      <c r="D59" s="2559">
        <f ca="1">IF(H59="非个人房产","——",IF(H59="个人住宅（满五唯一有凭证）",0,IF(H59="个人其他（无凭证）",ROUND(D45*F59,0),ROUND(C67*F59,0))))</f>
        <v>106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2131</v>
      </c>
      <c r="J59" s="3597">
        <f>J57+1</f>
        <v>6</v>
      </c>
      <c r="K59" s="3595" t="s">
        <v>1372</v>
      </c>
      <c r="L59" s="2522" t="s">
        <v>1368</v>
      </c>
      <c r="M59" s="2536"/>
      <c r="N59" s="2537">
        <f ca="1">M49-N57</f>
        <v>4701</v>
      </c>
      <c r="O59" s="2538"/>
    </row>
    <row r="60" spans="1:35" ht="12" customHeight="1">
      <c r="A60" s="1808"/>
      <c r="B60" s="1746"/>
      <c r="C60" s="1746"/>
      <c r="D60" s="1746"/>
      <c r="E60" s="1577"/>
      <c r="F60" s="1807"/>
      <c r="G60" s="1807"/>
      <c r="H60" s="1809"/>
      <c r="I60" s="129"/>
      <c r="J60" s="3598"/>
      <c r="K60" s="3595"/>
      <c r="L60" s="2529" t="s">
        <v>1370</v>
      </c>
      <c r="M60" s="2533"/>
      <c r="N60" s="2534" t="str">
        <f ca="1">NUMBERSTRING(INT(N59*10000),2)&amp;"元整"</f>
        <v>肆仟柒佰零壹万元整</v>
      </c>
      <c r="O60" s="2535"/>
    </row>
    <row r="61" spans="1:35" ht="13.5" thickBot="1">
      <c r="A61" s="3654" t="s">
        <v>1373</v>
      </c>
      <c r="B61" s="3654"/>
      <c r="C61" s="3654"/>
      <c r="D61" s="3654"/>
      <c r="E61" s="3654"/>
      <c r="F61" s="1807"/>
      <c r="G61" s="1807"/>
      <c r="H61" s="1809"/>
      <c r="I61" s="129"/>
      <c r="J61" s="2522">
        <f>J59+1</f>
        <v>7</v>
      </c>
      <c r="K61" s="3595" t="s">
        <v>1374</v>
      </c>
      <c r="L61" s="3595"/>
      <c r="M61" s="2539"/>
      <c r="N61" s="2540">
        <f ca="1">ROUND(N59*10000/'数据-汇总表'!E3,0)</f>
        <v>9992</v>
      </c>
      <c r="O61" s="2541"/>
    </row>
    <row r="62" spans="1:35" ht="12.75">
      <c r="A62" s="3614" t="s">
        <v>1375</v>
      </c>
      <c r="B62" s="3615"/>
      <c r="C62" s="2020"/>
      <c r="D62" s="2020" t="s">
        <v>1376</v>
      </c>
      <c r="E62" s="166" t="s">
        <v>1377</v>
      </c>
      <c r="F62" s="1807"/>
      <c r="G62" s="1807"/>
      <c r="H62" s="1809"/>
      <c r="I62" s="129"/>
    </row>
    <row r="63" spans="1:35" ht="12.75">
      <c r="A63" s="173" t="s">
        <v>330</v>
      </c>
      <c r="B63" s="167" t="s">
        <v>1378</v>
      </c>
      <c r="C63" s="2563">
        <f ca="1">ROUND((C64+C65)/(1+'数据-取费表'!C42),0)</f>
        <v>10564</v>
      </c>
      <c r="D63" s="167"/>
      <c r="E63" s="168"/>
      <c r="F63" s="1807"/>
      <c r="G63" s="1807"/>
      <c r="H63" s="1809"/>
      <c r="I63" s="129"/>
      <c r="J63" s="3578" t="s">
        <v>1379</v>
      </c>
      <c r="K63" s="1331" t="s">
        <v>1380</v>
      </c>
      <c r="L63" s="1331">
        <f ca="1">IF(M49&gt;10000,M49*0.5%,IF(AND(M49&gt;1000,M49&lt;=10000),M49*1%,IF(AND(M49&gt;100,M49&lt;=1000),M49*3%,IF(AND(M49&gt;10,M49&lt;=100),M49*5%,M49*8%))))</f>
        <v>55.46</v>
      </c>
      <c r="M63" s="302">
        <f ca="1">ROUND(L63,1)</f>
        <v>55.5</v>
      </c>
      <c r="N63" s="2542"/>
      <c r="Z63" s="1751"/>
      <c r="AI63" s="1752"/>
    </row>
    <row r="64" spans="1:35" ht="14.25" customHeight="1">
      <c r="A64" s="169" t="s">
        <v>325</v>
      </c>
      <c r="B64" s="170" t="s">
        <v>1381</v>
      </c>
      <c r="C64" s="2564">
        <f ca="1">D45</f>
        <v>11092</v>
      </c>
      <c r="D64" s="170" t="s">
        <v>26</v>
      </c>
      <c r="E64" s="172"/>
      <c r="F64" s="1807"/>
      <c r="G64" s="1807"/>
      <c r="H64" s="1809"/>
      <c r="I64" s="129"/>
      <c r="J64" s="3578"/>
      <c r="K64" s="1331" t="s">
        <v>1382</v>
      </c>
      <c r="L64" s="1331">
        <f ca="1">IF(M49&gt;2000,M49*0.5%,IF(AND(M49&gt;1000,M49&lt;=2000),M49*0.6%,IF(AND(M49&gt;500,M49&lt;=1000),M49*0.7%,IF(AND(M49&gt;200,M49&lt;=500),M49*0.8%,IF(AND(M49&gt;100,M49&lt;=200),M49*0.9%,IF(AND(M49&gt;50,M49&lt;=100),M49*1%,IF(AND(M49&gt;20,M49&lt;=50),M49*1.5%,IF(AND(M49&gt;10,M49&lt;=20),M49*2%,IF(AND(M49&gt;1,M49&lt;=10),M49*2.5%)))))))))</f>
        <v>55.46</v>
      </c>
      <c r="M64" s="302">
        <f t="shared" ref="M64:M65" ca="1" si="1">ROUND(L64,1)</f>
        <v>55.5</v>
      </c>
      <c r="N64" s="2543" t="s">
        <v>1383</v>
      </c>
      <c r="Z64" s="1751"/>
      <c r="AI64" s="1752"/>
    </row>
    <row r="65" spans="1:35" ht="14.25" customHeight="1">
      <c r="A65" s="169" t="s">
        <v>326</v>
      </c>
      <c r="B65" s="170" t="s">
        <v>1384</v>
      </c>
      <c r="C65" s="2565"/>
      <c r="D65" s="170"/>
      <c r="E65" s="172"/>
      <c r="F65" s="1807"/>
      <c r="G65" s="1807"/>
      <c r="H65" s="1809"/>
      <c r="I65" s="129"/>
      <c r="J65" s="3578"/>
      <c r="K65" s="1331" t="s">
        <v>1385</v>
      </c>
      <c r="L65" s="1331">
        <f ca="1">IF(M49&gt;1000,M49*0.1%,IF(AND(M49&gt;500,M49&lt;=1000),M49*0.5%,IF(AND(M49&gt;50,M49&lt;=500),M49*1%,IF(AND(M49&gt;1,M49&lt;=50),M49*1.5%))))</f>
        <v>11.092000000000001</v>
      </c>
      <c r="M65" s="302">
        <f t="shared" ca="1" si="1"/>
        <v>11.1</v>
      </c>
      <c r="N65" s="2543" t="s">
        <v>1383</v>
      </c>
      <c r="Z65" s="1751"/>
      <c r="AI65" s="1752"/>
    </row>
    <row r="66" spans="1:35" ht="14.25" customHeight="1">
      <c r="A66" s="173" t="s">
        <v>327</v>
      </c>
      <c r="B66" s="174" t="s">
        <v>1386</v>
      </c>
      <c r="C66" s="2566"/>
      <c r="D66" s="174" t="s">
        <v>26</v>
      </c>
      <c r="E66" s="1337" t="s">
        <v>671</v>
      </c>
      <c r="F66" s="1807"/>
      <c r="G66" s="1807"/>
      <c r="H66" s="1809"/>
      <c r="I66" s="129"/>
      <c r="J66" s="3578"/>
      <c r="K66" s="1331" t="s">
        <v>1387</v>
      </c>
      <c r="L66" s="1331">
        <f ca="1">M49*0.5%</f>
        <v>55.46</v>
      </c>
      <c r="M66" s="302">
        <f ca="1">IF(L66&gt;0.5,0.5,ROUND(L66,0))</f>
        <v>0.5</v>
      </c>
      <c r="N66" s="2543" t="s">
        <v>1388</v>
      </c>
      <c r="Z66" s="1751"/>
      <c r="AI66" s="1752"/>
    </row>
    <row r="67" spans="1:35" ht="14.25" customHeight="1">
      <c r="A67" s="173" t="s">
        <v>328</v>
      </c>
      <c r="B67" s="174" t="s">
        <v>1389</v>
      </c>
      <c r="C67" s="2567">
        <f ca="1">C63-C66</f>
        <v>10564</v>
      </c>
      <c r="D67" s="170" t="s">
        <v>26</v>
      </c>
      <c r="E67" s="172"/>
      <c r="F67" s="1807"/>
      <c r="G67" s="1807"/>
      <c r="H67" s="1809"/>
      <c r="I67" s="129"/>
      <c r="J67" s="3578"/>
      <c r="K67" s="1331" t="s">
        <v>1390</v>
      </c>
      <c r="L67" s="1331">
        <f ca="1">IF(M49&gt;=10000,(8.25+(M49-10000)*0.01%),IF(AND(M49&gt;=8000,M49&lt;10000),(7.85+(M49-8000)*0.02%),IF(AND(M49&gt;=5000,M49&lt;8000),(6.65+(M49-5000)*0.04%),IF(AND(M49&gt;=2000,M49&lt;5000),(4.25+(PM49-2000)*0.08%),IF(AND(M49&gt;=1000,M49&lt;2000),(2.75+(M49-1000)*0.15%),IF(AND(M49&gt;=100,M49&lt;1000),(0.5+(M49-100)*0.25%),IF(AND(M49&gt;0,M49&lt;100),M49*0.5%)))))))</f>
        <v>8.3591999999999995</v>
      </c>
      <c r="M67" s="302">
        <f ca="1">ROUND(L67*0.9,1)</f>
        <v>7.5</v>
      </c>
      <c r="N67" s="2542"/>
      <c r="Z67" s="1751"/>
      <c r="AI67" s="1752"/>
    </row>
    <row r="68" spans="1:35" ht="14.25" customHeight="1" thickBot="1">
      <c r="A68" s="176" t="s">
        <v>329</v>
      </c>
      <c r="B68" s="177" t="s">
        <v>1391</v>
      </c>
      <c r="C68" s="2568">
        <f ca="1">IF(C67&lt;=0,0,ROUND(C67*D68,0))</f>
        <v>592</v>
      </c>
      <c r="D68" s="2569">
        <f>'数据-取费表'!B41</f>
        <v>5.6000000000000001E-2</v>
      </c>
      <c r="E68" s="178"/>
      <c r="F68" s="1807"/>
      <c r="G68" s="1807"/>
      <c r="H68" s="1809"/>
      <c r="I68" s="129"/>
      <c r="J68" s="3578"/>
      <c r="K68" s="1331" t="s">
        <v>1392</v>
      </c>
      <c r="L68" s="1331">
        <f ca="1">IF(M49&gt;10000,M49*0.5%,IF(AND(M49&gt;5000,M49&lt;=10000),M49*1%,IF(AND(M49&gt;1000,M49&lt;=5000),M49*2%,IF(AND(M49&gt;200,M49&lt;=1000),M49*3%,M49*5%))))</f>
        <v>55.46</v>
      </c>
      <c r="M68" s="302">
        <f ca="1">ROUND(L68,1)</f>
        <v>55.5</v>
      </c>
      <c r="N68" s="2542"/>
      <c r="Z68" s="1751"/>
      <c r="AI68" s="1752"/>
    </row>
    <row r="69" spans="1:35" s="1771" customFormat="1" ht="16.5" customHeight="1">
      <c r="A69" s="1810"/>
      <c r="B69" s="1811"/>
      <c r="C69" s="1812"/>
      <c r="D69" s="1813"/>
      <c r="E69" s="1814"/>
      <c r="F69" s="1577"/>
      <c r="G69" s="1577"/>
      <c r="H69" s="1576"/>
      <c r="I69" s="1746"/>
      <c r="J69" s="3578"/>
      <c r="K69" s="1331" t="s">
        <v>1393</v>
      </c>
      <c r="L69" s="1331"/>
      <c r="M69" s="302">
        <f ca="1">ROUND(SUM(M63:M68),0)</f>
        <v>186</v>
      </c>
      <c r="N69" s="2544">
        <f ca="1">M69/M49</f>
        <v>1.6768842408943382E-2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2" t="s">
        <v>1394</v>
      </c>
      <c r="B70" s="3623"/>
      <c r="C70" s="3623"/>
      <c r="D70" s="3623"/>
      <c r="E70" s="3623"/>
      <c r="F70" s="3623"/>
      <c r="G70" s="3623"/>
      <c r="H70" s="362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4" t="s">
        <v>1375</v>
      </c>
      <c r="B71" s="361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10564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63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9" t="s">
        <v>1402</v>
      </c>
      <c r="F76" s="3618"/>
      <c r="G76" s="3618"/>
      <c r="H76" s="362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63</v>
      </c>
      <c r="D78" s="2576">
        <f>'数据-取费表'!B43</f>
        <v>6.000000000000001E-3</v>
      </c>
      <c r="E78" s="3611" t="s">
        <v>1406</v>
      </c>
      <c r="F78" s="3612"/>
      <c r="G78" s="3612"/>
      <c r="H78" s="361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10501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166.68253968253967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6279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2" t="s">
        <v>1410</v>
      </c>
      <c r="B83" s="3623"/>
      <c r="C83" s="3623"/>
      <c r="D83" s="3623"/>
      <c r="E83" s="3623"/>
      <c r="F83" s="3623"/>
      <c r="G83" s="3623"/>
      <c r="H83" s="362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4" t="s">
        <v>1375</v>
      </c>
      <c r="B84" s="361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10564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63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2282</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80" t="s">
        <v>2123</v>
      </c>
      <c r="H90" s="3581"/>
      <c r="I90" s="1820"/>
      <c r="J90" s="2520" t="s">
        <v>2283</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1" t="s">
        <v>1419</v>
      </c>
      <c r="F91" s="3612"/>
      <c r="G91" s="361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1" t="s">
        <v>1422</v>
      </c>
      <c r="F92" s="3612"/>
      <c r="G92" s="3612"/>
      <c r="H92" s="3613"/>
      <c r="I92" s="1820"/>
      <c r="J92" s="2521" t="s">
        <v>2284</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63</v>
      </c>
      <c r="D93" s="2576">
        <f>'数据-取费表'!B43</f>
        <v>6.000000000000001E-3</v>
      </c>
      <c r="E93" s="3611" t="s">
        <v>1406</v>
      </c>
      <c r="F93" s="3612"/>
      <c r="G93" s="3612"/>
      <c r="H93" s="361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6" t="s">
        <v>1426</v>
      </c>
      <c r="F94" s="3657"/>
      <c r="G94" s="3657"/>
      <c r="H94" s="365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10501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166.68253968253967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6279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4" t="str">
        <f>C4</f>
        <v>成本法</v>
      </c>
      <c r="D101" s="2585" t="str">
        <f>D4</f>
        <v>收益法</v>
      </c>
      <c r="E101" s="3574" t="s">
        <v>1431</v>
      </c>
      <c r="F101" s="3575"/>
      <c r="G101" s="1826" t="s">
        <v>1432</v>
      </c>
      <c r="H101" s="2594">
        <f ca="1">H118</f>
        <v>11092</v>
      </c>
      <c r="I101" s="129"/>
    </row>
    <row r="102" spans="1:35" ht="18.75" customHeight="1">
      <c r="A102" s="3606" t="s">
        <v>1433</v>
      </c>
      <c r="B102" s="2583" t="s">
        <v>1432</v>
      </c>
      <c r="C102" s="2584">
        <f ca="1">IF(D32="楼面单价",ROUND(C19,0),C19)</f>
        <v>12312</v>
      </c>
      <c r="D102" s="2585">
        <f ca="1">IF(D32="楼面单价",ROUND(D19,0),D19)</f>
        <v>12825</v>
      </c>
      <c r="E102" s="3574"/>
      <c r="F102" s="3575"/>
      <c r="G102" s="1826" t="s">
        <v>1434</v>
      </c>
      <c r="H102" s="2554">
        <f ca="1">I118</f>
        <v>23576</v>
      </c>
      <c r="I102" s="129"/>
    </row>
    <row r="103" spans="1:35" ht="42.75" customHeight="1">
      <c r="A103" s="3606"/>
      <c r="B103" s="2583" t="s">
        <v>1434</v>
      </c>
      <c r="C103" s="2586">
        <f ca="1">C20</f>
        <v>26169</v>
      </c>
      <c r="D103" s="2587">
        <f ca="1">D20</f>
        <v>27259</v>
      </c>
      <c r="E103" s="3567" t="s">
        <v>1435</v>
      </c>
      <c r="F103" s="3568"/>
      <c r="G103" s="1827" t="s">
        <v>1436</v>
      </c>
      <c r="H103" s="2594">
        <f>IF(D36="正常操作",H104+H105+H106,H105+H106)</f>
        <v>0</v>
      </c>
      <c r="I103" s="129"/>
    </row>
    <row r="104" spans="1:35" ht="18.75" customHeight="1">
      <c r="A104" s="3606" t="s">
        <v>1437</v>
      </c>
      <c r="B104" s="2588" t="s">
        <v>1432</v>
      </c>
      <c r="C104" s="2589">
        <f ca="1">H118</f>
        <v>11092</v>
      </c>
      <c r="D104" s="2590"/>
      <c r="E104" s="1673" t="s">
        <v>1438</v>
      </c>
      <c r="F104" s="1665"/>
      <c r="G104" s="1827" t="s">
        <v>1436</v>
      </c>
      <c r="H104" s="2595">
        <f>IF(D36="同一抵押权人同一抵押物续贷",C36&amp;"（续贷，未扣减，详见特别提示）",C36)</f>
        <v>0</v>
      </c>
      <c r="I104" s="129"/>
    </row>
    <row r="105" spans="1:35" ht="18.75" customHeight="1" thickBot="1">
      <c r="A105" s="3616"/>
      <c r="B105" s="2591" t="s">
        <v>1434</v>
      </c>
      <c r="C105" s="2592">
        <f ca="1">I118</f>
        <v>23576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7" t="str">
        <f>IF(项目基本情况!E8="已注销","——","3.房地产抵押价值")</f>
        <v>3.房地产抵押价值</v>
      </c>
      <c r="F107" s="3575"/>
      <c r="G107" s="1826" t="s">
        <v>1432</v>
      </c>
      <c r="H107" s="2594">
        <f ca="1">IF(E107="——","——",H101-H103)</f>
        <v>11092</v>
      </c>
      <c r="I107" s="129"/>
    </row>
    <row r="108" spans="1:35" ht="18.75" customHeight="1">
      <c r="A108" s="129"/>
      <c r="B108" s="129"/>
      <c r="C108" s="129"/>
      <c r="D108" s="129"/>
      <c r="E108" s="3607"/>
      <c r="F108" s="3575"/>
      <c r="G108" s="1826" t="s">
        <v>1434</v>
      </c>
      <c r="H108" s="2554">
        <f ca="1">IF(H107=H101,H102,ROUND(H107*10000/'数据-汇总表'!E3,0))</f>
        <v>23576</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6" t="s">
        <v>1432</v>
      </c>
      <c r="H109" s="2597" t="str">
        <f>IF(E109="——","——",H101-H105-H106)</f>
        <v>——</v>
      </c>
      <c r="I109" s="129"/>
    </row>
    <row r="110" spans="1:35" ht="18.75" customHeight="1">
      <c r="A110" s="129"/>
      <c r="B110" s="129"/>
      <c r="C110" s="129"/>
      <c r="D110" s="129"/>
      <c r="E110" s="3607"/>
      <c r="F110" s="3575"/>
      <c r="G110" s="1826" t="s">
        <v>1434</v>
      </c>
      <c r="H110" s="2554"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6" t="s">
        <v>1432</v>
      </c>
      <c r="H111" s="2594" t="str">
        <f>IF(E111="——","——",N59)</f>
        <v>——</v>
      </c>
      <c r="I111" s="129"/>
    </row>
    <row r="112" spans="1:35" ht="18.75" customHeight="1" thickBot="1">
      <c r="A112" s="129"/>
      <c r="B112" s="129"/>
      <c r="C112" s="129"/>
      <c r="D112" s="129"/>
      <c r="E112" s="3609"/>
      <c r="F112" s="3610"/>
      <c r="G112" s="1829" t="s">
        <v>1434</v>
      </c>
      <c r="H112" s="2598" t="str">
        <f>IF(E111="——","——",N61)</f>
        <v>——</v>
      </c>
      <c r="I112" s="129"/>
    </row>
    <row r="113" spans="1:27" ht="18.75" customHeight="1">
      <c r="A113" s="129"/>
      <c r="B113" s="129"/>
      <c r="C113" s="129"/>
      <c r="D113" s="129"/>
      <c r="E113" s="3617" t="s">
        <v>1440</v>
      </c>
      <c r="F113" s="3617"/>
      <c r="G113" s="3617"/>
      <c r="H113" s="3617"/>
      <c r="I113" s="129"/>
    </row>
    <row r="114" spans="1:27" ht="3.75" customHeight="1">
      <c r="A114" s="1746"/>
      <c r="B114" s="1746"/>
      <c r="C114" s="1746"/>
      <c r="D114" s="1746"/>
      <c r="E114" s="1808"/>
      <c r="F114" s="1808"/>
      <c r="G114" s="1808"/>
      <c r="H114" s="1808"/>
      <c r="I114" s="1746"/>
    </row>
    <row r="115" spans="1:27" ht="18.75" customHeight="1">
      <c r="A115" s="3625" t="s">
        <v>1442</v>
      </c>
      <c r="B115" s="3626"/>
      <c r="C115" s="3626"/>
      <c r="D115" s="3626"/>
      <c r="E115" s="3626"/>
      <c r="F115" s="3626"/>
      <c r="G115" s="3626"/>
      <c r="H115" s="3626"/>
      <c r="I115" s="3627"/>
    </row>
    <row r="116" spans="1:27" ht="27" customHeight="1">
      <c r="A116" s="3582" t="s">
        <v>1443</v>
      </c>
      <c r="B116" s="3586" t="s">
        <v>3465</v>
      </c>
      <c r="C116" s="3586" t="s">
        <v>3857</v>
      </c>
      <c r="D116" s="3592" t="s">
        <v>3858</v>
      </c>
      <c r="E116" s="3593"/>
      <c r="F116" s="3624" t="s">
        <v>3859</v>
      </c>
      <c r="G116" s="3624"/>
      <c r="H116" s="3582" t="s">
        <v>1444</v>
      </c>
      <c r="I116" s="3582"/>
    </row>
    <row r="117" spans="1:27" ht="18.75" customHeight="1">
      <c r="A117" s="3582"/>
      <c r="B117" s="3587"/>
      <c r="C117" s="3587"/>
      <c r="D117" s="2328" t="s">
        <v>1445</v>
      </c>
      <c r="E117" s="2328" t="s">
        <v>1446</v>
      </c>
      <c r="F117" s="2328" t="s">
        <v>1445</v>
      </c>
      <c r="G117" s="2328" t="s">
        <v>1447</v>
      </c>
      <c r="H117" s="2328" t="s">
        <v>1445</v>
      </c>
      <c r="I117" s="2328" t="s">
        <v>1447</v>
      </c>
    </row>
    <row r="118" spans="1:27" ht="24.75" customHeight="1">
      <c r="A118" s="2599" t="str">
        <f>项目基本情况!S2</f>
        <v>北京市朝阳区建国路管庄6号其他商服用房房地产</v>
      </c>
      <c r="B118" s="2328">
        <f>M18</f>
        <v>4704.8599999999997</v>
      </c>
      <c r="C118" s="2328">
        <f>M19</f>
        <v>2957.47</v>
      </c>
      <c r="D118" s="2328">
        <f ca="1">ROUND(IF(D32="总价",C34,E118*B118/10000),0)</f>
        <v>9394</v>
      </c>
      <c r="E118" s="2328">
        <f ca="1">ROUND(IF(C33="自定义",IF(D32="楼面单价",C34,D118*10000/B118),I118-G118),0)</f>
        <v>19967</v>
      </c>
      <c r="F118" s="2328">
        <f ca="1">ROUND(IF(D32="总价",C35,G118*B118/10000),0)</f>
        <v>1698</v>
      </c>
      <c r="G118" s="2328">
        <f ca="1">ROUND(IF(D32="楼面单价",C35,F118*10000/B118),0)</f>
        <v>3609</v>
      </c>
      <c r="H118" s="2328">
        <f ca="1">ROUND(IF(D32="总价",C32,I118*B118/10000),0)</f>
        <v>11092</v>
      </c>
      <c r="I118" s="2328">
        <f ca="1">ROUND(IF(D32="楼面单价",C32,H118*10000/B118),0)</f>
        <v>23576</v>
      </c>
    </row>
    <row r="119" spans="1:27" ht="18.75" customHeight="1">
      <c r="A119" s="3582" t="s">
        <v>1448</v>
      </c>
      <c r="B119" s="3582"/>
      <c r="C119" s="3582"/>
      <c r="D119" s="3588" t="str">
        <f ca="1">NUMBERSTRING(INT(D118*10000),2)&amp;"元整"</f>
        <v>玖仟叁佰玖拾肆万元整</v>
      </c>
      <c r="E119" s="3589"/>
      <c r="F119" s="3588" t="str">
        <f ca="1">NUMBERSTRING(INT(F118*10000),2)&amp;"元整"</f>
        <v>壹仟陆佰玖拾捌万元整</v>
      </c>
      <c r="G119" s="3589"/>
      <c r="H119" s="3588" t="str">
        <f ca="1">NUMBERSTRING(INT(H118*10000),2)&amp;"元整"</f>
        <v>壹亿壹仟零玖拾贰万元整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8" t="s">
        <v>1448</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f ca="1">H107</f>
        <v>11092</v>
      </c>
      <c r="E122" s="3584"/>
      <c r="F122" s="3584"/>
      <c r="G122" s="3584"/>
      <c r="H122" s="3584"/>
      <c r="I122" s="3585"/>
      <c r="AA122" s="725"/>
    </row>
    <row r="123" spans="1:27" ht="18.75" customHeight="1">
      <c r="A123" s="3582" t="s">
        <v>1448</v>
      </c>
      <c r="B123" s="3582"/>
      <c r="C123" s="3582"/>
      <c r="D123" s="3588" t="str">
        <f ca="1">NUMBERSTRING(INT(D122*10000),2)&amp;"元整"</f>
        <v>壹亿壹仟零玖拾贰万元整</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1448</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1448</v>
      </c>
      <c r="B127" s="3582"/>
      <c r="C127" s="3582"/>
      <c r="D127" s="3588" t="e">
        <f>NUMBERSTRING(INT(D126*10000),2)&amp;"元整"</f>
        <v>#VALUE!</v>
      </c>
      <c r="E127" s="3590"/>
      <c r="F127" s="3590"/>
      <c r="G127" s="3590"/>
      <c r="H127" s="3590"/>
      <c r="I127" s="3589"/>
      <c r="AA127" s="725"/>
    </row>
    <row r="128" spans="1:27" ht="21.75" customHeight="1">
      <c r="A128" s="3591" t="s">
        <v>1449</v>
      </c>
      <c r="B128" s="3591"/>
      <c r="C128" s="3591"/>
      <c r="D128" s="3591"/>
      <c r="E128" s="3591"/>
      <c r="F128" s="3591"/>
      <c r="G128" s="3591"/>
      <c r="H128" s="3591"/>
      <c r="I128" s="3591"/>
      <c r="AA128" s="725"/>
    </row>
    <row r="129" spans="1:35" ht="21.75" customHeight="1">
      <c r="A129" s="1830" t="s">
        <v>1450</v>
      </c>
      <c r="B129" s="1831"/>
      <c r="C129" s="1832" t="s">
        <v>1451</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1452</v>
      </c>
      <c r="G135" s="1847"/>
      <c r="H135" s="1847"/>
      <c r="I135" s="1848" t="s">
        <v>1453</v>
      </c>
    </row>
    <row r="136" spans="1:35" ht="21.75" customHeight="1">
      <c r="A136" s="725"/>
      <c r="B136" s="1849"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1455</v>
      </c>
    </row>
    <row r="139" spans="1:35" ht="21.75" customHeight="1">
      <c r="A139" s="725"/>
      <c r="B139" s="1849" t="s">
        <v>1456</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1455</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北京市朝阳区建国路管庄6号其他商服用房房地产抵押价值预评估</v>
      </c>
      <c r="C37" s="3478"/>
      <c r="D37" s="3478"/>
      <c r="E37" s="3478"/>
      <c r="F37" s="3478"/>
      <c r="G37" s="3478"/>
      <c r="H37" s="3478"/>
      <c r="I37" s="347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5" sqref="C5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69"/>
      <c r="C1" s="198"/>
      <c r="D1" s="198"/>
      <c r="E1" s="198"/>
      <c r="F1" s="198"/>
      <c r="G1" s="1126">
        <f>MATCH(B1,'数据-取费表'!A6:A16,0)+5</f>
        <v>7</v>
      </c>
    </row>
    <row r="2" spans="1:9" s="200" customFormat="1" ht="18" customHeight="1">
      <c r="A2" s="201" t="s">
        <v>1458</v>
      </c>
      <c r="B2" s="202">
        <f ca="1">IF(D2="——",C52,C52-E2)</f>
        <v>12312</v>
      </c>
      <c r="C2" s="199" t="s">
        <v>1459</v>
      </c>
      <c r="D2" s="1852" t="s">
        <v>43</v>
      </c>
      <c r="E2" s="1169" t="e">
        <f ca="1">SUMIF(INDIRECT("'"&amp;G2&amp;"'"&amp;"!A:A"),"承租人权益价值",INDIRECT("'"&amp;G2&amp;"'"&amp;"!c:c"))</f>
        <v>#REF!</v>
      </c>
      <c r="F2" s="1853" t="s">
        <v>1459</v>
      </c>
      <c r="G2" s="1854"/>
    </row>
    <row r="3" spans="1:9" s="200" customFormat="1" ht="18" customHeight="1" thickBot="1">
      <c r="A3" s="203" t="s">
        <v>1460</v>
      </c>
      <c r="B3" s="204">
        <f ca="1">ROUND(B2*10000/(IF(B1="",'数据-汇总表'!E3,INDIRECT("'数据-取费表'!k"&amp;$G$1))),0)</f>
        <v>26169</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 ca="1">C6+C7+C8</f>
        <v>6928</v>
      </c>
      <c r="D5" s="211" t="s">
        <v>1465</v>
      </c>
      <c r="E5" s="212" t="s">
        <v>1466</v>
      </c>
      <c r="F5" s="212" t="s">
        <v>1467</v>
      </c>
      <c r="G5" s="213"/>
    </row>
    <row r="6" spans="1:9" s="214" customFormat="1" ht="13.5" customHeight="1">
      <c r="A6" s="778" t="s">
        <v>1468</v>
      </c>
      <c r="B6" s="215" t="s">
        <v>1469</v>
      </c>
      <c r="C6" s="216">
        <f>'土地比较法-住宅、综合'!B2</f>
        <v>6632</v>
      </c>
      <c r="D6" s="217"/>
      <c r="E6" s="218"/>
      <c r="F6" s="218"/>
      <c r="G6" s="219"/>
    </row>
    <row r="7" spans="1:9" s="214" customFormat="1" ht="13.5" customHeight="1">
      <c r="A7" s="778" t="s">
        <v>1470</v>
      </c>
      <c r="B7" s="215" t="s">
        <v>1471</v>
      </c>
      <c r="C7" s="220">
        <f>ROUND(C6*F7,0)</f>
        <v>202</v>
      </c>
      <c r="D7" s="220"/>
      <c r="E7" s="218"/>
      <c r="F7" s="221">
        <f>IF(项目基本情况!B8="出让",0,'数据-取费表'!B48+'数据-取费表'!B49)</f>
        <v>3.0499999999999999E-2</v>
      </c>
      <c r="G7" s="219"/>
    </row>
    <row r="8" spans="1:9" s="223" customFormat="1">
      <c r="A8" s="778" t="s">
        <v>1472</v>
      </c>
      <c r="B8" s="215" t="s">
        <v>1473</v>
      </c>
      <c r="C8" s="220">
        <f ca="1">IF(G8="已包含在土地购买价格中","0",IF(B1="",'数据-取费表'!B29,IF(G9="全部缴纳",C9+C10,H9)))</f>
        <v>94</v>
      </c>
      <c r="D8" s="222"/>
      <c r="E8" s="220"/>
      <c r="F8" s="221"/>
      <c r="G8" s="1855" t="s">
        <v>3430</v>
      </c>
    </row>
    <row r="9" spans="1:9" s="214" customFormat="1" ht="13.5" customHeight="1">
      <c r="A9" s="779" t="s">
        <v>355</v>
      </c>
      <c r="B9" s="224" t="s">
        <v>1474</v>
      </c>
      <c r="C9" s="225">
        <f ca="1">ROUND(D9*E9/10000,0)</f>
        <v>0</v>
      </c>
      <c r="D9" s="845">
        <f ca="1">IF(B1="",'数据-汇总表'!E5,IF(INDIRECT("'数据-取费表'!c"&amp;$G$1)="住宅",INDIRECT("'数据-取费表'!k"&amp;$G$1),0))</f>
        <v>0</v>
      </c>
      <c r="E9" s="225">
        <f>'数据-取费表'!B27</f>
        <v>160</v>
      </c>
      <c r="F9" s="221"/>
      <c r="G9" s="1856" t="s">
        <v>3431</v>
      </c>
      <c r="H9" s="1137"/>
      <c r="I9" s="1857" t="s">
        <v>1475</v>
      </c>
    </row>
    <row r="10" spans="1:9" s="214" customFormat="1" ht="13.5" customHeight="1">
      <c r="A10" s="779" t="s">
        <v>356</v>
      </c>
      <c r="B10" s="224" t="s">
        <v>1476</v>
      </c>
      <c r="C10" s="225">
        <f ca="1">ROUND(D10*E10/10000,0)</f>
        <v>94</v>
      </c>
      <c r="D10" s="845">
        <f ca="1">IF(B1="",'数据-汇总表'!E6,IF(INDIRECT("'数据-取费表'!c"&amp;$G$1)="住宅",INDIRECT("'数据-取费表'!s"&amp;$G$1),INDIRECT("'数据-取费表'!k"&amp;$G$1)+INDIRECT("'数据-取费表'!s"&amp;$G$1)))</f>
        <v>4704.8599999999997</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t="str">
        <f>IF(G19="已包含在土地取得成本中","0",ROUND(D19*E19/10000,0))</f>
        <v>0</v>
      </c>
      <c r="D19" s="849">
        <f ca="1">D9+D10</f>
        <v>4704.8599999999997</v>
      </c>
      <c r="E19" s="211">
        <f>'数据-取费表'!B31</f>
        <v>200</v>
      </c>
      <c r="F19" s="231"/>
      <c r="G19" s="1855" t="s">
        <v>3432</v>
      </c>
    </row>
    <row r="20" spans="1:7" s="214" customFormat="1" ht="13.5" customHeight="1">
      <c r="A20" s="255" t="s">
        <v>1489</v>
      </c>
      <c r="B20" s="210" t="s">
        <v>1490</v>
      </c>
      <c r="C20" s="232">
        <f ca="1">ROUND((C5+C19)*F20,0)</f>
        <v>208</v>
      </c>
      <c r="D20" s="232"/>
      <c r="E20" s="232"/>
      <c r="F20" s="233">
        <f>'数据-取费表'!B37</f>
        <v>0.03</v>
      </c>
      <c r="G20" s="234" t="s">
        <v>1491</v>
      </c>
    </row>
    <row r="21" spans="1:7" s="214" customFormat="1" ht="13.5" customHeight="1">
      <c r="A21" s="255" t="s">
        <v>1492</v>
      </c>
      <c r="B21" s="210" t="s">
        <v>1493</v>
      </c>
      <c r="C21" s="235">
        <f>F21</f>
        <v>0.03</v>
      </c>
      <c r="D21" s="236" t="s">
        <v>1494</v>
      </c>
      <c r="E21" s="232"/>
      <c r="F21" s="233">
        <f>'数据-取费表'!B38</f>
        <v>0.03</v>
      </c>
      <c r="G21" s="234" t="s">
        <v>1495</v>
      </c>
    </row>
    <row r="22" spans="1:7" s="214" customFormat="1" ht="13.5" customHeight="1">
      <c r="A22" s="255" t="s">
        <v>1496</v>
      </c>
      <c r="B22" s="210" t="s">
        <v>1497</v>
      </c>
      <c r="C22" s="1104">
        <f ca="1">ROUND(SUM(C23:C25),0)</f>
        <v>479</v>
      </c>
      <c r="D22" s="235">
        <f ca="1">C26</f>
        <v>1E-3</v>
      </c>
      <c r="E22" s="236" t="s">
        <v>1494</v>
      </c>
      <c r="F22" s="237">
        <f ca="1">'数据-取费表'!B40</f>
        <v>3.3500000000000002E-2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472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7</v>
      </c>
      <c r="D25" s="238"/>
      <c r="E25" s="241"/>
      <c r="F25" s="239"/>
      <c r="G25" s="242" t="s">
        <v>1506</v>
      </c>
    </row>
    <row r="26" spans="1:7" s="214" customFormat="1">
      <c r="A26" s="780" t="s">
        <v>350</v>
      </c>
      <c r="B26" s="215" t="s">
        <v>1507</v>
      </c>
      <c r="C26" s="238">
        <f ca="1">ROUND(IF('数据-取费表'!B22&lt;=1,F21*F22*'数据-取费表'!B23/2,F21*(POWER((1+F22),'数据-取费表'!B23/2)-1)),4)</f>
        <v>1E-3</v>
      </c>
      <c r="D26" s="238"/>
      <c r="E26" s="241"/>
      <c r="F26" s="239"/>
      <c r="G26" s="243"/>
    </row>
    <row r="27" spans="1:7" s="214" customFormat="1" ht="24.75">
      <c r="A27" s="255" t="s">
        <v>1508</v>
      </c>
      <c r="B27" s="244" t="s">
        <v>1509</v>
      </c>
      <c r="C27" s="245">
        <f ca="1">C28</f>
        <v>1427</v>
      </c>
      <c r="D27" s="235">
        <f ca="1">C29</f>
        <v>6.0000000000000001E-3</v>
      </c>
      <c r="E27" s="236" t="s">
        <v>1510</v>
      </c>
      <c r="F27" s="246">
        <f ca="1">IF(B1="",'数据-取费表'!Q16,INDIRECT("'数据-取费表'!q"&amp;$G$1))</f>
        <v>0.2</v>
      </c>
      <c r="G27" s="247" t="s">
        <v>1511</v>
      </c>
    </row>
    <row r="28" spans="1:7" s="214" customFormat="1" ht="13.5" customHeight="1">
      <c r="A28" s="780" t="s">
        <v>346</v>
      </c>
      <c r="B28" s="248" t="s">
        <v>1512</v>
      </c>
      <c r="C28" s="249">
        <f ca="1">ROUND((C5+C19+C20)*F27*'数据-取费表'!B21/'数据-取费表'!B20,0)</f>
        <v>1427</v>
      </c>
      <c r="D28" s="235"/>
      <c r="E28" s="236"/>
      <c r="F28" s="246"/>
      <c r="G28" s="247"/>
    </row>
    <row r="29" spans="1:7" s="214" customFormat="1" ht="13.5" customHeight="1">
      <c r="A29" s="780" t="s">
        <v>347</v>
      </c>
      <c r="B29" s="248" t="s">
        <v>1513</v>
      </c>
      <c r="C29" s="238">
        <f ca="1">ROUND(C21*F27*'数据-取费表'!B21/'数据-取费表'!B20,4)</f>
        <v>6.0000000000000001E-3</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f ca="1">ROUND((C5+C19+C20+C22+C27)/(1-C21-D22-D27-C30),0)</f>
        <v>9940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337</v>
      </c>
      <c r="B33" s="210" t="s">
        <v>1520</v>
      </c>
      <c r="C33" s="256">
        <f ca="1">SUM(C34:C38)</f>
        <v>2359</v>
      </c>
      <c r="D33" s="232"/>
      <c r="E33" s="212"/>
      <c r="F33" s="241"/>
      <c r="G33" s="234"/>
    </row>
    <row r="34" spans="1:7" s="258" customFormat="1" ht="13.5" customHeight="1">
      <c r="A34" s="780" t="s">
        <v>346</v>
      </c>
      <c r="B34" s="215" t="s">
        <v>1521</v>
      </c>
      <c r="C34" s="220">
        <f ca="1">IF(B1="",IF(F34=100%,'数据-取费表'!M16,'数据-取费表'!O16),IF(F34=100%,INDIRECT("'数据-取费表'!m"&amp;$G$1)+INDIRECT("'数据-取费表'!t"&amp;$G$1),INDIRECT("'数据-取费表'!o"&amp;$G$1)+INDIRECT("'数据-取费表'!aq"&amp;$G$1)))</f>
        <v>2117</v>
      </c>
      <c r="D34" s="217"/>
      <c r="E34" s="220"/>
      <c r="F34" s="257">
        <f ca="1">IF('数据-取费表'!B24=0,1,IF(B1="",'数据-取费表'!N16,INDIRECT("'数据-取费表'!n"&amp;$G$1)))</f>
        <v>1</v>
      </c>
      <c r="G34" s="219" t="s">
        <v>1522</v>
      </c>
    </row>
    <row r="35" spans="1:7" ht="13.5" customHeight="1">
      <c r="A35" s="780" t="s">
        <v>351</v>
      </c>
      <c r="B35" s="215" t="s">
        <v>1523</v>
      </c>
      <c r="C35" s="220">
        <f ca="1">ROUND(C34*F35,0)</f>
        <v>106</v>
      </c>
      <c r="D35" s="220"/>
      <c r="E35" s="220"/>
      <c r="F35" s="259">
        <f>'数据-取费表'!B33</f>
        <v>0.05</v>
      </c>
      <c r="G35" s="219" t="s">
        <v>1524</v>
      </c>
    </row>
    <row r="36" spans="1:7" ht="24">
      <c r="A36" s="780" t="s">
        <v>352</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1526</v>
      </c>
    </row>
    <row r="37" spans="1:7" s="258" customFormat="1" ht="13.5" customHeight="1">
      <c r="A37" s="780" t="s">
        <v>353</v>
      </c>
      <c r="B37" s="215" t="s">
        <v>1527</v>
      </c>
      <c r="C37" s="249">
        <f ca="1">ROUND(E37*D37*F34/10000,0)</f>
        <v>94</v>
      </c>
      <c r="D37" s="217">
        <f ca="1">D19</f>
        <v>4704.8599999999997</v>
      </c>
      <c r="E37" s="249">
        <f>'数据-取费表'!B35</f>
        <v>200</v>
      </c>
      <c r="F37" s="259"/>
      <c r="G37" s="261" t="s">
        <v>1528</v>
      </c>
    </row>
    <row r="38" spans="1:7" ht="13.5" customHeight="1">
      <c r="A38" s="780" t="s">
        <v>354</v>
      </c>
      <c r="B38" s="215" t="s">
        <v>1529</v>
      </c>
      <c r="C38" s="220">
        <f ca="1">ROUND(C34*F38,0)</f>
        <v>42</v>
      </c>
      <c r="D38" s="220"/>
      <c r="E38" s="220"/>
      <c r="F38" s="259">
        <f>'数据-取费表'!B36</f>
        <v>0.02</v>
      </c>
      <c r="G38" s="219" t="s">
        <v>1524</v>
      </c>
    </row>
    <row r="39" spans="1:7" s="214" customFormat="1" ht="13.5" customHeight="1">
      <c r="A39" s="255" t="s">
        <v>1530</v>
      </c>
      <c r="B39" s="210" t="s">
        <v>1531</v>
      </c>
      <c r="C39" s="232">
        <f ca="1">ROUND(C33*F20,0)</f>
        <v>71</v>
      </c>
      <c r="D39" s="232"/>
      <c r="E39" s="232"/>
      <c r="F39" s="233">
        <f>F20</f>
        <v>0.03</v>
      </c>
      <c r="G39" s="234" t="s">
        <v>1532</v>
      </c>
    </row>
    <row r="40" spans="1:7" s="214" customFormat="1" ht="13.5" customHeight="1">
      <c r="A40" s="255" t="s">
        <v>1533</v>
      </c>
      <c r="B40" s="210" t="s">
        <v>1534</v>
      </c>
      <c r="C40" s="1326">
        <f>F21</f>
        <v>0.03</v>
      </c>
      <c r="D40" s="236" t="s">
        <v>1535</v>
      </c>
      <c r="E40" s="232"/>
      <c r="F40" s="233">
        <f>F21</f>
        <v>0.03</v>
      </c>
      <c r="G40" s="234" t="s">
        <v>1536</v>
      </c>
    </row>
    <row r="41" spans="1:7" s="214" customFormat="1" ht="13.5" customHeight="1">
      <c r="A41" s="255" t="s">
        <v>1537</v>
      </c>
      <c r="B41" s="210" t="s">
        <v>1538</v>
      </c>
      <c r="C41" s="232">
        <f ca="1">ROUND(SUM(C42:C43),0)</f>
        <v>81</v>
      </c>
      <c r="D41" s="235">
        <f ca="1">C44</f>
        <v>1E-3</v>
      </c>
      <c r="E41" s="236" t="s">
        <v>1535</v>
      </c>
      <c r="F41" s="237">
        <f ca="1">F22</f>
        <v>3.3500000000000002E-2</v>
      </c>
      <c r="G41" s="234" t="str">
        <f>IF('数据-取费表'!B22&lt;=1,"单利计息","复利计息")</f>
        <v>复利计息</v>
      </c>
    </row>
    <row r="42" spans="1:7" ht="13.5" customHeight="1">
      <c r="A42" s="780" t="s">
        <v>346</v>
      </c>
      <c r="B42" s="215" t="s">
        <v>1539</v>
      </c>
      <c r="C42" s="238">
        <f ca="1">ROUND(IF('数据-取费表'!B22&lt;=1,C33*F22*'数据-取费表'!B21/2,C33*(POWER((1+F22),'数据-取费表'!B21/2)-1)),0)</f>
        <v>79</v>
      </c>
      <c r="D42" s="238"/>
      <c r="E42" s="238"/>
      <c r="F42" s="239"/>
      <c r="G42" s="3661" t="s">
        <v>1540</v>
      </c>
    </row>
    <row r="43" spans="1:7" ht="13.5" customHeight="1">
      <c r="A43" s="780" t="s">
        <v>347</v>
      </c>
      <c r="B43" s="215" t="s">
        <v>1541</v>
      </c>
      <c r="C43" s="238">
        <f ca="1">ROUND(IF('数据-取费表'!B22&lt;=1,C39*F22*'数据-取费表'!B21/2,C39*(POWER((1+F22),'数据-取费表'!B21/2)-1)),0)</f>
        <v>2</v>
      </c>
      <c r="D43" s="238"/>
      <c r="E43" s="238"/>
      <c r="F43" s="239"/>
      <c r="G43" s="3662"/>
    </row>
    <row r="44" spans="1:7" ht="13.5" customHeight="1">
      <c r="A44" s="780" t="s">
        <v>348</v>
      </c>
      <c r="B44" s="215" t="s">
        <v>1542</v>
      </c>
      <c r="C44" s="238">
        <f ca="1">ROUND(IF('数据-取费表'!B22&lt;=1,C40*F22*'数据-取费表'!B21/2,C40*(POWER((1+F22),'数据-取费表'!B21/2)-1)),4)</f>
        <v>1E-3</v>
      </c>
      <c r="D44" s="238"/>
      <c r="E44" s="238"/>
      <c r="F44" s="239"/>
      <c r="G44" s="3663"/>
    </row>
    <row r="45" spans="1:7" s="214" customFormat="1" ht="13.5" customHeight="1">
      <c r="A45" s="255" t="s">
        <v>1543</v>
      </c>
      <c r="B45" s="244" t="s">
        <v>1509</v>
      </c>
      <c r="C45" s="245">
        <f ca="1">C46</f>
        <v>486</v>
      </c>
      <c r="D45" s="235">
        <f ca="1">C47</f>
        <v>6.0000000000000001E-3</v>
      </c>
      <c r="E45" s="236" t="s">
        <v>1535</v>
      </c>
      <c r="F45" s="246">
        <f ca="1">F27</f>
        <v>0.2</v>
      </c>
      <c r="G45" s="247" t="s">
        <v>1544</v>
      </c>
    </row>
    <row r="46" spans="1:7" s="214" customFormat="1" ht="13.5" customHeight="1">
      <c r="A46" s="780" t="s">
        <v>346</v>
      </c>
      <c r="B46" s="248" t="s">
        <v>1545</v>
      </c>
      <c r="C46" s="249">
        <f ca="1">ROUND((C33+C39)*F27,0)</f>
        <v>486</v>
      </c>
      <c r="D46" s="263"/>
      <c r="E46" s="236"/>
      <c r="F46" s="246"/>
      <c r="G46" s="247"/>
    </row>
    <row r="47" spans="1:7" s="214" customFormat="1" ht="13.5" customHeight="1">
      <c r="A47" s="780" t="s">
        <v>347</v>
      </c>
      <c r="B47" s="248" t="s">
        <v>1546</v>
      </c>
      <c r="C47" s="238">
        <f ca="1">ROUND(C40*F27,4)</f>
        <v>6.0000000000000001E-3</v>
      </c>
      <c r="D47" s="263"/>
      <c r="E47" s="236"/>
      <c r="F47" s="246"/>
      <c r="G47" s="247"/>
    </row>
    <row r="48" spans="1:7" s="214" customFormat="1" ht="13.5" customHeight="1">
      <c r="A48" s="255" t="s">
        <v>1508</v>
      </c>
      <c r="B48" s="210" t="s">
        <v>1547</v>
      </c>
      <c r="C48" s="1326">
        <f>ROUND(F30/(1+'数据-取费表'!C42),4)</f>
        <v>5.33E-2</v>
      </c>
      <c r="D48" s="236" t="s">
        <v>1535</v>
      </c>
      <c r="E48" s="232"/>
      <c r="F48" s="237">
        <f>F30</f>
        <v>5.6000000000000001E-2</v>
      </c>
      <c r="G48" s="234" t="s">
        <v>1548</v>
      </c>
    </row>
    <row r="49" spans="1:7" ht="16.5" customHeight="1">
      <c r="A49" s="255" t="s">
        <v>1514</v>
      </c>
      <c r="B49" s="210" t="s">
        <v>1549</v>
      </c>
      <c r="C49" s="232">
        <f ca="1">ROUND((C33+C39+C41+C45)/(1-C40-D41-D45-C48),0)</f>
        <v>3294</v>
      </c>
      <c r="D49" s="232"/>
      <c r="E49" s="232"/>
      <c r="F49" s="264"/>
      <c r="G49" s="234" t="s">
        <v>1550</v>
      </c>
    </row>
    <row r="50" spans="1:7" s="258" customFormat="1" ht="24">
      <c r="A50" s="255" t="s">
        <v>1551</v>
      </c>
      <c r="B50" s="210" t="s">
        <v>1552</v>
      </c>
      <c r="C50" s="232"/>
      <c r="D50" s="232"/>
      <c r="E50" s="232"/>
      <c r="F50" s="264">
        <f>IF('数据-取费表'!B24=0,'数据-取费表'!N16,1)</f>
        <v>0.72</v>
      </c>
      <c r="G50" s="247" t="s">
        <v>1553</v>
      </c>
    </row>
    <row r="51" spans="1:7" ht="16.5" customHeight="1">
      <c r="A51" s="255" t="s">
        <v>1554</v>
      </c>
      <c r="B51" s="210" t="s">
        <v>1555</v>
      </c>
      <c r="C51" s="232">
        <f ca="1">ROUND(C49*F50,0)</f>
        <v>2372</v>
      </c>
      <c r="D51" s="232"/>
      <c r="E51" s="232"/>
      <c r="F51" s="264"/>
      <c r="G51" s="234" t="s">
        <v>1556</v>
      </c>
    </row>
    <row r="52" spans="1:7" s="208" customFormat="1" ht="16.5" thickBot="1">
      <c r="A52" s="265" t="s">
        <v>1557</v>
      </c>
      <c r="B52" s="266"/>
      <c r="C52" s="267">
        <f ca="1">C31+C51</f>
        <v>12312</v>
      </c>
      <c r="D52" s="266"/>
      <c r="E52" s="266"/>
      <c r="F52" s="266"/>
      <c r="G52" s="268"/>
    </row>
    <row r="54" spans="1:7">
      <c r="C54" s="251">
        <f ca="1">ROUND(C33*F50,0)</f>
        <v>1698</v>
      </c>
    </row>
    <row r="55" spans="1:7" ht="15">
      <c r="B55" s="270" t="s">
        <v>1558</v>
      </c>
      <c r="C55" s="271"/>
    </row>
    <row r="56" spans="1:7">
      <c r="B56" s="273" t="s">
        <v>802</v>
      </c>
      <c r="C56" s="275">
        <f ca="1">1-C57</f>
        <v>0.80699999999999994</v>
      </c>
    </row>
    <row r="57" spans="1:7">
      <c r="B57" s="273" t="s">
        <v>803</v>
      </c>
      <c r="C57" s="274">
        <f ca="1">ROUND(C51/C52,3)</f>
        <v>0.193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69"/>
      <c r="C1" s="1858" t="s">
        <v>1559</v>
      </c>
      <c r="D1" s="198"/>
      <c r="E1" s="198"/>
      <c r="F1" s="198"/>
      <c r="G1" s="1126">
        <f>MATCH(B1,'数据-取费表'!A6:A16,0)+5</f>
        <v>7</v>
      </c>
      <c r="H1" s="1061" t="str">
        <f>IF(ISERROR(FIND("住宅",B1)),"非住宅","住宅")</f>
        <v>非住宅</v>
      </c>
    </row>
    <row r="2" spans="1:8" s="200" customFormat="1" ht="18" customHeight="1">
      <c r="A2" s="201" t="s">
        <v>1458</v>
      </c>
      <c r="B2" s="3423">
        <f ca="1">ROUND(IF(D2="——",C52/10000,C52/10000-E2),4)</f>
        <v>2642.6192000000001</v>
      </c>
      <c r="C2" s="199" t="s">
        <v>1459</v>
      </c>
      <c r="D2" s="1852" t="s">
        <v>43</v>
      </c>
      <c r="E2" s="1169" t="e">
        <f ca="1">SUMIF(INDIRECT("'"&amp;G2&amp;"'"&amp;"!A:A"),"承租人权益价值",INDIRECT("'"&amp;G2&amp;"'"&amp;"!c:c"))</f>
        <v>#REF!</v>
      </c>
      <c r="F2" s="1853" t="s">
        <v>1459</v>
      </c>
      <c r="G2" s="1854"/>
    </row>
    <row r="3" spans="1:8" s="200" customFormat="1" ht="18" customHeight="1" thickBot="1">
      <c r="A3" s="203" t="s">
        <v>1460</v>
      </c>
      <c r="B3" s="204">
        <f ca="1">ROUND(B2*10000/(IF(B1="",'数据-汇总表'!E3,INDIRECT("'数据-取费表'!k"&amp;$G$1))),0)</f>
        <v>5617</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940972</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940972</v>
      </c>
      <c r="D8" s="222"/>
      <c r="E8" s="220"/>
      <c r="F8" s="221"/>
      <c r="G8" s="1855"/>
    </row>
    <row r="9" spans="1:8" s="214" customFormat="1" ht="13.5" customHeight="1">
      <c r="A9" s="779" t="s">
        <v>355</v>
      </c>
      <c r="B9" s="224" t="s">
        <v>1474</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1476</v>
      </c>
      <c r="C10" s="225">
        <f ca="1">ROUND(D10*E10,0)</f>
        <v>940972</v>
      </c>
      <c r="D10" s="845">
        <f ca="1">IF(B1="",'数据-汇总表'!E6,IF(INDIRECT("'数据-取费表'!c"&amp;$G$1)="住宅",INDIRECT("'数据-取费表'!s"&amp;$G$1),INDIRECT("'数据-取费表'!k"&amp;$G$1)+INDIRECT("'数据-取费表'!s"&amp;$G$1)))</f>
        <v>4704.8599999999997</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940972</v>
      </c>
      <c r="D19" s="849">
        <f ca="1">D9+D10</f>
        <v>4704.8599999999997</v>
      </c>
      <c r="E19" s="211">
        <f>'数据-取费表'!B31</f>
        <v>200</v>
      </c>
      <c r="F19" s="231"/>
      <c r="G19" s="1855"/>
    </row>
    <row r="20" spans="1:7" s="214" customFormat="1" ht="13.5" customHeight="1">
      <c r="A20" s="255" t="s">
        <v>1570</v>
      </c>
      <c r="B20" s="210" t="s">
        <v>1571</v>
      </c>
      <c r="C20" s="232">
        <f ca="1">ROUND((C5+C19)*F20,0)</f>
        <v>56458</v>
      </c>
      <c r="D20" s="232"/>
      <c r="E20" s="232"/>
      <c r="F20" s="233">
        <f>'数据-取费表'!B37</f>
        <v>0.03</v>
      </c>
      <c r="G20" s="234" t="s">
        <v>1572</v>
      </c>
    </row>
    <row r="21" spans="1:7" s="214" customFormat="1" ht="13.5" customHeight="1">
      <c r="A21" s="255" t="s">
        <v>1573</v>
      </c>
      <c r="B21" s="210" t="s">
        <v>1574</v>
      </c>
      <c r="C21" s="235">
        <f>F21</f>
        <v>0.03</v>
      </c>
      <c r="D21" s="236" t="s">
        <v>1575</v>
      </c>
      <c r="E21" s="232"/>
      <c r="F21" s="233">
        <f>'数据-取费表'!B38</f>
        <v>0.03</v>
      </c>
      <c r="G21" s="234" t="s">
        <v>1576</v>
      </c>
    </row>
    <row r="22" spans="1:7" s="214" customFormat="1" ht="13.5" customHeight="1">
      <c r="A22" s="255" t="s">
        <v>1577</v>
      </c>
      <c r="B22" s="210" t="s">
        <v>1578</v>
      </c>
      <c r="C22" s="1127">
        <f ca="1">ROUND(SUM(C23:C25),0)</f>
        <v>130093</v>
      </c>
      <c r="D22" s="235">
        <f ca="1">C26</f>
        <v>1E-3</v>
      </c>
      <c r="E22" s="236" t="s">
        <v>1575</v>
      </c>
      <c r="F22" s="237">
        <f ca="1">'数据-取费表'!B40</f>
        <v>3.3500000000000002E-2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64101</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64101</v>
      </c>
      <c r="D24" s="238"/>
      <c r="E24" s="238"/>
      <c r="F24" s="239"/>
      <c r="G24" s="240" t="s">
        <v>1582</v>
      </c>
    </row>
    <row r="25" spans="1:7" s="214" customFormat="1" ht="24">
      <c r="A25" s="780" t="s">
        <v>1472</v>
      </c>
      <c r="B25" s="215" t="s">
        <v>1583</v>
      </c>
      <c r="C25" s="1128">
        <f ca="1">ROUND(IF('数据-取费表'!B22&lt;=1,C20*F22*'数据-取费表'!B22/2,C20*(POWER((1+F22),'数据-取费表'!B22/2)-1)),0)</f>
        <v>1891</v>
      </c>
      <c r="D25" s="238"/>
      <c r="E25" s="241"/>
      <c r="F25" s="239"/>
      <c r="G25" s="242" t="s">
        <v>1584</v>
      </c>
    </row>
    <row r="26" spans="1:7" s="214" customFormat="1">
      <c r="A26" s="780" t="s">
        <v>350</v>
      </c>
      <c r="B26" s="215" t="s">
        <v>1507</v>
      </c>
      <c r="C26" s="238">
        <f ca="1">ROUND(IF('数据-取费表'!B22&lt;=1,F21*F22*'数据-取费表'!B22/2,F21*(POWER((1+F22),'数据-取费表'!B22/2)-1)),4)</f>
        <v>1E-3</v>
      </c>
      <c r="D26" s="238"/>
      <c r="E26" s="241"/>
      <c r="F26" s="239"/>
      <c r="G26" s="243"/>
    </row>
    <row r="27" spans="1:7" s="214" customFormat="1" ht="24.75">
      <c r="A27" s="255" t="s">
        <v>1508</v>
      </c>
      <c r="B27" s="244" t="s">
        <v>1509</v>
      </c>
      <c r="C27" s="245">
        <f ca="1">C28</f>
        <v>387680</v>
      </c>
      <c r="D27" s="235">
        <f ca="1">C29</f>
        <v>6.0000000000000001E-3</v>
      </c>
      <c r="E27" s="236" t="s">
        <v>1510</v>
      </c>
      <c r="F27" s="246">
        <f ca="1">IF(B1="",'数据-取费表'!Q16,INDIRECT("'数据-取费表'!q"&amp;$G$1))</f>
        <v>0.2</v>
      </c>
      <c r="G27" s="247" t="s">
        <v>1511</v>
      </c>
    </row>
    <row r="28" spans="1:7" s="214" customFormat="1" ht="13.5" customHeight="1">
      <c r="A28" s="780" t="s">
        <v>346</v>
      </c>
      <c r="B28" s="248" t="s">
        <v>1512</v>
      </c>
      <c r="C28" s="249">
        <f ca="1">ROUND((C5+C19+C20)*F27,0)</f>
        <v>387680</v>
      </c>
      <c r="D28" s="235"/>
      <c r="E28" s="236"/>
      <c r="F28" s="246"/>
      <c r="G28" s="247"/>
    </row>
    <row r="29" spans="1:7" s="214" customFormat="1" ht="13.5" customHeight="1">
      <c r="A29" s="780" t="s">
        <v>347</v>
      </c>
      <c r="B29" s="248" t="s">
        <v>1513</v>
      </c>
      <c r="C29" s="238">
        <f ca="1">ROUND(C21*F27,4)</f>
        <v>6.0000000000000001E-3</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f ca="1">ROUND((C5+C19+C20+C22+C27)/(1-C21-D22-D27-C30),0)</f>
        <v>2699984</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337</v>
      </c>
      <c r="B33" s="210" t="s">
        <v>1586</v>
      </c>
      <c r="C33" s="256">
        <f ca="1">SUM(C34:C38)</f>
        <v>23594873</v>
      </c>
      <c r="D33" s="232"/>
      <c r="E33" s="212"/>
      <c r="F33" s="241"/>
      <c r="G33" s="234"/>
    </row>
    <row r="34" spans="1:7" s="258" customFormat="1" ht="13.5" customHeight="1">
      <c r="A34" s="780" t="s">
        <v>346</v>
      </c>
      <c r="B34" s="215" t="s">
        <v>1521</v>
      </c>
      <c r="C34" s="220">
        <f ca="1">ROUND(IF(B1="",SUMPRODUCT('数据-取费表'!K6:K14,'数据-取费表'!L6:L14),INDIRECT("'数据-取费表'!l"&amp;$G$1)*INDIRECT("'数据-取费表'!k"&amp;$G$1)+'数据-取费表'!L14*INDIRECT("'数据-取费表'!S"&amp;$G$1)),0)</f>
        <v>21171870</v>
      </c>
      <c r="D34" s="217"/>
      <c r="E34" s="220"/>
      <c r="F34" s="257"/>
      <c r="G34" s="219"/>
    </row>
    <row r="35" spans="1:7" ht="13.5" customHeight="1">
      <c r="A35" s="780" t="s">
        <v>351</v>
      </c>
      <c r="B35" s="215" t="s">
        <v>1523</v>
      </c>
      <c r="C35" s="220">
        <f ca="1">ROUND(C34*F35,0)</f>
        <v>1058594</v>
      </c>
      <c r="D35" s="220"/>
      <c r="E35" s="220"/>
      <c r="F35" s="259">
        <f>'数据-取费表'!B33</f>
        <v>0.05</v>
      </c>
      <c r="G35" s="219" t="s">
        <v>1524</v>
      </c>
    </row>
    <row r="36" spans="1:7" ht="24">
      <c r="A36" s="780" t="s">
        <v>352</v>
      </c>
      <c r="B36" s="215" t="s">
        <v>1525</v>
      </c>
      <c r="C36" s="220">
        <f ca="1">ROUND(IF(B1="",SUM('数据-取费表'!AP6:AP13)*F36,IF(INDIRECT("'数据-取费表'!c"&amp;$G$1)="住宅",INDIRECT("'数据-取费表'!k"&amp;$G$1)*INDIRECT("'数据-取费表'!l"&amp;$G$1)*F36,0)),0)</f>
        <v>0</v>
      </c>
      <c r="D36" s="220"/>
      <c r="E36" s="220"/>
      <c r="F36" s="259">
        <f>'数据-取费表'!B34</f>
        <v>0</v>
      </c>
      <c r="G36" s="260" t="s">
        <v>1526</v>
      </c>
    </row>
    <row r="37" spans="1:7" s="258" customFormat="1" ht="13.5" customHeight="1">
      <c r="A37" s="780" t="s">
        <v>353</v>
      </c>
      <c r="B37" s="215" t="s">
        <v>1527</v>
      </c>
      <c r="C37" s="249">
        <f ca="1">ROUND(E37*D37,0)</f>
        <v>940972</v>
      </c>
      <c r="D37" s="217">
        <f ca="1">D19</f>
        <v>4704.8599999999997</v>
      </c>
      <c r="E37" s="249">
        <f>'数据-取费表'!B35</f>
        <v>200</v>
      </c>
      <c r="F37" s="259"/>
      <c r="G37" s="261"/>
    </row>
    <row r="38" spans="1:7" ht="13.5" customHeight="1">
      <c r="A38" s="780" t="s">
        <v>354</v>
      </c>
      <c r="B38" s="215" t="s">
        <v>1529</v>
      </c>
      <c r="C38" s="220">
        <f ca="1">ROUND(C34*F38,0)</f>
        <v>423437</v>
      </c>
      <c r="D38" s="220"/>
      <c r="E38" s="220"/>
      <c r="F38" s="259">
        <f>'数据-取费表'!B36</f>
        <v>0.02</v>
      </c>
      <c r="G38" s="219" t="s">
        <v>1524</v>
      </c>
    </row>
    <row r="39" spans="1:7" s="214" customFormat="1" ht="13.5" customHeight="1">
      <c r="A39" s="255" t="s">
        <v>1530</v>
      </c>
      <c r="B39" s="210" t="s">
        <v>1531</v>
      </c>
      <c r="C39" s="232">
        <f ca="1">ROUND(C33*F20,0)</f>
        <v>707846</v>
      </c>
      <c r="D39" s="232"/>
      <c r="E39" s="232"/>
      <c r="F39" s="233">
        <f>F20</f>
        <v>0.03</v>
      </c>
      <c r="G39" s="234" t="s">
        <v>1532</v>
      </c>
    </row>
    <row r="40" spans="1:7" s="214" customFormat="1" ht="13.5" customHeight="1">
      <c r="A40" s="255" t="s">
        <v>1533</v>
      </c>
      <c r="B40" s="210" t="s">
        <v>1534</v>
      </c>
      <c r="C40" s="1326">
        <f>F21</f>
        <v>0.03</v>
      </c>
      <c r="D40" s="236" t="s">
        <v>1535</v>
      </c>
      <c r="E40" s="232"/>
      <c r="F40" s="233">
        <f>F21</f>
        <v>0.03</v>
      </c>
      <c r="G40" s="234" t="s">
        <v>1536</v>
      </c>
    </row>
    <row r="41" spans="1:7" s="214" customFormat="1" ht="13.5" customHeight="1">
      <c r="A41" s="255" t="s">
        <v>1537</v>
      </c>
      <c r="B41" s="210" t="s">
        <v>1538</v>
      </c>
      <c r="C41" s="232">
        <f ca="1">ROUND(SUM(C42:C43),0)</f>
        <v>814141</v>
      </c>
      <c r="D41" s="235">
        <f ca="1">C44</f>
        <v>1E-3</v>
      </c>
      <c r="E41" s="236" t="s">
        <v>1535</v>
      </c>
      <c r="F41" s="237">
        <f ca="1">F22</f>
        <v>3.3500000000000002E-2</v>
      </c>
      <c r="G41" s="234" t="str">
        <f>IF('数据-取费表'!B22&lt;=1,"单利计息","复利计息")</f>
        <v>复利计息</v>
      </c>
    </row>
    <row r="42" spans="1:7" ht="13.5" customHeight="1">
      <c r="A42" s="780" t="s">
        <v>346</v>
      </c>
      <c r="B42" s="215" t="s">
        <v>1539</v>
      </c>
      <c r="C42" s="238">
        <f ca="1">ROUND(IF('数据-取费表'!B22&lt;=1,C33*F22*'数据-取费表'!B20/2,C33*(POWER((1+F22),'数据-取费表'!B20/2)-1)),0)</f>
        <v>790428</v>
      </c>
      <c r="D42" s="238"/>
      <c r="E42" s="238"/>
      <c r="F42" s="239"/>
      <c r="G42" s="3661" t="s">
        <v>1587</v>
      </c>
    </row>
    <row r="43" spans="1:7" ht="13.5" customHeight="1">
      <c r="A43" s="780" t="s">
        <v>347</v>
      </c>
      <c r="B43" s="215" t="s">
        <v>1541</v>
      </c>
      <c r="C43" s="238">
        <f ca="1">ROUND(IF('数据-取费表'!B22&lt;=1,C39*F22*'数据-取费表'!B20/2,C39*(POWER((1+F22),'数据-取费表'!B20/2)-1)),0)</f>
        <v>23713</v>
      </c>
      <c r="D43" s="238"/>
      <c r="E43" s="238"/>
      <c r="F43" s="239"/>
      <c r="G43" s="3662"/>
    </row>
    <row r="44" spans="1:7" ht="13.5" customHeight="1">
      <c r="A44" s="780" t="s">
        <v>348</v>
      </c>
      <c r="B44" s="215" t="s">
        <v>1542</v>
      </c>
      <c r="C44" s="238">
        <f ca="1">ROUND(IF('数据-取费表'!B22&lt;=1,C40*F22*'数据-取费表'!B20/2,C40*(POWER((1+F22),'数据-取费表'!B20/2)-1)),4)</f>
        <v>1E-3</v>
      </c>
      <c r="D44" s="238"/>
      <c r="E44" s="238"/>
      <c r="F44" s="239"/>
      <c r="G44" s="3663"/>
    </row>
    <row r="45" spans="1:7" s="214" customFormat="1" ht="13.5" customHeight="1">
      <c r="A45" s="255" t="s">
        <v>1543</v>
      </c>
      <c r="B45" s="244" t="s">
        <v>1509</v>
      </c>
      <c r="C45" s="245">
        <f ca="1">C46</f>
        <v>4860544</v>
      </c>
      <c r="D45" s="235">
        <f ca="1">C47</f>
        <v>6.0000000000000001E-3</v>
      </c>
      <c r="E45" s="236" t="s">
        <v>1535</v>
      </c>
      <c r="F45" s="246">
        <f ca="1">F27</f>
        <v>0.2</v>
      </c>
      <c r="G45" s="247" t="s">
        <v>1544</v>
      </c>
    </row>
    <row r="46" spans="1:7" s="214" customFormat="1" ht="13.5" customHeight="1">
      <c r="A46" s="780" t="s">
        <v>346</v>
      </c>
      <c r="B46" s="248" t="s">
        <v>1545</v>
      </c>
      <c r="C46" s="249">
        <f ca="1">ROUND((C33+C39)*F27,0)</f>
        <v>4860544</v>
      </c>
      <c r="D46" s="263"/>
      <c r="E46" s="236"/>
      <c r="F46" s="246"/>
      <c r="G46" s="247"/>
    </row>
    <row r="47" spans="1:7" s="214" customFormat="1" ht="13.5" customHeight="1">
      <c r="A47" s="780" t="s">
        <v>347</v>
      </c>
      <c r="B47" s="248" t="s">
        <v>1546</v>
      </c>
      <c r="C47" s="238">
        <f ca="1">ROUND(C40*F27,4)</f>
        <v>6.0000000000000001E-3</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f ca="1">ROUND((C33+C39+C41+C45)/(1-C40-D41-D45-C48),0)</f>
        <v>32953066</v>
      </c>
      <c r="D49" s="232"/>
      <c r="E49" s="232"/>
      <c r="F49" s="264"/>
      <c r="G49" s="234" t="s">
        <v>1550</v>
      </c>
    </row>
    <row r="50" spans="1:7" s="258" customFormat="1">
      <c r="A50" s="255" t="s">
        <v>1551</v>
      </c>
      <c r="B50" s="210" t="s">
        <v>1552</v>
      </c>
      <c r="C50" s="232"/>
      <c r="D50" s="232"/>
      <c r="E50" s="232"/>
      <c r="F50" s="264">
        <f>IF('数据-取费表'!B24=0,'数据-取费表'!N16,1)</f>
        <v>0.72</v>
      </c>
      <c r="G50" s="247"/>
    </row>
    <row r="51" spans="1:7" ht="16.5" customHeight="1">
      <c r="A51" s="255" t="s">
        <v>1554</v>
      </c>
      <c r="B51" s="210" t="s">
        <v>1589</v>
      </c>
      <c r="C51" s="232">
        <f ca="1">ROUND(C49*F50,0)</f>
        <v>23726208</v>
      </c>
      <c r="D51" s="232"/>
      <c r="E51" s="232"/>
      <c r="F51" s="264"/>
      <c r="G51" s="234" t="s">
        <v>1556</v>
      </c>
    </row>
    <row r="52" spans="1:7" s="208" customFormat="1" ht="16.5" thickBot="1">
      <c r="A52" s="265" t="s">
        <v>1557</v>
      </c>
      <c r="B52" s="266"/>
      <c r="C52" s="267">
        <f ca="1">C31+C51</f>
        <v>26426192</v>
      </c>
      <c r="D52" s="266"/>
      <c r="E52" s="266"/>
      <c r="F52" s="266"/>
      <c r="G52" s="268"/>
    </row>
    <row r="55" spans="1:7" ht="15">
      <c r="B55" s="270" t="s">
        <v>1558</v>
      </c>
      <c r="C55" s="271"/>
    </row>
    <row r="56" spans="1:7">
      <c r="B56" s="273" t="s">
        <v>802</v>
      </c>
      <c r="C56" s="275">
        <f ca="1">1-C57</f>
        <v>0.10199999999999998</v>
      </c>
    </row>
    <row r="57" spans="1:7">
      <c r="B57" s="273" t="s">
        <v>803</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0"/>
      <c r="C1" s="1191"/>
      <c r="D1" s="1189"/>
      <c r="E1" s="2805"/>
      <c r="F1" s="2805"/>
      <c r="G1" s="2670"/>
      <c r="H1" s="2805"/>
      <c r="I1" s="2805"/>
      <c r="J1" s="2805"/>
      <c r="K1" s="2806">
        <f>MATCH(C1,'数据-取费表'!A6:A16,0)+5</f>
        <v>7</v>
      </c>
    </row>
    <row r="2" spans="1:33" ht="18" customHeight="1">
      <c r="A2" s="201" t="s">
        <v>1458</v>
      </c>
      <c r="B2" s="204">
        <f ca="1">C32</f>
        <v>0</v>
      </c>
      <c r="C2" s="276" t="s">
        <v>1591</v>
      </c>
      <c r="D2" s="276"/>
      <c r="E2" s="2805"/>
      <c r="F2" s="2805"/>
      <c r="G2" s="2805"/>
      <c r="H2" s="2805"/>
      <c r="I2" s="2805"/>
      <c r="J2" s="2805"/>
      <c r="K2" s="2805"/>
    </row>
    <row r="3" spans="1:33" ht="18" customHeight="1" thickBot="1">
      <c r="A3" s="203" t="s">
        <v>1460</v>
      </c>
      <c r="B3" s="204">
        <f ca="1">ROUND(B2*10000/IF(C1="",'数据-汇总表'!E3,INDIRECT("'数据-取费表'!K"&amp;$K$1)),0)</f>
        <v>0</v>
      </c>
      <c r="C3" s="276" t="s">
        <v>1592</v>
      </c>
      <c r="D3" s="276"/>
      <c r="E3" s="2805"/>
      <c r="F3" s="2805"/>
      <c r="G3" s="2805"/>
      <c r="H3" s="2805"/>
      <c r="I3" s="2805"/>
      <c r="J3" s="2805"/>
      <c r="K3" s="2805"/>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635</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1609</v>
      </c>
      <c r="C12" s="21">
        <f ca="1">ROUND(C11*F12,0)</f>
        <v>0</v>
      </c>
      <c r="D12" s="802"/>
      <c r="E12" s="329"/>
      <c r="F12" s="812">
        <f>'数据-取费表'!B33</f>
        <v>0.05</v>
      </c>
      <c r="G12" s="5" t="s">
        <v>1610</v>
      </c>
      <c r="H12" s="797"/>
      <c r="I12" s="797"/>
      <c r="J12" s="797"/>
      <c r="K12" s="798"/>
    </row>
    <row r="13" spans="1:33" s="803" customFormat="1" ht="13.5" customHeight="1">
      <c r="A13" s="800" t="s">
        <v>637</v>
      </c>
      <c r="B13" s="801" t="s">
        <v>1611</v>
      </c>
      <c r="C13" s="21">
        <f ca="1">ROUND(IF(C1="",SUMIF('数据-取费表'!C:C,"住宅",'数据-取费表'!P:P)*F13,IF(INDIRECT("'数据-取费表'!c"&amp;$K$1)="住宅",INDIRECT("'数据-取费表'!P"&amp;$K$1)*F13,0)),0)</f>
        <v>0</v>
      </c>
      <c r="D13" s="846"/>
      <c r="E13" s="329"/>
      <c r="F13" s="812">
        <f>'数据-取费表'!B34</f>
        <v>0</v>
      </c>
      <c r="G13" s="5" t="s">
        <v>1612</v>
      </c>
      <c r="H13" s="797"/>
      <c r="I13" s="797"/>
      <c r="J13" s="797"/>
      <c r="K13" s="798"/>
    </row>
    <row r="14" spans="1:33" s="805" customFormat="1" ht="13.5" customHeight="1">
      <c r="A14" s="800" t="s">
        <v>638</v>
      </c>
      <c r="B14" s="801" t="s">
        <v>1613</v>
      </c>
      <c r="C14" s="21">
        <f ca="1">ROUND(D14*E14*F11/10000,0)</f>
        <v>0</v>
      </c>
      <c r="D14" s="846">
        <f ca="1">IF(C1="",'数据-汇总表'!E3,INDIRECT("'数据-取费表'!K"&amp;$K$1)+INDIRECT("'数据-取费表'!S"&amp;$K$1))</f>
        <v>4704.8599999999997</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1615</v>
      </c>
      <c r="C15" s="811">
        <f ca="1">ROUND(C11*F15,0)</f>
        <v>0</v>
      </c>
      <c r="D15" s="806"/>
      <c r="E15" s="811"/>
      <c r="F15" s="812">
        <f>'数据-取费表'!B36</f>
        <v>0.02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1617</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1618</v>
      </c>
      <c r="C17" s="21">
        <f ca="1">ROUND(D17*E17/10000,0)</f>
        <v>0</v>
      </c>
      <c r="D17" s="846">
        <f ca="1">D14</f>
        <v>4704.8599999999997</v>
      </c>
      <c r="E17" s="21">
        <f>'数据-取费表'!B32</f>
        <v>0</v>
      </c>
      <c r="F17" s="806"/>
      <c r="G17" s="131" t="s">
        <v>1619</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1620</v>
      </c>
      <c r="C18" s="21">
        <f ca="1">C19+C20-IF(C1="",'数据-取费表'!B29,IF(G18="已全部缴纳",C19+C20,H18))</f>
        <v>0</v>
      </c>
      <c r="D18" s="846"/>
      <c r="E18" s="21"/>
      <c r="F18" s="804"/>
      <c r="G18" s="1861"/>
      <c r="H18" s="1186"/>
      <c r="I18" s="1862" t="s">
        <v>1621</v>
      </c>
      <c r="J18" s="807"/>
      <c r="K18" s="808"/>
    </row>
    <row r="19" spans="1:33" s="803" customFormat="1" ht="13.5" customHeight="1">
      <c r="A19" s="800" t="s">
        <v>360</v>
      </c>
      <c r="B19" s="801" t="s">
        <v>1622</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1623</v>
      </c>
      <c r="C20" s="21">
        <f ca="1">ROUND(D20*E20/10000,0)</f>
        <v>94</v>
      </c>
      <c r="D20" s="846">
        <f ca="1">IF(C1="",'数据-汇总表'!E6,IF(INDIRECT("'数据-取费表'!c"&amp;$K$1)="住宅",INDIRECT("'数据-取费表'!s"&amp;$K$1),INDIRECT("'数据-取费表'!k"&amp;$K$1)+INDIRECT("'数据-取费表'!s"&amp;$K$1)))</f>
        <v>4704.8599999999997</v>
      </c>
      <c r="E20" s="21">
        <f>'数据-取费表'!B28</f>
        <v>200</v>
      </c>
      <c r="F20" s="804"/>
      <c r="G20" s="12"/>
      <c r="H20" s="809"/>
      <c r="I20" s="809"/>
      <c r="J20" s="809"/>
      <c r="K20" s="810"/>
    </row>
    <row r="21" spans="1:33" s="803" customFormat="1" ht="13.5" customHeight="1">
      <c r="A21" s="790" t="s">
        <v>357</v>
      </c>
      <c r="B21" s="813" t="s">
        <v>1624</v>
      </c>
      <c r="C21" s="814">
        <f ca="1">C16+C17+C18</f>
        <v>0</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0.03</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0.03</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1635</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1636</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1637</v>
      </c>
      <c r="B28" s="1864" t="s">
        <v>1638</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1639</v>
      </c>
      <c r="C29" s="284">
        <f ca="1">ROUND((1+C24)*F28*'数据-取费表'!B24/'数据-取费表'!B20,4)</f>
        <v>0</v>
      </c>
      <c r="D29" s="284"/>
      <c r="E29" s="285"/>
      <c r="F29" s="290"/>
      <c r="G29" s="131" t="s">
        <v>1640</v>
      </c>
      <c r="H29" s="807"/>
      <c r="I29" s="807"/>
      <c r="J29" s="807"/>
      <c r="K29" s="808"/>
    </row>
    <row r="30" spans="1:33" s="291" customFormat="1" ht="13.5" customHeight="1">
      <c r="A30" s="800" t="s">
        <v>359</v>
      </c>
      <c r="B30" s="822" t="s">
        <v>1641</v>
      </c>
      <c r="C30" s="292">
        <f ca="1">ROUND((C21+C22+C23)*F28,0)</f>
        <v>0</v>
      </c>
      <c r="D30" s="284"/>
      <c r="E30" s="285"/>
      <c r="F30" s="290"/>
      <c r="G30" s="131"/>
      <c r="H30" s="807"/>
      <c r="I30" s="807"/>
      <c r="J30" s="807"/>
      <c r="K30" s="808"/>
    </row>
    <row r="31" spans="1:33" s="803" customFormat="1" ht="13.5" customHeight="1" thickBot="1">
      <c r="A31" s="1865"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f ca="1">ROUND((C4-C21-C22-C23-C25-C28-C31)/(1+C24+D25+D28),0)</f>
        <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 zoomScale="90" zoomScaleNormal="60" zoomScaleSheetLayoutView="90" workbookViewId="0">
      <selection activeCell="I17" sqref="I1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1863</v>
      </c>
      <c r="B1" s="349"/>
      <c r="C1" s="350" t="s">
        <v>1864</v>
      </c>
      <c r="D1" s="686"/>
      <c r="E1" s="686"/>
      <c r="F1" s="685" t="s">
        <v>1763</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f>F65</f>
        <v>6632</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1460</v>
      </c>
      <c r="B3" s="558">
        <f>ROUND(IF(D3="",B2*10000/'数据-汇总表'!E3,B2*10000/D3),0)</f>
        <v>14096</v>
      </c>
      <c r="C3" s="203" t="s">
        <v>1865</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1765</v>
      </c>
      <c r="B4" s="356"/>
      <c r="C4" s="3682" t="s">
        <v>1766</v>
      </c>
      <c r="D4" s="3683"/>
      <c r="E4" s="3684" t="s">
        <v>1767</v>
      </c>
      <c r="F4" s="3685"/>
      <c r="G4" s="3682" t="s">
        <v>1768</v>
      </c>
      <c r="H4" s="3683"/>
      <c r="I4" s="3682" t="s">
        <v>1769</v>
      </c>
      <c r="J4" s="3683"/>
      <c r="K4" s="559" t="s">
        <v>1770</v>
      </c>
      <c r="L4" s="2714"/>
      <c r="M4" s="2715"/>
      <c r="N4" s="2715"/>
      <c r="O4" s="2715"/>
      <c r="P4" s="3686" t="s">
        <v>1771</v>
      </c>
      <c r="Q4" s="3687"/>
      <c r="R4" s="3669" t="s">
        <v>1767</v>
      </c>
      <c r="S4" s="3670"/>
      <c r="T4" s="3669" t="s">
        <v>1768</v>
      </c>
      <c r="U4" s="3670"/>
      <c r="V4" s="3694" t="s">
        <v>1769</v>
      </c>
      <c r="W4" s="3694"/>
      <c r="X4" s="1354"/>
      <c r="Y4" s="3669" t="s">
        <v>1771</v>
      </c>
      <c r="Z4" s="3670"/>
      <c r="AA4" s="3664" t="s">
        <v>1767</v>
      </c>
      <c r="AB4" s="3665" t="s">
        <v>1768</v>
      </c>
      <c r="AC4" s="3664" t="s">
        <v>1769</v>
      </c>
    </row>
    <row r="5" spans="1:30" ht="74.25" customHeight="1">
      <c r="A5" s="358"/>
      <c r="B5" s="359"/>
      <c r="C5" s="3675" t="s">
        <v>1669</v>
      </c>
      <c r="D5" s="3676"/>
      <c r="E5" s="3673" t="str">
        <f>土地案例!A12</f>
        <v>北京城市副中心0201街区玉桥家园中心FZX-0201-0096、0102地块F3其他类多功能用地国有建设用地使用权出让公告</v>
      </c>
      <c r="F5" s="3674"/>
      <c r="G5" s="3675" t="str">
        <f>土地案例!A14</f>
        <v>北京城市副中心0403街区FZX-0403-0146、0148地块F3 其他类多功能用地</v>
      </c>
      <c r="H5" s="3676"/>
      <c r="I5" s="3675" t="str">
        <f>土地案例!A18</f>
        <v>北京市通州区永顺镇0401街区 46号地块(西马庄收储) B4综合性商业金融服务业用地</v>
      </c>
      <c r="J5" s="3676"/>
      <c r="K5" s="559"/>
      <c r="L5" s="2714"/>
      <c r="M5" s="2715"/>
      <c r="N5" s="2715"/>
      <c r="O5" s="2715"/>
      <c r="P5" s="3688"/>
      <c r="Q5" s="3689"/>
      <c r="R5" s="3671"/>
      <c r="S5" s="3672"/>
      <c r="T5" s="3671"/>
      <c r="U5" s="3672"/>
      <c r="V5" s="3694"/>
      <c r="W5" s="3694"/>
      <c r="X5" s="1354"/>
      <c r="Y5" s="3671"/>
      <c r="Z5" s="3672"/>
      <c r="AA5" s="3665"/>
      <c r="AB5" s="3665"/>
      <c r="AC5" s="3665"/>
    </row>
    <row r="6" spans="1:30" ht="15.75" thickBot="1">
      <c r="A6" s="360"/>
      <c r="B6" s="361"/>
      <c r="C6" s="3677" t="s">
        <v>1673</v>
      </c>
      <c r="D6" s="3678"/>
      <c r="E6" s="3679" t="str">
        <f>土地案例!E12</f>
        <v>京土储挂(通)[2023]042号</v>
      </c>
      <c r="F6" s="3680"/>
      <c r="G6" s="3677" t="str">
        <f>土地案例!E14</f>
        <v>京土储挂(通)〔2023〕032号</v>
      </c>
      <c r="H6" s="3678"/>
      <c r="I6" s="3677" t="str">
        <f>土地案例!E18</f>
        <v>京土储挂(通)〔2023〕004号</v>
      </c>
      <c r="J6" s="3678"/>
      <c r="K6" s="559" t="s">
        <v>1674</v>
      </c>
      <c r="L6" s="2714"/>
      <c r="M6" s="2715"/>
      <c r="N6" s="2715"/>
      <c r="O6" s="2715"/>
      <c r="P6" s="3690"/>
      <c r="Q6" s="3691"/>
      <c r="R6" s="3671"/>
      <c r="S6" s="3672"/>
      <c r="T6" s="3692"/>
      <c r="U6" s="3693"/>
      <c r="V6" s="3694"/>
      <c r="W6" s="3694"/>
      <c r="X6" s="1354"/>
      <c r="Y6" s="3692"/>
      <c r="Z6" s="3693"/>
      <c r="AA6" s="3666"/>
      <c r="AB6" s="3666"/>
      <c r="AC6" s="3666"/>
    </row>
    <row r="7" spans="1:30" s="108" customFormat="1" ht="15.75" thickBot="1">
      <c r="A7" s="362" t="s">
        <v>1675</v>
      </c>
      <c r="B7" s="363"/>
      <c r="C7" s="364">
        <f>'数据-取费表'!B2</f>
        <v>45496</v>
      </c>
      <c r="D7" s="365">
        <v>100</v>
      </c>
      <c r="E7" s="366">
        <f>土地案例!P12</f>
        <v>45189.000497685185</v>
      </c>
      <c r="F7" s="367">
        <f>SUMIF(69:69,YEAR(E7)&amp;"-"&amp;INT((MONTH(E7)+2)/3),70:70)</f>
        <v>98.800000000000011</v>
      </c>
      <c r="G7" s="1973">
        <f>土地案例!P14</f>
        <v>45114.000497685185</v>
      </c>
      <c r="H7" s="365">
        <f>SUMIF(69:69,YEAR(G7)&amp;"-"&amp;INT((MONTH(G7)+2)/3),70:70)</f>
        <v>98.800000000000011</v>
      </c>
      <c r="I7" s="1973">
        <v>45261</v>
      </c>
      <c r="J7" s="365">
        <f>SUMIF(69:69,YEAR(I7)&amp;"-"&amp;INT((MONTH(I7)+2)/3),70:70)</f>
        <v>99.100000000000009</v>
      </c>
      <c r="K7" s="560"/>
      <c r="L7" s="2716"/>
      <c r="M7" s="2717"/>
      <c r="N7" s="2717"/>
      <c r="O7" s="2717"/>
      <c r="P7" s="3667" t="s">
        <v>1676</v>
      </c>
      <c r="Q7" s="3695"/>
      <c r="R7" s="701" t="s">
        <v>14</v>
      </c>
      <c r="S7" s="702">
        <f t="shared" ref="S7:S15" si="0">F7</f>
        <v>98.800000000000011</v>
      </c>
      <c r="T7" s="701" t="s">
        <v>14</v>
      </c>
      <c r="U7" s="702">
        <f t="shared" ref="U7:U15" si="1">H7</f>
        <v>98.800000000000011</v>
      </c>
      <c r="V7" s="701" t="s">
        <v>14</v>
      </c>
      <c r="W7" s="702">
        <f t="shared" ref="W7:W15" si="2">J7</f>
        <v>99.100000000000009</v>
      </c>
      <c r="X7" s="703"/>
      <c r="Y7" s="3667" t="s">
        <v>1676</v>
      </c>
      <c r="Z7" s="3668"/>
      <c r="AA7" s="704">
        <f>D7/F7</f>
        <v>1.012145748987854</v>
      </c>
      <c r="AB7" s="704">
        <f>D7/H7</f>
        <v>1.012145748987854</v>
      </c>
      <c r="AC7" s="704">
        <f>D7/J7</f>
        <v>1.0090817356205852</v>
      </c>
    </row>
    <row r="8" spans="1:30" s="108" customFormat="1" ht="15.75" thickBot="1">
      <c r="A8" s="362" t="s">
        <v>1677</v>
      </c>
      <c r="B8" s="363"/>
      <c r="C8" s="368" t="s">
        <v>1678</v>
      </c>
      <c r="D8" s="365">
        <v>100</v>
      </c>
      <c r="E8" s="368" t="s">
        <v>3438</v>
      </c>
      <c r="F8" s="367">
        <f>SUMIF(72:72,E8,73:73)-SUMIF(72:72,C8,73:73)+100</f>
        <v>100</v>
      </c>
      <c r="G8" s="368" t="s">
        <v>3438</v>
      </c>
      <c r="H8" s="365">
        <f>SUMIF(72:72,G8,73:73)-SUMIF(72:72,C8,73:73)+100</f>
        <v>100</v>
      </c>
      <c r="I8" s="368" t="s">
        <v>3438</v>
      </c>
      <c r="J8" s="365">
        <f>SUMIF(72:72,I8,73:73)-SUMIF(72:72,C8,73:73)+100</f>
        <v>100</v>
      </c>
      <c r="K8" s="560"/>
      <c r="L8" s="2716"/>
      <c r="M8" s="2717"/>
      <c r="N8" s="2717"/>
      <c r="O8" s="2717"/>
      <c r="P8" s="3667" t="s">
        <v>1679</v>
      </c>
      <c r="Q8" s="3668"/>
      <c r="R8" s="701" t="s">
        <v>14</v>
      </c>
      <c r="S8" s="702">
        <f t="shared" si="0"/>
        <v>100</v>
      </c>
      <c r="T8" s="701" t="s">
        <v>14</v>
      </c>
      <c r="U8" s="702">
        <f t="shared" si="1"/>
        <v>100</v>
      </c>
      <c r="V8" s="701" t="s">
        <v>14</v>
      </c>
      <c r="W8" s="702">
        <f t="shared" si="2"/>
        <v>100</v>
      </c>
      <c r="X8" s="703"/>
      <c r="Y8" s="3667" t="s">
        <v>1679</v>
      </c>
      <c r="Z8" s="3668"/>
      <c r="AA8" s="704">
        <f t="shared" ref="AA8:AA45" si="3">D8/F8</f>
        <v>1</v>
      </c>
      <c r="AB8" s="704">
        <f t="shared" ref="AB8:AB45" si="4">D8/H8</f>
        <v>1</v>
      </c>
      <c r="AC8" s="704">
        <f t="shared" ref="AC8:AC45" si="5">D8/J8</f>
        <v>1</v>
      </c>
    </row>
    <row r="9" spans="1:30" s="108" customFormat="1" ht="28.5">
      <c r="A9" s="369" t="s">
        <v>1680</v>
      </c>
      <c r="B9" s="63" t="s">
        <v>1681</v>
      </c>
      <c r="C9" s="1976" t="s">
        <v>3871</v>
      </c>
      <c r="D9" s="126">
        <v>100</v>
      </c>
      <c r="E9" s="1976" t="s">
        <v>3596</v>
      </c>
      <c r="F9" s="126">
        <f>SUMIF(74:74,E9,75:75)-SUMIF(74:74,C9,75:75)+100</f>
        <v>102</v>
      </c>
      <c r="G9" s="1976" t="s">
        <v>3596</v>
      </c>
      <c r="H9" s="126">
        <f>SUMIF(74:74,G9,75:75)-SUMIF(74:74,C9,75:75)+100</f>
        <v>102</v>
      </c>
      <c r="I9" s="1976" t="s">
        <v>3871</v>
      </c>
      <c r="J9" s="126">
        <f>SUMIF(74:74,I9,75:75)-SUMIF(74:74,C9,75:75)+100</f>
        <v>100</v>
      </c>
      <c r="K9" s="560"/>
      <c r="L9" s="2716"/>
      <c r="M9" s="2717"/>
      <c r="N9" s="2717"/>
      <c r="O9" s="2771"/>
      <c r="P9" s="3681" t="s">
        <v>1682</v>
      </c>
      <c r="Q9" s="1342" t="str">
        <f t="shared" ref="Q9:Q15" si="6">B9</f>
        <v>用途</v>
      </c>
      <c r="R9" s="701" t="s">
        <v>14</v>
      </c>
      <c r="S9" s="702">
        <f t="shared" si="0"/>
        <v>102</v>
      </c>
      <c r="T9" s="701" t="s">
        <v>14</v>
      </c>
      <c r="U9" s="702">
        <f t="shared" si="1"/>
        <v>102</v>
      </c>
      <c r="V9" s="701" t="s">
        <v>14</v>
      </c>
      <c r="W9" s="702">
        <f t="shared" si="2"/>
        <v>100</v>
      </c>
      <c r="X9" s="703"/>
      <c r="Y9" s="3637" t="s">
        <v>1683</v>
      </c>
      <c r="Z9" s="52" t="str">
        <f t="shared" ref="Z9:Z15" si="7">Q9</f>
        <v>用途</v>
      </c>
      <c r="AA9" s="704">
        <f t="shared" si="3"/>
        <v>0.98039215686274506</v>
      </c>
      <c r="AB9" s="704">
        <f t="shared" si="4"/>
        <v>0.98039215686274506</v>
      </c>
      <c r="AC9" s="704">
        <f t="shared" si="5"/>
        <v>1</v>
      </c>
    </row>
    <row r="10" spans="1:30" s="378" customFormat="1" ht="27">
      <c r="A10" s="374"/>
      <c r="B10" s="375" t="s">
        <v>1684</v>
      </c>
      <c r="C10" s="383"/>
      <c r="D10" s="127">
        <v>100</v>
      </c>
      <c r="E10" s="416"/>
      <c r="F10" s="127">
        <f>ROUND(100/'数据-取费表'!G16,0)</f>
        <v>100</v>
      </c>
      <c r="G10" s="414"/>
      <c r="H10" s="127">
        <f>ROUND(100/'数据-取费表'!G16,0)</f>
        <v>100</v>
      </c>
      <c r="I10" s="414"/>
      <c r="J10" s="127">
        <f>ROUND(100/'数据-取费表'!G16,0)</f>
        <v>100</v>
      </c>
      <c r="K10" s="620"/>
      <c r="L10" s="2718"/>
      <c r="M10" s="2719"/>
      <c r="N10" s="2719"/>
      <c r="O10" s="2772"/>
      <c r="P10" s="3681"/>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30" ht="15">
      <c r="A11" s="379"/>
      <c r="B11" s="375" t="s">
        <v>1685</v>
      </c>
      <c r="C11" s="380">
        <f>'数据-汇总表'!I4</f>
        <v>1.59</v>
      </c>
      <c r="D11" s="127">
        <v>100</v>
      </c>
      <c r="E11" s="380">
        <v>1.56</v>
      </c>
      <c r="F11" s="127">
        <f>LOOKUP(E11,79:79,80:80)-LOOKUP(C11,79:79,80:80)+100</f>
        <v>100</v>
      </c>
      <c r="G11" s="381">
        <v>2.75</v>
      </c>
      <c r="H11" s="127">
        <f>LOOKUP(G11,79:79,80:80)-LOOKUP(C11,79:79,80:80)+100</f>
        <v>97</v>
      </c>
      <c r="I11" s="380">
        <v>2.8</v>
      </c>
      <c r="J11" s="127">
        <f>LOOKUP(I11,79:79,80:80)-LOOKUP(C11,79:79,80:80)+100</f>
        <v>97</v>
      </c>
      <c r="K11" s="621">
        <v>3</v>
      </c>
      <c r="L11" s="2720"/>
      <c r="M11" s="2715"/>
      <c r="N11" s="2715"/>
      <c r="O11" s="2773"/>
      <c r="P11" s="3681"/>
      <c r="Q11" s="1342" t="str">
        <f t="shared" si="6"/>
        <v>容积率</v>
      </c>
      <c r="R11" s="701" t="s">
        <v>14</v>
      </c>
      <c r="S11" s="702">
        <f t="shared" si="0"/>
        <v>100</v>
      </c>
      <c r="T11" s="701" t="s">
        <v>14</v>
      </c>
      <c r="U11" s="702">
        <f t="shared" si="1"/>
        <v>97</v>
      </c>
      <c r="V11" s="701" t="s">
        <v>14</v>
      </c>
      <c r="W11" s="702">
        <f t="shared" si="2"/>
        <v>97</v>
      </c>
      <c r="X11" s="703"/>
      <c r="Y11" s="3637"/>
      <c r="Z11" s="52" t="str">
        <f t="shared" si="7"/>
        <v>容积率</v>
      </c>
      <c r="AA11" s="704">
        <f t="shared" si="3"/>
        <v>1</v>
      </c>
      <c r="AB11" s="704">
        <f t="shared" si="4"/>
        <v>1.0309278350515463</v>
      </c>
      <c r="AC11" s="704">
        <f t="shared" si="5"/>
        <v>1.0309278350515463</v>
      </c>
    </row>
    <row r="12" spans="1:30" s="108" customFormat="1" ht="15">
      <c r="A12" s="382"/>
      <c r="B12" s="3472" t="s">
        <v>3860</v>
      </c>
      <c r="C12" s="3473" t="s">
        <v>3861</v>
      </c>
      <c r="D12" s="384">
        <v>100</v>
      </c>
      <c r="E12" s="3474" t="s">
        <v>3862</v>
      </c>
      <c r="F12" s="127">
        <f>SUMIF(81:81,E12,82:82)-SUMIF(81:81,C12,82:82)+100</f>
        <v>80</v>
      </c>
      <c r="G12" s="3475" t="s">
        <v>3864</v>
      </c>
      <c r="H12" s="127">
        <f>SUMIF(81:81,G12,82:82)-SUMIF(81:81,C12,82:82)+100</f>
        <v>80</v>
      </c>
      <c r="I12" s="3474" t="s">
        <v>3862</v>
      </c>
      <c r="J12" s="127">
        <f>SUMIF(81:81,I12,82:82)-SUMIF(81:81,C12,82:82)+100</f>
        <v>80</v>
      </c>
      <c r="K12" s="620"/>
      <c r="L12" s="2716"/>
      <c r="M12" s="2717"/>
      <c r="N12" s="2717"/>
      <c r="O12" s="2771"/>
      <c r="P12" s="3681"/>
      <c r="Q12" s="1342" t="str">
        <f t="shared" si="6"/>
        <v>自持</v>
      </c>
      <c r="R12" s="701" t="s">
        <v>14</v>
      </c>
      <c r="S12" s="702">
        <f t="shared" si="0"/>
        <v>80</v>
      </c>
      <c r="T12" s="701" t="s">
        <v>14</v>
      </c>
      <c r="U12" s="702">
        <f t="shared" si="1"/>
        <v>80</v>
      </c>
      <c r="V12" s="701" t="s">
        <v>14</v>
      </c>
      <c r="W12" s="702">
        <f t="shared" si="2"/>
        <v>80</v>
      </c>
      <c r="X12" s="703"/>
      <c r="Y12" s="3637"/>
      <c r="Z12" s="52" t="str">
        <f t="shared" si="7"/>
        <v>自持</v>
      </c>
      <c r="AA12" s="704">
        <f>D12/F12</f>
        <v>1.25</v>
      </c>
      <c r="AB12" s="704">
        <f>D12/H12</f>
        <v>1.25</v>
      </c>
      <c r="AC12" s="704">
        <f>D12/J12</f>
        <v>1.25</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1"/>
      <c r="Q13" s="1342">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1"/>
      <c r="Q14" s="1342">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9.75" hidden="1">
      <c r="A15" s="391" t="s">
        <v>1686</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6" t="s">
        <v>1687</v>
      </c>
      <c r="Q15" s="1351" t="str">
        <f t="shared" si="6"/>
        <v>居住社区成熟度</v>
      </c>
      <c r="R15" s="705" t="s">
        <v>14</v>
      </c>
      <c r="S15" s="706">
        <f t="shared" si="0"/>
        <v>100</v>
      </c>
      <c r="T15" s="705" t="s">
        <v>14</v>
      </c>
      <c r="U15" s="706">
        <f t="shared" si="1"/>
        <v>100</v>
      </c>
      <c r="V15" s="705" t="s">
        <v>14</v>
      </c>
      <c r="W15" s="706">
        <f t="shared" si="2"/>
        <v>100</v>
      </c>
      <c r="X15" s="1354"/>
      <c r="Y15" s="3696" t="s">
        <v>1687</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697"/>
      <c r="Q16" s="1351"/>
      <c r="R16" s="705"/>
      <c r="S16" s="706"/>
      <c r="T16" s="705"/>
      <c r="U16" s="706"/>
      <c r="V16" s="705"/>
      <c r="W16" s="706"/>
      <c r="X16" s="1354"/>
      <c r="Y16" s="3697"/>
      <c r="Z16" s="1355"/>
      <c r="AA16" s="1352">
        <v>1</v>
      </c>
      <c r="AB16" s="1352">
        <v>1</v>
      </c>
      <c r="AC16" s="1352">
        <v>1</v>
      </c>
    </row>
    <row r="17" spans="1:29" ht="71.25">
      <c r="A17" s="379"/>
      <c r="B17" s="402" t="s">
        <v>1773</v>
      </c>
      <c r="C17" s="1954" t="str">
        <f>估价对象房地状况!C16</f>
        <v>估价对象位于XX商圈，周边商业氛围成熟，人流量大，商业繁华度好</v>
      </c>
      <c r="D17" s="401">
        <v>100</v>
      </c>
      <c r="E17" s="403"/>
      <c r="F17" s="401">
        <f>SUMIF(89:89,E18,90:90)-SUMIF(89:89,C18,90:90)+100</f>
        <v>97</v>
      </c>
      <c r="G17" s="403"/>
      <c r="H17" s="406">
        <f>SUMIF(89:89,G18,90:90)-SUMIF(89:89,C18,90:90)+100</f>
        <v>100</v>
      </c>
      <c r="I17" s="405"/>
      <c r="J17" s="406">
        <f>SUMIF(89:89,I18,90:90)-SUMIF(89:89,C18,90:90)+100</f>
        <v>100</v>
      </c>
      <c r="K17" s="621">
        <v>3</v>
      </c>
      <c r="L17" s="2721"/>
      <c r="M17" s="2715"/>
      <c r="N17" s="2715"/>
      <c r="O17" s="2773"/>
      <c r="P17" s="3697"/>
      <c r="Q17" s="1351" t="str">
        <f>B17</f>
        <v>商业繁华度</v>
      </c>
      <c r="R17" s="705" t="s">
        <v>14</v>
      </c>
      <c r="S17" s="706">
        <f>F17</f>
        <v>97</v>
      </c>
      <c r="T17" s="705" t="s">
        <v>14</v>
      </c>
      <c r="U17" s="706">
        <f>H17</f>
        <v>100</v>
      </c>
      <c r="V17" s="705" t="s">
        <v>14</v>
      </c>
      <c r="W17" s="706">
        <f>J17</f>
        <v>100</v>
      </c>
      <c r="X17" s="1354"/>
      <c r="Y17" s="3697"/>
      <c r="Z17" s="1355" t="str">
        <f>Q17</f>
        <v>商业繁华度</v>
      </c>
      <c r="AA17" s="1352">
        <f t="shared" si="3"/>
        <v>1.0309278350515463</v>
      </c>
      <c r="AB17" s="1352">
        <f t="shared" si="4"/>
        <v>1</v>
      </c>
      <c r="AC17" s="1352">
        <f t="shared" si="5"/>
        <v>1</v>
      </c>
    </row>
    <row r="18" spans="1:29" ht="15">
      <c r="A18" s="379"/>
      <c r="B18" s="407"/>
      <c r="C18" s="1900" t="s">
        <v>3427</v>
      </c>
      <c r="D18" s="401"/>
      <c r="E18" s="1900" t="s">
        <v>3854</v>
      </c>
      <c r="F18" s="401"/>
      <c r="G18" s="1900" t="s">
        <v>3427</v>
      </c>
      <c r="H18" s="399"/>
      <c r="I18" s="1900" t="s">
        <v>3427</v>
      </c>
      <c r="J18" s="399"/>
      <c r="K18" s="620"/>
      <c r="L18" s="2721"/>
      <c r="M18" s="2715"/>
      <c r="N18" s="2715"/>
      <c r="O18" s="2773"/>
      <c r="P18" s="3697"/>
      <c r="Q18" s="1351"/>
      <c r="R18" s="705"/>
      <c r="S18" s="706"/>
      <c r="T18" s="705"/>
      <c r="U18" s="706"/>
      <c r="V18" s="705"/>
      <c r="W18" s="706"/>
      <c r="X18" s="1354"/>
      <c r="Y18" s="3697"/>
      <c r="Z18" s="1355"/>
      <c r="AA18" s="1352">
        <v>1</v>
      </c>
      <c r="AB18" s="1352">
        <v>1</v>
      </c>
      <c r="AC18" s="1352">
        <v>1</v>
      </c>
    </row>
    <row r="19" spans="1:29" ht="71.25">
      <c r="A19" s="379"/>
      <c r="B19" s="402" t="s">
        <v>1807</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7"/>
      <c r="Q19" s="1351" t="str">
        <f>B19</f>
        <v>办公集聚程度</v>
      </c>
      <c r="R19" s="705" t="s">
        <v>14</v>
      </c>
      <c r="S19" s="706">
        <f>F19</f>
        <v>100</v>
      </c>
      <c r="T19" s="705" t="s">
        <v>14</v>
      </c>
      <c r="U19" s="706">
        <f>H19</f>
        <v>100</v>
      </c>
      <c r="V19" s="705" t="s">
        <v>14</v>
      </c>
      <c r="W19" s="706">
        <f>J19</f>
        <v>100</v>
      </c>
      <c r="X19" s="1354"/>
      <c r="Y19" s="369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7"/>
      <c r="Q20" s="1351"/>
      <c r="R20" s="705"/>
      <c r="S20" s="706"/>
      <c r="T20" s="705"/>
      <c r="U20" s="706"/>
      <c r="V20" s="705"/>
      <c r="W20" s="706"/>
      <c r="X20" s="1354"/>
      <c r="Y20" s="3697"/>
      <c r="Z20" s="1355"/>
      <c r="AA20" s="1352">
        <v>1</v>
      </c>
      <c r="AB20" s="1352">
        <v>1</v>
      </c>
      <c r="AC20" s="1352">
        <v>1</v>
      </c>
    </row>
    <row r="21" spans="1:29" ht="85.5">
      <c r="A21" s="379"/>
      <c r="B21" s="402" t="s">
        <v>1829</v>
      </c>
      <c r="C21" s="1899" t="str">
        <f>估价对象房地状况!C18</f>
        <v>估价对象周边道路状况、公共交通通达情况、停车便捷程度，综合评价交通便捷度较好</v>
      </c>
      <c r="D21" s="401">
        <v>100</v>
      </c>
      <c r="E21" s="403"/>
      <c r="F21" s="406">
        <f>SUMIF(93:93,E22,94:94)-SUMIF(93:93,C22,94:94)+100</f>
        <v>97</v>
      </c>
      <c r="G21" s="403"/>
      <c r="H21" s="401">
        <f>SUMIF(93:93,G22,94:94)-SUMIF(93:93,C22,94:94)+100</f>
        <v>100</v>
      </c>
      <c r="I21" s="405"/>
      <c r="J21" s="401">
        <f>SUMIF(93:93,I22,94:94)-SUMIF(93:93,C22,94:94)+100</f>
        <v>97</v>
      </c>
      <c r="K21" s="621">
        <v>3</v>
      </c>
      <c r="L21" s="2721"/>
      <c r="M21" s="2715"/>
      <c r="N21" s="2715"/>
      <c r="O21" s="2773"/>
      <c r="P21" s="3697"/>
      <c r="Q21" s="1351" t="str">
        <f>B21</f>
        <v>交通便捷度</v>
      </c>
      <c r="R21" s="705" t="s">
        <v>14</v>
      </c>
      <c r="S21" s="706">
        <f>F21</f>
        <v>97</v>
      </c>
      <c r="T21" s="705" t="s">
        <v>14</v>
      </c>
      <c r="U21" s="706">
        <f>H21</f>
        <v>100</v>
      </c>
      <c r="V21" s="705" t="s">
        <v>14</v>
      </c>
      <c r="W21" s="706">
        <f>J21</f>
        <v>97</v>
      </c>
      <c r="X21" s="1354"/>
      <c r="Y21" s="3697"/>
      <c r="Z21" s="1355" t="str">
        <f>Q21</f>
        <v>交通便捷度</v>
      </c>
      <c r="AA21" s="1352">
        <f t="shared" si="3"/>
        <v>1.0309278350515463</v>
      </c>
      <c r="AB21" s="1352">
        <f t="shared" si="4"/>
        <v>1</v>
      </c>
      <c r="AC21" s="1352">
        <f t="shared" si="5"/>
        <v>1.0309278350515463</v>
      </c>
    </row>
    <row r="22" spans="1:29" ht="15">
      <c r="A22" s="379"/>
      <c r="B22" s="1131"/>
      <c r="C22" s="398" t="s">
        <v>3428</v>
      </c>
      <c r="D22" s="401"/>
      <c r="E22" s="398" t="s">
        <v>3427</v>
      </c>
      <c r="F22" s="399"/>
      <c r="G22" s="398" t="s">
        <v>3428</v>
      </c>
      <c r="H22" s="399"/>
      <c r="I22" s="398" t="s">
        <v>3427</v>
      </c>
      <c r="J22" s="399"/>
      <c r="K22" s="620"/>
      <c r="L22" s="2721"/>
      <c r="M22" s="2715"/>
      <c r="N22" s="2715"/>
      <c r="O22" s="2773"/>
      <c r="P22" s="3697"/>
      <c r="Q22" s="1351"/>
      <c r="R22" s="705"/>
      <c r="S22" s="706"/>
      <c r="T22" s="705"/>
      <c r="U22" s="706"/>
      <c r="V22" s="705"/>
      <c r="W22" s="706"/>
      <c r="X22" s="1354"/>
      <c r="Y22" s="3697"/>
      <c r="Z22" s="1355"/>
      <c r="AA22" s="1352">
        <v>1</v>
      </c>
      <c r="AB22" s="1352">
        <v>1</v>
      </c>
      <c r="AC22" s="1352">
        <v>1</v>
      </c>
    </row>
    <row r="23" spans="1:29" ht="15">
      <c r="A23" s="358"/>
      <c r="B23" s="402" t="s">
        <v>1866</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1</v>
      </c>
      <c r="L23" s="2721"/>
      <c r="M23" s="2715"/>
      <c r="N23" s="2715"/>
      <c r="O23" s="2773"/>
      <c r="P23" s="3697"/>
      <c r="Q23" s="1351" t="str">
        <f t="shared" ref="Q23:Q37" si="8">B23</f>
        <v>区域土地利用方向</v>
      </c>
      <c r="R23" s="705" t="s">
        <v>14</v>
      </c>
      <c r="S23" s="706">
        <f>F23</f>
        <v>100</v>
      </c>
      <c r="T23" s="705" t="s">
        <v>14</v>
      </c>
      <c r="U23" s="706">
        <f>H23</f>
        <v>100</v>
      </c>
      <c r="V23" s="705" t="s">
        <v>14</v>
      </c>
      <c r="W23" s="706">
        <f>J23</f>
        <v>100</v>
      </c>
      <c r="X23" s="1354"/>
      <c r="Y23" s="3697"/>
      <c r="Z23" s="1355" t="str">
        <f>Q23</f>
        <v>区域土地利用方向</v>
      </c>
      <c r="AA23" s="1352">
        <f t="shared" si="3"/>
        <v>1</v>
      </c>
      <c r="AB23" s="1352">
        <f t="shared" si="4"/>
        <v>1</v>
      </c>
      <c r="AC23" s="1352">
        <f t="shared" si="5"/>
        <v>1</v>
      </c>
    </row>
    <row r="24" spans="1:29" ht="15">
      <c r="A24" s="358"/>
      <c r="B24" s="407"/>
      <c r="C24" s="565" t="s">
        <v>3428</v>
      </c>
      <c r="D24" s="399"/>
      <c r="E24" s="565" t="s">
        <v>3428</v>
      </c>
      <c r="F24" s="399"/>
      <c r="G24" s="565" t="s">
        <v>3428</v>
      </c>
      <c r="H24" s="399"/>
      <c r="I24" s="565" t="s">
        <v>3428</v>
      </c>
      <c r="J24" s="399"/>
      <c r="K24" s="740"/>
      <c r="L24" s="2721"/>
      <c r="M24" s="2715"/>
      <c r="N24" s="2715"/>
      <c r="O24" s="2773"/>
      <c r="P24" s="3697"/>
      <c r="Q24" s="1351"/>
      <c r="R24" s="705"/>
      <c r="S24" s="706"/>
      <c r="T24" s="705"/>
      <c r="U24" s="706"/>
      <c r="V24" s="705"/>
      <c r="W24" s="706"/>
      <c r="X24" s="1354"/>
      <c r="Y24" s="3697"/>
      <c r="Z24" s="1355"/>
      <c r="AA24" s="1352"/>
      <c r="AB24" s="1352"/>
      <c r="AC24" s="1352"/>
    </row>
    <row r="25" spans="1:29" ht="57">
      <c r="A25" s="358"/>
      <c r="B25" s="1131" t="s">
        <v>1867</v>
      </c>
      <c r="C25" s="1954" t="str">
        <f>估价对象房地状况!C20</f>
        <v>区域自然环境：；人文环境；综合评价环境状况一般</v>
      </c>
      <c r="D25" s="401">
        <v>100</v>
      </c>
      <c r="E25" s="403"/>
      <c r="F25" s="401">
        <f>SUMIF(97:97,E26,98:98)-SUMIF(97:97,C26,98:98)+100</f>
        <v>97</v>
      </c>
      <c r="G25" s="403"/>
      <c r="H25" s="401">
        <f>SUMIF(97:97,G26,98:98)-SUMIF(97:97,C26,98:98)+100</f>
        <v>100</v>
      </c>
      <c r="I25" s="405"/>
      <c r="J25" s="401">
        <f>SUMIF(97:97,I26,98:98)-SUMIF(97:97,C26,98:98)+100</f>
        <v>100</v>
      </c>
      <c r="K25" s="621">
        <v>3</v>
      </c>
      <c r="L25" s="2721"/>
      <c r="M25" s="2715"/>
      <c r="N25" s="2715"/>
      <c r="O25" s="2773"/>
      <c r="P25" s="3697"/>
      <c r="Q25" s="1351" t="str">
        <f t="shared" si="8"/>
        <v>自然及人文环境状况</v>
      </c>
      <c r="R25" s="705" t="s">
        <v>14</v>
      </c>
      <c r="S25" s="706">
        <f>F25</f>
        <v>97</v>
      </c>
      <c r="T25" s="705" t="s">
        <v>14</v>
      </c>
      <c r="U25" s="706">
        <f>H25</f>
        <v>100</v>
      </c>
      <c r="V25" s="705" t="s">
        <v>14</v>
      </c>
      <c r="W25" s="706">
        <f>J25</f>
        <v>100</v>
      </c>
      <c r="X25" s="1354"/>
      <c r="Y25" s="3697"/>
      <c r="Z25" s="1355" t="str">
        <f>Q25</f>
        <v>自然及人文环境状况</v>
      </c>
      <c r="AA25" s="1352">
        <f t="shared" si="3"/>
        <v>1.0309278350515463</v>
      </c>
      <c r="AB25" s="1352">
        <f t="shared" si="4"/>
        <v>1</v>
      </c>
      <c r="AC25" s="1352">
        <f t="shared" si="5"/>
        <v>1</v>
      </c>
    </row>
    <row r="26" spans="1:29" ht="15">
      <c r="A26" s="358"/>
      <c r="B26" s="407"/>
      <c r="C26" s="398" t="s">
        <v>3428</v>
      </c>
      <c r="D26" s="399"/>
      <c r="E26" s="398" t="s">
        <v>3427</v>
      </c>
      <c r="F26" s="399"/>
      <c r="G26" s="398" t="s">
        <v>3428</v>
      </c>
      <c r="H26" s="399"/>
      <c r="I26" s="398" t="s">
        <v>3428</v>
      </c>
      <c r="J26" s="399"/>
      <c r="K26" s="620"/>
      <c r="L26" s="2721"/>
      <c r="M26" s="2715"/>
      <c r="N26" s="2715"/>
      <c r="O26" s="2773"/>
      <c r="P26" s="3697"/>
      <c r="Q26" s="1351"/>
      <c r="R26" s="705"/>
      <c r="S26" s="706"/>
      <c r="T26" s="705"/>
      <c r="U26" s="706"/>
      <c r="V26" s="705"/>
      <c r="W26" s="706"/>
      <c r="X26" s="1354"/>
      <c r="Y26" s="3697"/>
      <c r="Z26" s="1355"/>
      <c r="AA26" s="1352">
        <v>1</v>
      </c>
      <c r="AB26" s="1352">
        <v>1</v>
      </c>
      <c r="AC26" s="1352">
        <v>1</v>
      </c>
    </row>
    <row r="27" spans="1:29" s="108" customFormat="1" ht="42.75">
      <c r="A27" s="597"/>
      <c r="B27" s="1131" t="s">
        <v>1774</v>
      </c>
      <c r="C27" s="1899" t="str">
        <f>估价对象房地状况!C21</f>
        <v>估价对象所在区域公共配套设施齐备情况</v>
      </c>
      <c r="D27" s="401">
        <v>100</v>
      </c>
      <c r="E27" s="403"/>
      <c r="F27" s="401">
        <f>SUMIF(99:99,E28,100:100)-SUMIF(99:99,C28,100:100)+100</f>
        <v>97</v>
      </c>
      <c r="G27" s="403"/>
      <c r="H27" s="401">
        <f>SUMIF(99:99,G28,100:100)-SUMIF(99:99,C28,100:100)+100</f>
        <v>100</v>
      </c>
      <c r="I27" s="405"/>
      <c r="J27" s="401">
        <f>SUMIF(99:99,I28,100:100)-SUMIF(99:99,C28,100:100)+100</f>
        <v>100</v>
      </c>
      <c r="K27" s="621">
        <v>3</v>
      </c>
      <c r="L27" s="2716"/>
      <c r="M27" s="2717"/>
      <c r="N27" s="2717"/>
      <c r="O27" s="2771"/>
      <c r="P27" s="3697"/>
      <c r="Q27" s="1342" t="str">
        <f t="shared" si="8"/>
        <v>公共配套设施</v>
      </c>
      <c r="R27" s="701" t="s">
        <v>14</v>
      </c>
      <c r="S27" s="702">
        <f>F27</f>
        <v>97</v>
      </c>
      <c r="T27" s="701" t="s">
        <v>14</v>
      </c>
      <c r="U27" s="702">
        <f>H27</f>
        <v>100</v>
      </c>
      <c r="V27" s="701" t="s">
        <v>14</v>
      </c>
      <c r="W27" s="702">
        <f>J27</f>
        <v>100</v>
      </c>
      <c r="X27" s="703"/>
      <c r="Y27" s="3697"/>
      <c r="Z27" s="52" t="str">
        <f>Q27</f>
        <v>公共配套设施</v>
      </c>
      <c r="AA27" s="1352">
        <f>D27/F27</f>
        <v>1.0309278350515463</v>
      </c>
      <c r="AB27" s="1352">
        <f>D27/H27</f>
        <v>1</v>
      </c>
      <c r="AC27" s="1352">
        <f>D27/J27</f>
        <v>1</v>
      </c>
    </row>
    <row r="28" spans="1:29" s="108" customFormat="1" ht="15">
      <c r="A28" s="597"/>
      <c r="B28" s="407"/>
      <c r="C28" s="1977" t="s">
        <v>3428</v>
      </c>
      <c r="D28" s="399"/>
      <c r="E28" s="1977" t="s">
        <v>3427</v>
      </c>
      <c r="F28" s="399"/>
      <c r="G28" s="1977" t="s">
        <v>3428</v>
      </c>
      <c r="H28" s="399"/>
      <c r="I28" s="1977" t="s">
        <v>3428</v>
      </c>
      <c r="J28" s="399"/>
      <c r="K28" s="620"/>
      <c r="L28" s="2716"/>
      <c r="M28" s="2717"/>
      <c r="N28" s="2717"/>
      <c r="O28" s="2771"/>
      <c r="P28" s="3697"/>
      <c r="Q28" s="1342"/>
      <c r="R28" s="701"/>
      <c r="S28" s="702"/>
      <c r="T28" s="701"/>
      <c r="U28" s="702"/>
      <c r="V28" s="701"/>
      <c r="W28" s="702"/>
      <c r="X28" s="703"/>
      <c r="Y28" s="3697"/>
      <c r="Z28" s="52"/>
      <c r="AA28" s="1352">
        <v>1</v>
      </c>
      <c r="AB28" s="1352">
        <v>1</v>
      </c>
      <c r="AC28" s="1352">
        <v>1</v>
      </c>
    </row>
    <row r="29" spans="1:29" s="108" customFormat="1" ht="28.5">
      <c r="A29" s="597"/>
      <c r="B29" s="1131" t="s">
        <v>1775</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697"/>
      <c r="Q29" s="1342"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2">
        <f>D29/F29</f>
        <v>1</v>
      </c>
      <c r="AB29" s="1352">
        <f>D29/H29</f>
        <v>1</v>
      </c>
      <c r="AC29" s="1352">
        <f>D29/J29</f>
        <v>1</v>
      </c>
    </row>
    <row r="30" spans="1:29" s="108" customFormat="1" ht="15">
      <c r="A30" s="597"/>
      <c r="B30" s="407"/>
      <c r="C30" s="1977" t="s">
        <v>3442</v>
      </c>
      <c r="D30" s="399"/>
      <c r="E30" s="1977" t="s">
        <v>3442</v>
      </c>
      <c r="F30" s="399"/>
      <c r="G30" s="1977" t="s">
        <v>3442</v>
      </c>
      <c r="H30" s="399"/>
      <c r="I30" s="1977" t="s">
        <v>3442</v>
      </c>
      <c r="J30" s="399"/>
      <c r="K30" s="620"/>
      <c r="L30" s="2716"/>
      <c r="M30" s="2717"/>
      <c r="N30" s="2717"/>
      <c r="O30" s="2771"/>
      <c r="P30" s="3697"/>
      <c r="Q30" s="1342"/>
      <c r="R30" s="701"/>
      <c r="S30" s="702"/>
      <c r="T30" s="701"/>
      <c r="U30" s="702"/>
      <c r="V30" s="701"/>
      <c r="W30" s="702"/>
      <c r="X30" s="703"/>
      <c r="Y30" s="3697"/>
      <c r="Z30" s="52"/>
      <c r="AA30" s="1352">
        <v>1</v>
      </c>
      <c r="AB30" s="1352">
        <v>1</v>
      </c>
      <c r="AC30" s="1352">
        <v>1</v>
      </c>
    </row>
    <row r="31" spans="1:29" ht="15">
      <c r="A31" s="379"/>
      <c r="B31" s="407" t="s">
        <v>1776</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7"/>
      <c r="Z31" s="1355" t="str">
        <f t="shared" ref="Z31:Z45" si="13">Q31</f>
        <v>临街状况</v>
      </c>
      <c r="AA31" s="1352">
        <f t="shared" si="3"/>
        <v>1</v>
      </c>
      <c r="AB31" s="1352">
        <f t="shared" si="4"/>
        <v>1</v>
      </c>
      <c r="AC31" s="1352">
        <f t="shared" si="5"/>
        <v>1</v>
      </c>
    </row>
    <row r="32" spans="1:29" ht="27">
      <c r="A32" s="379"/>
      <c r="B32" s="1131" t="s">
        <v>1811</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7"/>
      <c r="Q32" s="1351" t="str">
        <f t="shared" si="8"/>
        <v>毗邻道路的类型与等级</v>
      </c>
      <c r="R32" s="705" t="s">
        <v>14</v>
      </c>
      <c r="S32" s="706">
        <f t="shared" si="10"/>
        <v>100</v>
      </c>
      <c r="T32" s="705" t="s">
        <v>14</v>
      </c>
      <c r="U32" s="706">
        <f t="shared" si="11"/>
        <v>100</v>
      </c>
      <c r="V32" s="705" t="s">
        <v>14</v>
      </c>
      <c r="W32" s="706">
        <f t="shared" si="12"/>
        <v>100</v>
      </c>
      <c r="X32" s="1354"/>
      <c r="Y32" s="369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7"/>
      <c r="Q33" s="1351"/>
      <c r="R33" s="705"/>
      <c r="S33" s="706"/>
      <c r="T33" s="705"/>
      <c r="U33" s="706"/>
      <c r="V33" s="705"/>
      <c r="W33" s="706"/>
      <c r="X33" s="1354"/>
      <c r="Y33" s="3697"/>
      <c r="Z33" s="1355"/>
      <c r="AA33" s="1352">
        <v>1</v>
      </c>
      <c r="AB33" s="1352">
        <v>1</v>
      </c>
      <c r="AC33" s="1352">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7"/>
      <c r="Q34" s="1351" t="str">
        <f t="shared" si="8"/>
        <v>土地级别</v>
      </c>
      <c r="R34" s="705" t="s">
        <v>14</v>
      </c>
      <c r="S34" s="706">
        <f t="shared" si="10"/>
        <v>100</v>
      </c>
      <c r="T34" s="705" t="s">
        <v>14</v>
      </c>
      <c r="U34" s="706">
        <f t="shared" si="11"/>
        <v>100</v>
      </c>
      <c r="V34" s="705" t="s">
        <v>14</v>
      </c>
      <c r="W34" s="706">
        <f t="shared" si="12"/>
        <v>100</v>
      </c>
      <c r="X34" s="1354"/>
      <c r="Y34" s="369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7"/>
      <c r="Q35" s="1351">
        <f t="shared" si="8"/>
        <v>111</v>
      </c>
      <c r="R35" s="705" t="s">
        <v>14</v>
      </c>
      <c r="S35" s="706">
        <f t="shared" si="10"/>
        <v>100</v>
      </c>
      <c r="T35" s="705" t="s">
        <v>14</v>
      </c>
      <c r="U35" s="706">
        <f t="shared" si="11"/>
        <v>100</v>
      </c>
      <c r="V35" s="705" t="s">
        <v>14</v>
      </c>
      <c r="W35" s="706">
        <f t="shared" si="12"/>
        <v>100</v>
      </c>
      <c r="X35" s="1354"/>
      <c r="Y35" s="369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98" t="s">
        <v>1692</v>
      </c>
      <c r="Q36" s="1351">
        <f t="shared" si="8"/>
        <v>111</v>
      </c>
      <c r="R36" s="705" t="s">
        <v>14</v>
      </c>
      <c r="S36" s="706">
        <f t="shared" si="10"/>
        <v>100</v>
      </c>
      <c r="T36" s="705" t="s">
        <v>14</v>
      </c>
      <c r="U36" s="706">
        <f t="shared" si="11"/>
        <v>100</v>
      </c>
      <c r="V36" s="705" t="s">
        <v>14</v>
      </c>
      <c r="W36" s="706">
        <f t="shared" si="12"/>
        <v>100</v>
      </c>
      <c r="X36" s="1354"/>
      <c r="Y36" s="3699" t="s">
        <v>1692</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9"/>
      <c r="Q37" s="1351">
        <f t="shared" si="8"/>
        <v>111</v>
      </c>
      <c r="R37" s="708" t="s">
        <v>14</v>
      </c>
      <c r="S37" s="709">
        <f t="shared" si="10"/>
        <v>100</v>
      </c>
      <c r="T37" s="708" t="s">
        <v>14</v>
      </c>
      <c r="U37" s="709">
        <f t="shared" si="11"/>
        <v>100</v>
      </c>
      <c r="V37" s="708" t="s">
        <v>14</v>
      </c>
      <c r="W37" s="709">
        <f t="shared" si="12"/>
        <v>100</v>
      </c>
      <c r="X37" s="710"/>
      <c r="Y37" s="3699"/>
      <c r="Z37" s="711">
        <f t="shared" si="13"/>
        <v>111</v>
      </c>
      <c r="AA37" s="1352">
        <f t="shared" si="3"/>
        <v>1</v>
      </c>
      <c r="AB37" s="1352">
        <f t="shared" si="4"/>
        <v>1</v>
      </c>
      <c r="AC37" s="1352">
        <f t="shared" si="5"/>
        <v>1</v>
      </c>
    </row>
    <row r="38" spans="1:29" ht="15">
      <c r="A38" s="423" t="s">
        <v>1690</v>
      </c>
      <c r="B38" s="407" t="s">
        <v>1869</v>
      </c>
      <c r="C38" s="627">
        <f>'数据-基础表'!A3</f>
        <v>2957.47</v>
      </c>
      <c r="D38" s="418">
        <v>100</v>
      </c>
      <c r="E38" s="627">
        <f>土地案例!G12</f>
        <v>9632.01</v>
      </c>
      <c r="F38" s="418">
        <f>LOOKUP(E38,116:116,117:117)-LOOKUP(C38,116:116,117:117)+100</f>
        <v>99</v>
      </c>
      <c r="G38" s="627">
        <f>土地案例!G14</f>
        <v>15459.22</v>
      </c>
      <c r="H38" s="418">
        <f>LOOKUP(G38,116:116,117:117)-LOOKUP(C38,116:116,117:117)+100</f>
        <v>98</v>
      </c>
      <c r="I38" s="479">
        <f>土地案例!G18</f>
        <v>5500.65</v>
      </c>
      <c r="J38" s="418">
        <f>LOOKUP(I38,116:116,117:117)-LOOKUP(C38,116:116,117:117)+100</f>
        <v>99</v>
      </c>
      <c r="K38" s="562"/>
      <c r="L38" s="2721"/>
      <c r="M38" s="2715"/>
      <c r="N38" s="2715"/>
      <c r="O38" s="2773"/>
      <c r="P38" s="3699"/>
      <c r="Q38" s="1351" t="str">
        <f>B38</f>
        <v>宗地面积</v>
      </c>
      <c r="R38" s="705" t="s">
        <v>14</v>
      </c>
      <c r="S38" s="706">
        <f t="shared" si="10"/>
        <v>99</v>
      </c>
      <c r="T38" s="705" t="s">
        <v>14</v>
      </c>
      <c r="U38" s="706">
        <f t="shared" si="11"/>
        <v>98</v>
      </c>
      <c r="V38" s="705" t="s">
        <v>14</v>
      </c>
      <c r="W38" s="706">
        <f t="shared" si="12"/>
        <v>99</v>
      </c>
      <c r="X38" s="1354"/>
      <c r="Y38" s="3699"/>
      <c r="Z38" s="1355" t="str">
        <f t="shared" si="13"/>
        <v>宗地面积</v>
      </c>
      <c r="AA38" s="1352">
        <f t="shared" si="3"/>
        <v>1.0101010101010102</v>
      </c>
      <c r="AB38" s="1352">
        <f t="shared" si="4"/>
        <v>1.0204081632653061</v>
      </c>
      <c r="AC38" s="1352">
        <f t="shared" si="5"/>
        <v>1.0101010101010102</v>
      </c>
    </row>
    <row r="39" spans="1:29" ht="15">
      <c r="A39" s="423"/>
      <c r="B39" s="375" t="s">
        <v>1870</v>
      </c>
      <c r="C39" s="1905" t="s">
        <v>3472</v>
      </c>
      <c r="D39" s="386">
        <v>100</v>
      </c>
      <c r="E39" s="1905" t="s">
        <v>3472</v>
      </c>
      <c r="F39" s="386">
        <f>SUMIF(118:118,E39,119:119)-SUMIF(118:118,C39,119:119)+100</f>
        <v>100</v>
      </c>
      <c r="G39" s="1905" t="s">
        <v>3472</v>
      </c>
      <c r="H39" s="386">
        <f>SUMIF(118:118,G39,119:119)-SUMIF(118:118,C39,119:119)+100</f>
        <v>100</v>
      </c>
      <c r="I39" s="1905" t="s">
        <v>3472</v>
      </c>
      <c r="J39" s="386">
        <f>SUMIF(118:118,I39,119:119)-SUMIF(118:118,C39,119:119)+100</f>
        <v>100</v>
      </c>
      <c r="K39" s="561">
        <v>1</v>
      </c>
      <c r="L39" s="2721"/>
      <c r="M39" s="2715"/>
      <c r="N39" s="2715"/>
      <c r="O39" s="2773"/>
      <c r="P39" s="3699"/>
      <c r="Q39" s="1351" t="str">
        <f t="shared" ref="Q39:Q45" si="14">B39</f>
        <v>宗地形状</v>
      </c>
      <c r="R39" s="705" t="s">
        <v>14</v>
      </c>
      <c r="S39" s="706">
        <f t="shared" si="10"/>
        <v>100</v>
      </c>
      <c r="T39" s="705" t="s">
        <v>14</v>
      </c>
      <c r="U39" s="706">
        <f t="shared" si="11"/>
        <v>100</v>
      </c>
      <c r="V39" s="705" t="s">
        <v>14</v>
      </c>
      <c r="W39" s="706">
        <f t="shared" si="12"/>
        <v>100</v>
      </c>
      <c r="X39" s="1354"/>
      <c r="Y39" s="3699"/>
      <c r="Z39" s="1355" t="str">
        <f t="shared" si="13"/>
        <v>宗地形状</v>
      </c>
      <c r="AA39" s="1352">
        <f t="shared" si="3"/>
        <v>1</v>
      </c>
      <c r="AB39" s="1352">
        <f t="shared" si="4"/>
        <v>1</v>
      </c>
      <c r="AC39" s="1352">
        <f t="shared" si="5"/>
        <v>1</v>
      </c>
    </row>
    <row r="40" spans="1:29" ht="15" hidden="1">
      <c r="A40" s="423"/>
      <c r="B40" s="375" t="s">
        <v>1871</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9"/>
      <c r="Q40" s="1351" t="str">
        <f t="shared" si="14"/>
        <v>临街宽度及深度</v>
      </c>
      <c r="R40" s="705" t="s">
        <v>14</v>
      </c>
      <c r="S40" s="706">
        <f t="shared" si="10"/>
        <v>100</v>
      </c>
      <c r="T40" s="705" t="s">
        <v>14</v>
      </c>
      <c r="U40" s="706">
        <f t="shared" si="11"/>
        <v>100</v>
      </c>
      <c r="V40" s="705" t="s">
        <v>14</v>
      </c>
      <c r="W40" s="706">
        <f t="shared" si="12"/>
        <v>100</v>
      </c>
      <c r="X40" s="1354"/>
      <c r="Y40" s="3699"/>
      <c r="Z40" s="1355" t="str">
        <f t="shared" si="13"/>
        <v>临街宽度及深度</v>
      </c>
      <c r="AA40" s="1352">
        <f t="shared" si="3"/>
        <v>1</v>
      </c>
      <c r="AB40" s="1352">
        <f t="shared" si="4"/>
        <v>1</v>
      </c>
      <c r="AC40" s="1352">
        <f t="shared" si="5"/>
        <v>1</v>
      </c>
    </row>
    <row r="41" spans="1:29" s="108" customFormat="1" ht="15">
      <c r="A41" s="424"/>
      <c r="B41" s="375" t="s">
        <v>1872</v>
      </c>
      <c r="C41" s="1979" t="s">
        <v>3476</v>
      </c>
      <c r="D41" s="127">
        <v>100</v>
      </c>
      <c r="E41" s="1979" t="s">
        <v>3480</v>
      </c>
      <c r="F41" s="386">
        <f>SUMIF(122:122,E41,123:123)-SUMIF(122:122,C41,123:123)+100</f>
        <v>97</v>
      </c>
      <c r="G41" s="1979" t="s">
        <v>3480</v>
      </c>
      <c r="H41" s="386">
        <f>SUMIF(122:122,G41,123:123)-SUMIF(122:122,C41,123:123)+100</f>
        <v>97</v>
      </c>
      <c r="I41" s="1979" t="s">
        <v>3480</v>
      </c>
      <c r="J41" s="386">
        <f>SUMIF(122:122,I41,123:123)-SUMIF(122:122,C41,123:123)+100</f>
        <v>97</v>
      </c>
      <c r="K41" s="561">
        <v>1</v>
      </c>
      <c r="L41" s="2716"/>
      <c r="M41" s="2717"/>
      <c r="N41" s="2717"/>
      <c r="O41" s="2771"/>
      <c r="P41" s="3699"/>
      <c r="Q41" s="1351" t="str">
        <f t="shared" si="14"/>
        <v>宗地开发程度</v>
      </c>
      <c r="R41" s="701" t="s">
        <v>14</v>
      </c>
      <c r="S41" s="702">
        <f t="shared" si="10"/>
        <v>97</v>
      </c>
      <c r="T41" s="701" t="s">
        <v>14</v>
      </c>
      <c r="U41" s="702">
        <f t="shared" si="11"/>
        <v>97</v>
      </c>
      <c r="V41" s="701" t="s">
        <v>14</v>
      </c>
      <c r="W41" s="702">
        <f t="shared" si="12"/>
        <v>97</v>
      </c>
      <c r="X41" s="703"/>
      <c r="Y41" s="3699"/>
      <c r="Z41" s="52" t="str">
        <f t="shared" si="13"/>
        <v>宗地开发程度</v>
      </c>
      <c r="AA41" s="704">
        <f t="shared" si="3"/>
        <v>1.0309278350515463</v>
      </c>
      <c r="AB41" s="704">
        <f t="shared" si="4"/>
        <v>1.0309278350515463</v>
      </c>
      <c r="AC41" s="704">
        <f t="shared" si="5"/>
        <v>1.0309278350515463</v>
      </c>
    </row>
    <row r="42" spans="1:29" ht="15">
      <c r="A42" s="423"/>
      <c r="B42" s="375" t="s">
        <v>1873</v>
      </c>
      <c r="C42" s="1905" t="s">
        <v>3428</v>
      </c>
      <c r="D42" s="386">
        <v>100</v>
      </c>
      <c r="E42" s="1905" t="s">
        <v>3428</v>
      </c>
      <c r="F42" s="386">
        <f>SUMIF(124:124,E42,125:125)-SUMIF(124:124,C42,125:125)+100</f>
        <v>100</v>
      </c>
      <c r="G42" s="1905" t="s">
        <v>3428</v>
      </c>
      <c r="H42" s="386">
        <f>SUMIF(124:124,G42,125:125)-SUMIF(124:124,C42,125:125)+100</f>
        <v>100</v>
      </c>
      <c r="I42" s="1905" t="s">
        <v>3428</v>
      </c>
      <c r="J42" s="386">
        <f>SUMIF(124:124,I42,125:125)-SUMIF(124:124,C42,125:125)+100</f>
        <v>100</v>
      </c>
      <c r="K42" s="561">
        <v>1</v>
      </c>
      <c r="L42" s="2721"/>
      <c r="M42" s="2715"/>
      <c r="N42" s="2715"/>
      <c r="O42" s="2773"/>
      <c r="P42" s="3699" t="s">
        <v>1692</v>
      </c>
      <c r="Q42" s="1351" t="str">
        <f t="shared" si="14"/>
        <v>工程地质条件</v>
      </c>
      <c r="R42" s="705" t="s">
        <v>14</v>
      </c>
      <c r="S42" s="706">
        <f t="shared" si="10"/>
        <v>100</v>
      </c>
      <c r="T42" s="705" t="s">
        <v>14</v>
      </c>
      <c r="U42" s="706">
        <f t="shared" si="11"/>
        <v>100</v>
      </c>
      <c r="V42" s="705" t="s">
        <v>14</v>
      </c>
      <c r="W42" s="706">
        <f t="shared" si="12"/>
        <v>100</v>
      </c>
      <c r="X42" s="1354"/>
      <c r="Y42" s="3699" t="s">
        <v>1692</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9"/>
      <c r="Q43" s="1351">
        <f t="shared" si="14"/>
        <v>111</v>
      </c>
      <c r="R43" s="705" t="s">
        <v>14</v>
      </c>
      <c r="S43" s="706">
        <f t="shared" si="10"/>
        <v>100</v>
      </c>
      <c r="T43" s="705" t="s">
        <v>14</v>
      </c>
      <c r="U43" s="706">
        <f t="shared" si="11"/>
        <v>100</v>
      </c>
      <c r="V43" s="705" t="s">
        <v>14</v>
      </c>
      <c r="W43" s="706">
        <f t="shared" si="12"/>
        <v>100</v>
      </c>
      <c r="X43" s="1354"/>
      <c r="Y43" s="369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9"/>
      <c r="Q44" s="1351">
        <f t="shared" si="14"/>
        <v>111</v>
      </c>
      <c r="R44" s="705" t="s">
        <v>14</v>
      </c>
      <c r="S44" s="706">
        <f t="shared" si="10"/>
        <v>100</v>
      </c>
      <c r="T44" s="705" t="s">
        <v>14</v>
      </c>
      <c r="U44" s="706">
        <f t="shared" si="11"/>
        <v>100</v>
      </c>
      <c r="V44" s="705" t="s">
        <v>14</v>
      </c>
      <c r="W44" s="706">
        <f t="shared" si="12"/>
        <v>100</v>
      </c>
      <c r="X44" s="1354"/>
      <c r="Y44" s="369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9"/>
      <c r="Q45" s="1351">
        <f t="shared" si="14"/>
        <v>111</v>
      </c>
      <c r="R45" s="708" t="s">
        <v>14</v>
      </c>
      <c r="S45" s="709">
        <f t="shared" si="10"/>
        <v>100</v>
      </c>
      <c r="T45" s="708" t="s">
        <v>14</v>
      </c>
      <c r="U45" s="709">
        <f t="shared" si="11"/>
        <v>100</v>
      </c>
      <c r="V45" s="708" t="s">
        <v>14</v>
      </c>
      <c r="W45" s="709">
        <f t="shared" si="12"/>
        <v>100</v>
      </c>
      <c r="X45" s="710"/>
      <c r="Y45" s="3699"/>
      <c r="Z45" s="711">
        <f t="shared" si="13"/>
        <v>111</v>
      </c>
      <c r="AA45" s="1352">
        <f t="shared" si="3"/>
        <v>1</v>
      </c>
      <c r="AB45" s="1352">
        <f t="shared" si="4"/>
        <v>1</v>
      </c>
      <c r="AC45" s="1352">
        <f t="shared" si="5"/>
        <v>1</v>
      </c>
    </row>
    <row r="46" spans="1:29" ht="15">
      <c r="A46" s="430" t="s">
        <v>1840</v>
      </c>
      <c r="B46" s="1981" t="s">
        <v>1874</v>
      </c>
      <c r="C46" s="630" t="s">
        <v>0</v>
      </c>
      <c r="D46" s="432"/>
      <c r="E46" s="433">
        <f>土地案例!V12</f>
        <v>9118</v>
      </c>
      <c r="F46" s="434"/>
      <c r="G46" s="435">
        <f>土地案例!V14</f>
        <v>10095</v>
      </c>
      <c r="H46" s="436"/>
      <c r="I46" s="433">
        <f>土地案例!V18</f>
        <v>11038</v>
      </c>
      <c r="J46" s="436"/>
      <c r="K46" s="714"/>
      <c r="L46" s="2723"/>
      <c r="M46" s="2724"/>
      <c r="N46" s="2715"/>
      <c r="O46" s="2724"/>
      <c r="P46" s="3681" t="str">
        <f>A46</f>
        <v>成交单价</v>
      </c>
      <c r="Q46" s="3681"/>
      <c r="R46" s="3694">
        <f>E46</f>
        <v>9118</v>
      </c>
      <c r="S46" s="3694"/>
      <c r="T46" s="3694">
        <f>G46</f>
        <v>10095</v>
      </c>
      <c r="U46" s="3694"/>
      <c r="V46" s="3694">
        <f>I46</f>
        <v>11038</v>
      </c>
      <c r="W46" s="3694"/>
      <c r="X46" s="690"/>
      <c r="Y46" s="712"/>
      <c r="Z46" s="690"/>
      <c r="AA46" s="690"/>
      <c r="AB46" s="690"/>
      <c r="AC46" s="690"/>
    </row>
    <row r="47" spans="1:29" ht="15.75" thickBot="1">
      <c r="A47" s="437" t="s">
        <v>1789</v>
      </c>
      <c r="B47" s="631"/>
      <c r="C47" s="440">
        <f>R48</f>
        <v>14097</v>
      </c>
      <c r="D47" s="2316" t="s">
        <v>2132</v>
      </c>
      <c r="E47" s="440">
        <f>R47</f>
        <v>13303</v>
      </c>
      <c r="F47" s="2317"/>
      <c r="G47" s="439">
        <f>T47</f>
        <v>13580</v>
      </c>
      <c r="H47" s="2317"/>
      <c r="I47" s="440">
        <f>V47</f>
        <v>15409</v>
      </c>
      <c r="J47" s="2317"/>
      <c r="K47" s="2319">
        <f>F47+H47+J47</f>
        <v>0</v>
      </c>
      <c r="L47" s="2723"/>
      <c r="M47" s="2724"/>
      <c r="N47" s="2724"/>
      <c r="O47" s="2724"/>
      <c r="P47" s="3681" t="str">
        <f>A47</f>
        <v>比较价值（元/平方米）</v>
      </c>
      <c r="Q47" s="3681"/>
      <c r="R47" s="3700">
        <f>ROUND(PRODUCT(R46,AA7:AA45),0)</f>
        <v>13303</v>
      </c>
      <c r="S47" s="3700"/>
      <c r="T47" s="3700">
        <f>ROUND(PRODUCT(T46,AB7:AB45),0)</f>
        <v>13580</v>
      </c>
      <c r="U47" s="3700"/>
      <c r="V47" s="3700">
        <f>ROUND(PRODUCT(V46,AC7:AC45),0)</f>
        <v>15409</v>
      </c>
      <c r="W47" s="3700"/>
      <c r="X47" s="690"/>
      <c r="Y47" s="690"/>
      <c r="Z47" s="690"/>
      <c r="AA47" s="690"/>
      <c r="AB47" s="690"/>
      <c r="AC47" s="690"/>
    </row>
    <row r="48" spans="1:29" ht="15.75" thickBot="1">
      <c r="A48" s="441" t="s">
        <v>1875</v>
      </c>
      <c r="B48" s="442"/>
      <c r="C48" s="443">
        <f>R48</f>
        <v>14097</v>
      </c>
      <c r="D48" s="443"/>
      <c r="E48" s="443"/>
      <c r="F48" s="443"/>
      <c r="G48" s="443"/>
      <c r="H48" s="443"/>
      <c r="I48" s="443"/>
      <c r="J48" s="443"/>
      <c r="K48" s="715"/>
      <c r="L48" s="2723"/>
      <c r="M48" s="2724"/>
      <c r="N48" s="2724"/>
      <c r="O48" s="2724"/>
      <c r="P48" s="3701" t="str">
        <f>A48</f>
        <v>估价对象XX用房的比较价值（楼面单价，元/平方米）</v>
      </c>
      <c r="Q48" s="3702"/>
      <c r="R48" s="3703">
        <f>ROUND(IF(D47="简单平均",AVERAGE(R47:W47),R47*F47+T47*H47+V47*J47),0)</f>
        <v>14097</v>
      </c>
      <c r="S48" s="3703"/>
      <c r="T48" s="3703"/>
      <c r="U48" s="3703"/>
      <c r="V48" s="3703"/>
      <c r="W48" s="370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1791</v>
      </c>
      <c r="D51" s="447"/>
      <c r="E51" s="448">
        <f>IF(E46&lt;E47,E47/E46-1,E46/E47-1)</f>
        <v>0.45898223294582152</v>
      </c>
      <c r="F51" s="449" t="str">
        <f>IF(OR(E51&gt;=0.3,E51&lt;=-0.3),"超过30%","")</f>
        <v>超过30%</v>
      </c>
      <c r="G51" s="448">
        <f>IF(G46&lt;G47,G47/G46-1,G46/G47-1)</f>
        <v>0.34522040614165439</v>
      </c>
      <c r="H51" s="449" t="str">
        <f>IF(OR(G51&gt;=0.3,G51&lt;=-0.3),"超过30%","")</f>
        <v>超过30%</v>
      </c>
      <c r="I51" s="448">
        <f>IF(I46&lt;I47,I47/I46-1,I46/I47-1)</f>
        <v>0.3959956513861207</v>
      </c>
      <c r="J51" s="449" t="str">
        <f>IF(OR(I51&gt;=0.3,I51&lt;=-0.3),"超过30%","")</f>
        <v>超过30%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1792</v>
      </c>
      <c r="D52" s="450"/>
      <c r="E52" s="448">
        <f>IF(E47&lt;G47,G47/E47-1,E47/G47-1)</f>
        <v>2.082237089378336E-2</v>
      </c>
      <c r="F52" s="449" t="str">
        <f>IF(OR(E52&gt;=0.2,E52&lt;=-0.2),"超过20%","")</f>
        <v/>
      </c>
      <c r="G52" s="448">
        <f>IF(G47&lt;I47,I47/G47-1,G47/I47-1)</f>
        <v>0.13468335787923413</v>
      </c>
      <c r="H52" s="449" t="str">
        <f>IF(OR(G52&gt;=0.2,G52&lt;=-0.2),"超过20%","")</f>
        <v/>
      </c>
      <c r="I52" s="448">
        <f>IF(I47&lt;E47,E47/I47-1,I47/E47-1)</f>
        <v>0.15831015560399919</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1793</v>
      </c>
      <c r="D53" s="450"/>
      <c r="E53" s="448">
        <f>IF(E46&lt;G46,G46/E46-1,E46/G46-1)</f>
        <v>0.10715069094099583</v>
      </c>
      <c r="F53" s="449" t="str">
        <f>IF(OR(E53&gt;=0.3,E53&lt;=-0.3),"超过30%","")</f>
        <v/>
      </c>
      <c r="G53" s="448">
        <f>IF(G46&lt;I46,I46/G46-1,G46/I46-1)</f>
        <v>9.3412580485388697E-2</v>
      </c>
      <c r="H53" s="449" t="str">
        <f>IF(OR(G53&gt;=0.3,G53&lt;=-0.3),"超过30%","")</f>
        <v/>
      </c>
      <c r="I53" s="448">
        <f>IF(I46&lt;E46,E46/I46-1,I46/E46-1)</f>
        <v>0.21057249396797539</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1876</v>
      </c>
      <c r="B55" s="633" t="s">
        <v>1877</v>
      </c>
      <c r="C55" s="1982" t="s">
        <v>1878</v>
      </c>
      <c r="D55" s="1983" t="s">
        <v>1879</v>
      </c>
      <c r="E55" s="634" t="s">
        <v>1880</v>
      </c>
      <c r="F55" s="890" t="s">
        <v>1881</v>
      </c>
      <c r="G55" s="3682" t="s">
        <v>1882</v>
      </c>
      <c r="H55" s="3704"/>
      <c r="I55" s="135" t="s">
        <v>1883</v>
      </c>
      <c r="J55" s="1984">
        <f>项目基本情况!F35</f>
        <v>0</v>
      </c>
      <c r="K55" s="1985" t="s">
        <v>1884</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1885</v>
      </c>
      <c r="B56" s="637">
        <f>C48</f>
        <v>14097</v>
      </c>
      <c r="C56" s="638">
        <v>1</v>
      </c>
      <c r="D56" s="944">
        <v>1</v>
      </c>
      <c r="E56" s="638">
        <f>'数据-汇总表'!E8+'数据-汇总表'!E9</f>
        <v>4704.8599999999997</v>
      </c>
      <c r="F56" s="886">
        <f t="shared" ref="F56:F64" si="15">ROUND(B56*E56/10000,0)</f>
        <v>6632</v>
      </c>
      <c r="G56" s="3705"/>
      <c r="H56" s="368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1886</v>
      </c>
      <c r="B57" s="218">
        <f>ROUND($C$48*C57*D57,0)</f>
        <v>2115</v>
      </c>
      <c r="C57" s="171">
        <f t="shared" ref="C57:C64" si="16">IF($C$55="北京市系数",I57,J57)</f>
        <v>0.6</v>
      </c>
      <c r="D57" s="945">
        <v>0.25</v>
      </c>
      <c r="E57" s="642"/>
      <c r="F57" s="886">
        <f t="shared" si="15"/>
        <v>0</v>
      </c>
      <c r="G57" s="3005" t="s">
        <v>1887</v>
      </c>
      <c r="H57" s="887" t="str">
        <f>项目基本情况!B37</f>
        <v>六级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1888</v>
      </c>
      <c r="B58" s="218">
        <f t="shared" ref="B58:B64" si="17">ROUND($C$48*C58*D58,0)</f>
        <v>1057</v>
      </c>
      <c r="C58" s="171">
        <f t="shared" si="16"/>
        <v>0.3</v>
      </c>
      <c r="D58" s="945">
        <v>0.25</v>
      </c>
      <c r="E58" s="642"/>
      <c r="F58" s="886">
        <f t="shared" si="15"/>
        <v>0</v>
      </c>
      <c r="G58" s="3006"/>
      <c r="H58" s="887" t="str">
        <f>项目基本情况!B37</f>
        <v>六级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1889</v>
      </c>
      <c r="B59" s="218">
        <f t="shared" si="17"/>
        <v>881</v>
      </c>
      <c r="C59" s="171">
        <f t="shared" si="16"/>
        <v>0.25</v>
      </c>
      <c r="D59" s="945">
        <v>0.25</v>
      </c>
      <c r="E59" s="642"/>
      <c r="F59" s="886">
        <f t="shared" si="15"/>
        <v>0</v>
      </c>
      <c r="G59" s="3006"/>
      <c r="H59" s="887" t="str">
        <f>项目基本情况!B37</f>
        <v>六级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1890</v>
      </c>
      <c r="B60" s="218">
        <f t="shared" si="17"/>
        <v>0</v>
      </c>
      <c r="C60" s="171">
        <f t="shared" si="16"/>
        <v>0</v>
      </c>
      <c r="D60" s="945">
        <v>0.25</v>
      </c>
      <c r="E60" s="217">
        <f>'数据-汇总表'!E11</f>
        <v>0</v>
      </c>
      <c r="F60" s="886">
        <f t="shared" si="15"/>
        <v>0</v>
      </c>
      <c r="G60" s="1986" t="s">
        <v>1891</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1892</v>
      </c>
      <c r="B61" s="218">
        <f t="shared" si="17"/>
        <v>0</v>
      </c>
      <c r="C61" s="171">
        <f t="shared" si="16"/>
        <v>0</v>
      </c>
      <c r="D61" s="945">
        <v>0.25</v>
      </c>
      <c r="E61" s="217">
        <f>'数据-汇总表'!E12</f>
        <v>0</v>
      </c>
      <c r="F61" s="886">
        <f t="shared" si="15"/>
        <v>0</v>
      </c>
      <c r="G61" s="892" t="s">
        <v>1893</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1894</v>
      </c>
      <c r="B62" s="218">
        <f t="shared" si="17"/>
        <v>0</v>
      </c>
      <c r="C62" s="171">
        <f t="shared" si="16"/>
        <v>0</v>
      </c>
      <c r="D62" s="945">
        <v>0.25</v>
      </c>
      <c r="E62" s="217">
        <f>'数据-汇总表'!E13</f>
        <v>0</v>
      </c>
      <c r="F62" s="886">
        <f t="shared" si="15"/>
        <v>0</v>
      </c>
      <c r="G62" s="892" t="s">
        <v>1895</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1896</v>
      </c>
      <c r="B63" s="218">
        <f t="shared" si="17"/>
        <v>529</v>
      </c>
      <c r="C63" s="171">
        <f t="shared" si="16"/>
        <v>0.15</v>
      </c>
      <c r="D63" s="945">
        <v>0.25</v>
      </c>
      <c r="E63" s="217">
        <f>'数据-汇总表'!E14</f>
        <v>0</v>
      </c>
      <c r="F63" s="886">
        <f t="shared" si="15"/>
        <v>0</v>
      </c>
      <c r="G63" s="1986" t="s">
        <v>1887</v>
      </c>
      <c r="H63" s="887" t="str">
        <f>项目基本情况!B37</f>
        <v>六级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1897</v>
      </c>
      <c r="B64" s="218">
        <f t="shared" si="17"/>
        <v>0</v>
      </c>
      <c r="C64" s="171">
        <f t="shared" si="16"/>
        <v>0</v>
      </c>
      <c r="D64" s="945">
        <v>0.25</v>
      </c>
      <c r="E64" s="217">
        <f>'数据-汇总表'!E15</f>
        <v>0</v>
      </c>
      <c r="F64" s="886">
        <f t="shared" si="15"/>
        <v>0</v>
      </c>
      <c r="G64" s="1987" t="s">
        <v>1891</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1898</v>
      </c>
      <c r="B65" s="644" t="s">
        <v>22</v>
      </c>
      <c r="C65" s="644" t="s">
        <v>23</v>
      </c>
      <c r="D65" s="644" t="s">
        <v>392</v>
      </c>
      <c r="E65" s="644">
        <f>IF(B46="楼面地价",SUM(E56:E64),'数据-汇总表'!D3)</f>
        <v>4704.8599999999997</v>
      </c>
      <c r="F65" s="645">
        <f>IF(B46="楼面地价",SUM(F56:F64),ROUND(C48*E65/10000,0))</f>
        <v>6632</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4"/>
      <c r="Q67" s="2724"/>
      <c r="R67" s="2724"/>
      <c r="S67" s="2724"/>
      <c r="T67" s="2724"/>
      <c r="U67" s="2724"/>
      <c r="V67" s="2724"/>
      <c r="W67" s="2724"/>
      <c r="X67" s="2724"/>
      <c r="Y67" s="2724"/>
      <c r="Z67" s="2724"/>
      <c r="AA67" s="2724"/>
      <c r="AB67" s="2724"/>
      <c r="AC67" s="2724"/>
    </row>
    <row r="68" spans="1:29" ht="21.75" thickBot="1">
      <c r="A68" s="694" t="s">
        <v>1794</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1899</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t="s">
        <v>3471</v>
      </c>
      <c r="Q69" s="2740"/>
      <c r="R69" s="2740"/>
      <c r="S69" s="2740"/>
      <c r="T69" s="2740"/>
      <c r="U69" s="2740"/>
      <c r="V69" s="2740"/>
      <c r="W69" s="2740"/>
      <c r="X69" s="2740"/>
      <c r="Y69" s="2740"/>
      <c r="Z69" s="2740"/>
      <c r="AA69" s="2740"/>
      <c r="AB69" s="2740"/>
      <c r="AC69" s="2740"/>
    </row>
    <row r="70" spans="1:29" s="108" customFormat="1" ht="30" customHeight="1">
      <c r="A70" s="1989" t="s">
        <v>673</v>
      </c>
      <c r="B70" s="288" t="str">
        <f>"北京市平均增长率"&amp;TEXT(SUMIF(基准地价修正!N25:N29,A70,基准地价修正!P25:P29),"0.00%")</f>
        <v>北京市平均增长率0.00%</v>
      </c>
      <c r="C70" s="552">
        <v>100</v>
      </c>
      <c r="D70" s="544">
        <f>C70-$C$71</f>
        <v>99.7</v>
      </c>
      <c r="E70" s="544">
        <f t="shared" ref="E70:P70" si="20">D70-$C$71</f>
        <v>99.4</v>
      </c>
      <c r="F70" s="544">
        <f t="shared" si="20"/>
        <v>99.100000000000009</v>
      </c>
      <c r="G70" s="544">
        <f t="shared" si="20"/>
        <v>98.800000000000011</v>
      </c>
      <c r="H70" s="544">
        <f t="shared" si="20"/>
        <v>98.500000000000014</v>
      </c>
      <c r="I70" s="544">
        <f t="shared" si="20"/>
        <v>98.200000000000017</v>
      </c>
      <c r="J70" s="544">
        <f t="shared" si="20"/>
        <v>97.90000000000002</v>
      </c>
      <c r="K70" s="544">
        <f t="shared" si="20"/>
        <v>97.600000000000023</v>
      </c>
      <c r="L70" s="544">
        <f t="shared" si="20"/>
        <v>97.300000000000026</v>
      </c>
      <c r="M70" s="544">
        <f t="shared" si="20"/>
        <v>97.000000000000028</v>
      </c>
      <c r="N70" s="544">
        <f t="shared" si="20"/>
        <v>96.700000000000031</v>
      </c>
      <c r="O70" s="544">
        <f t="shared" si="20"/>
        <v>96.400000000000034</v>
      </c>
      <c r="P70" s="544">
        <f t="shared" si="20"/>
        <v>96.100000000000037</v>
      </c>
      <c r="Q70" s="2660"/>
      <c r="R70" s="2660"/>
      <c r="S70" s="2660"/>
      <c r="T70" s="2660"/>
      <c r="U70" s="2660"/>
      <c r="V70" s="2660"/>
      <c r="W70" s="2660"/>
      <c r="X70" s="2660"/>
      <c r="Y70" s="2660"/>
      <c r="Z70" s="2660"/>
      <c r="AA70" s="2660"/>
      <c r="AB70" s="2660"/>
      <c r="AC70" s="2660"/>
    </row>
    <row r="71" spans="1:29" s="108" customFormat="1" ht="15.75" thickBot="1">
      <c r="A71" s="464" t="s">
        <v>1712</v>
      </c>
      <c r="B71" s="465"/>
      <c r="C71" s="466">
        <v>0.3</v>
      </c>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1677</v>
      </c>
      <c r="B72" s="459"/>
      <c r="C72" s="471" t="s">
        <v>1772</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27.75">
      <c r="A74" s="476" t="s">
        <v>1715</v>
      </c>
      <c r="B74" s="477" t="s">
        <v>1681</v>
      </c>
      <c r="C74" s="3455" t="s">
        <v>3872</v>
      </c>
      <c r="D74" s="479" t="s">
        <v>3870</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102</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1684</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1685</v>
      </c>
      <c r="C78" s="496" t="str">
        <f>C79&amp;"（含）"&amp;"-"&amp;D79</f>
        <v>0（含）-1</v>
      </c>
      <c r="D78" s="496" t="str">
        <f t="shared" ref="D78:L78" si="21">D79&amp;"（含）"&amp;"-"&amp;E79</f>
        <v>1（含）-2</v>
      </c>
      <c r="E78" s="496" t="str">
        <f t="shared" si="21"/>
        <v>2（含）-3</v>
      </c>
      <c r="F78" s="496" t="str">
        <f t="shared" si="21"/>
        <v>3（含）-4</v>
      </c>
      <c r="G78" s="496" t="str">
        <f t="shared" si="21"/>
        <v>4（含）-</v>
      </c>
      <c r="H78" s="496" t="str">
        <f t="shared" si="21"/>
        <v>（含）-</v>
      </c>
      <c r="I78" s="496" t="str">
        <f t="shared" si="21"/>
        <v>（含）-</v>
      </c>
      <c r="J78" s="496" t="str">
        <f t="shared" si="21"/>
        <v>（含）-</v>
      </c>
      <c r="K78" s="496" t="str">
        <f t="shared" si="21"/>
        <v>（含）-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自持</v>
      </c>
      <c r="C81" s="3456" t="s">
        <v>3863</v>
      </c>
      <c r="D81" s="3456" t="s">
        <v>3864</v>
      </c>
      <c r="E81" s="503" t="s">
        <v>3867</v>
      </c>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v>100</v>
      </c>
      <c r="D82" s="485">
        <v>80</v>
      </c>
      <c r="E82" s="485">
        <v>90</v>
      </c>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1686</v>
      </c>
      <c r="B87" s="477" t="s">
        <v>1716</v>
      </c>
      <c r="C87" s="522" t="s">
        <v>1717</v>
      </c>
      <c r="D87" s="522" t="s">
        <v>1718</v>
      </c>
      <c r="E87" s="522" t="s">
        <v>1719</v>
      </c>
      <c r="F87" s="522" t="s">
        <v>1720</v>
      </c>
      <c r="G87" s="522" t="s">
        <v>1721</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1900</v>
      </c>
      <c r="C89" s="527" t="s">
        <v>1717</v>
      </c>
      <c r="D89" s="527" t="s">
        <v>1718</v>
      </c>
      <c r="E89" s="527" t="s">
        <v>1719</v>
      </c>
      <c r="F89" s="527" t="s">
        <v>1720</v>
      </c>
      <c r="G89" s="527" t="s">
        <v>1721</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97</v>
      </c>
      <c r="E90" s="493">
        <f>D90-$K17</f>
        <v>94</v>
      </c>
      <c r="F90" s="493">
        <f>E90-$K17</f>
        <v>91</v>
      </c>
      <c r="G90" s="493">
        <f>F90-$K17</f>
        <v>88</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1817</v>
      </c>
      <c r="C91" s="527" t="s">
        <v>1717</v>
      </c>
      <c r="D91" s="527" t="s">
        <v>1718</v>
      </c>
      <c r="E91" s="527" t="s">
        <v>1719</v>
      </c>
      <c r="F91" s="527" t="s">
        <v>1720</v>
      </c>
      <c r="G91" s="527" t="s">
        <v>1721</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1722</v>
      </c>
      <c r="C93" s="527" t="s">
        <v>1717</v>
      </c>
      <c r="D93" s="527" t="s">
        <v>1718</v>
      </c>
      <c r="E93" s="527" t="s">
        <v>1719</v>
      </c>
      <c r="F93" s="527" t="s">
        <v>1720</v>
      </c>
      <c r="G93" s="527" t="s">
        <v>1721</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97</v>
      </c>
      <c r="E94" s="493">
        <f>D94-$K21</f>
        <v>94</v>
      </c>
      <c r="F94" s="493">
        <f>E94-$K21</f>
        <v>91</v>
      </c>
      <c r="G94" s="493">
        <f>F94-$K21</f>
        <v>88</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1901</v>
      </c>
      <c r="C95" s="527" t="s">
        <v>1717</v>
      </c>
      <c r="D95" s="527" t="s">
        <v>1718</v>
      </c>
      <c r="E95" s="527" t="s">
        <v>1719</v>
      </c>
      <c r="F95" s="527" t="s">
        <v>1720</v>
      </c>
      <c r="G95" s="527" t="s">
        <v>1721</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99</v>
      </c>
      <c r="E96" s="493">
        <f>D96-$K23</f>
        <v>98</v>
      </c>
      <c r="F96" s="493">
        <f>E96-$K23</f>
        <v>97</v>
      </c>
      <c r="G96" s="493">
        <f>F96-$K23</f>
        <v>96</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1902</v>
      </c>
      <c r="C97" s="522" t="s">
        <v>1717</v>
      </c>
      <c r="D97" s="522" t="s">
        <v>1718</v>
      </c>
      <c r="E97" s="522" t="s">
        <v>1719</v>
      </c>
      <c r="F97" s="522" t="s">
        <v>1720</v>
      </c>
      <c r="G97" s="522" t="s">
        <v>1721</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1774</v>
      </c>
      <c r="C99" s="522" t="s">
        <v>1717</v>
      </c>
      <c r="D99" s="522" t="s">
        <v>1718</v>
      </c>
      <c r="E99" s="522" t="s">
        <v>1719</v>
      </c>
      <c r="F99" s="522" t="s">
        <v>1720</v>
      </c>
      <c r="G99" s="522" t="s">
        <v>1721</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1775</v>
      </c>
      <c r="C101" s="608" t="s">
        <v>1795</v>
      </c>
      <c r="D101" s="608" t="s">
        <v>1796</v>
      </c>
      <c r="E101" s="608" t="s">
        <v>1797</v>
      </c>
      <c r="F101" s="608" t="s">
        <v>1798</v>
      </c>
      <c r="G101" s="608" t="s">
        <v>1799</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1903</v>
      </c>
      <c r="D103" s="488" t="s">
        <v>1904</v>
      </c>
      <c r="E103" s="488" t="s">
        <v>1905</v>
      </c>
      <c r="F103" s="488" t="s">
        <v>1906</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1811</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1868</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1690</v>
      </c>
      <c r="B115" s="477" t="s">
        <v>1907</v>
      </c>
      <c r="C115" s="478" t="str">
        <f>C116&amp;"(含)"&amp;"-"&amp;D116</f>
        <v>0(含)-5000</v>
      </c>
      <c r="D115" s="478" t="str">
        <f t="shared" ref="D115:M115" si="26">D116&amp;"(含)"&amp;"-"&amp;E116</f>
        <v>5000(含)-10000</v>
      </c>
      <c r="E115" s="478" t="str">
        <f t="shared" si="26"/>
        <v>10000(含)-20000</v>
      </c>
      <c r="F115" s="478" t="str">
        <f t="shared" si="26"/>
        <v>20000(含)-30000</v>
      </c>
      <c r="G115" s="478" t="str">
        <f t="shared" si="26"/>
        <v>30000(含)-</v>
      </c>
      <c r="H115" s="478" t="str">
        <f t="shared" si="26"/>
        <v>(含)-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5000</v>
      </c>
      <c r="E116" s="544">
        <v>10000</v>
      </c>
      <c r="F116" s="544">
        <v>20000</v>
      </c>
      <c r="G116" s="544">
        <v>30000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f>C117-1</f>
        <v>99</v>
      </c>
      <c r="E117" s="540">
        <f t="shared" ref="E117:G117" si="27">D117-1</f>
        <v>98</v>
      </c>
      <c r="F117" s="540">
        <f t="shared" si="27"/>
        <v>97</v>
      </c>
      <c r="G117" s="540">
        <f t="shared" si="27"/>
        <v>96</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1908</v>
      </c>
      <c r="C118" s="3457" t="s">
        <v>3473</v>
      </c>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8">C119-$K39</f>
        <v>99</v>
      </c>
      <c r="E119" s="493">
        <f t="shared" si="28"/>
        <v>98</v>
      </c>
      <c r="F119" s="493">
        <f t="shared" si="28"/>
        <v>97</v>
      </c>
      <c r="G119" s="493">
        <f t="shared" si="28"/>
        <v>96</v>
      </c>
      <c r="H119" s="493">
        <f t="shared" si="28"/>
        <v>95</v>
      </c>
      <c r="I119" s="493">
        <f t="shared" si="28"/>
        <v>94</v>
      </c>
      <c r="J119" s="493">
        <f t="shared" si="28"/>
        <v>93</v>
      </c>
      <c r="K119" s="493">
        <f t="shared" si="28"/>
        <v>92</v>
      </c>
      <c r="L119" s="493">
        <f t="shared" si="28"/>
        <v>91</v>
      </c>
      <c r="M119" s="494">
        <f t="shared" si="28"/>
        <v>90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1909</v>
      </c>
      <c r="C120" s="3456" t="s">
        <v>3474</v>
      </c>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9">C121-$K40</f>
        <v>100</v>
      </c>
      <c r="E121" s="493">
        <f t="shared" si="29"/>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1910</v>
      </c>
      <c r="C122" s="3456" t="s">
        <v>3475</v>
      </c>
      <c r="D122" s="3456" t="s">
        <v>3477</v>
      </c>
      <c r="E122" s="3456" t="s">
        <v>3478</v>
      </c>
      <c r="F122" s="3456" t="s">
        <v>3479</v>
      </c>
      <c r="G122" s="3456" t="s">
        <v>3481</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0">C123-$K41</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1911</v>
      </c>
      <c r="C124" s="3456" t="s">
        <v>3482</v>
      </c>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1">C125-$K42</f>
        <v>99</v>
      </c>
      <c r="E125" s="493">
        <f t="shared" si="31"/>
        <v>98</v>
      </c>
      <c r="F125" s="493">
        <f t="shared" si="31"/>
        <v>97</v>
      </c>
      <c r="G125" s="493">
        <f t="shared" si="31"/>
        <v>96</v>
      </c>
      <c r="H125" s="493">
        <f t="shared" si="31"/>
        <v>95</v>
      </c>
      <c r="I125" s="493">
        <f t="shared" si="31"/>
        <v>94</v>
      </c>
      <c r="J125" s="493">
        <f t="shared" si="31"/>
        <v>93</v>
      </c>
      <c r="K125" s="493">
        <f t="shared" si="31"/>
        <v>92</v>
      </c>
      <c r="L125" s="493">
        <f t="shared" si="31"/>
        <v>91</v>
      </c>
      <c r="M125" s="494">
        <f t="shared" si="31"/>
        <v>90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zoomScale="115" zoomScaleNormal="115" workbookViewId="0">
      <pane ySplit="1" topLeftCell="A2" activePane="bottomLeft" state="frozen"/>
      <selection pane="bottomLeft" activeCell="J14" sqref="J14"/>
    </sheetView>
  </sheetViews>
  <sheetFormatPr defaultRowHeight="12"/>
  <cols>
    <col min="1" max="1" width="25.125" style="3459" customWidth="1"/>
    <col min="2" max="2" width="20" style="3459" hidden="1" customWidth="1"/>
    <col min="3" max="3" width="8.875" style="3459" customWidth="1"/>
    <col min="4" max="4" width="20" style="3459" hidden="1" customWidth="1"/>
    <col min="5" max="5" width="8.625" style="3459" customWidth="1"/>
    <col min="6" max="6" width="20" style="3459" hidden="1" customWidth="1"/>
    <col min="7" max="7" width="10.25" style="3459" customWidth="1"/>
    <col min="8" max="8" width="8.625" style="3459" customWidth="1"/>
    <col min="9" max="9" width="6.625" style="3459" customWidth="1"/>
    <col min="10" max="10" width="10.75" style="3459" customWidth="1"/>
    <col min="11" max="11" width="8.625" style="3459" customWidth="1"/>
    <col min="12" max="12" width="10.875" style="3459" customWidth="1"/>
    <col min="13" max="15" width="20" style="3459" hidden="1" customWidth="1"/>
    <col min="16" max="16" width="12.25" style="3459" customWidth="1"/>
    <col min="17" max="17" width="20" style="3459" hidden="1" customWidth="1"/>
    <col min="18" max="18" width="8.875" style="3459" customWidth="1"/>
    <col min="19" max="19" width="7.625" style="3459" customWidth="1"/>
    <col min="20" max="20" width="9.625" style="3459" customWidth="1"/>
    <col min="21" max="21" width="10.625" style="3459" customWidth="1"/>
    <col min="22" max="22" width="9.375" style="3464" customWidth="1"/>
    <col min="23" max="23" width="6.625" style="3459" customWidth="1"/>
    <col min="24" max="24" width="20.125" style="3459" customWidth="1"/>
    <col min="25" max="16384" width="9" style="3459"/>
  </cols>
  <sheetData>
    <row r="1" spans="1:24" s="3462" customFormat="1" ht="24">
      <c r="A1" s="3461" t="s">
        <v>3484</v>
      </c>
      <c r="B1" s="3461" t="s">
        <v>3485</v>
      </c>
      <c r="C1" s="3461" t="s">
        <v>3486</v>
      </c>
      <c r="D1" s="3461" t="s">
        <v>3487</v>
      </c>
      <c r="E1" s="3461" t="s">
        <v>3488</v>
      </c>
      <c r="F1" s="3461" t="s">
        <v>3489</v>
      </c>
      <c r="G1" s="3461" t="s">
        <v>3490</v>
      </c>
      <c r="H1" s="3461" t="s">
        <v>3491</v>
      </c>
      <c r="I1" s="3461" t="s">
        <v>3492</v>
      </c>
      <c r="J1" s="3461" t="s">
        <v>3493</v>
      </c>
      <c r="K1" s="3461" t="s">
        <v>3494</v>
      </c>
      <c r="L1" s="3461" t="s">
        <v>3495</v>
      </c>
      <c r="M1" s="3461" t="s">
        <v>3496</v>
      </c>
      <c r="N1" s="3461" t="s">
        <v>3497</v>
      </c>
      <c r="O1" s="3461" t="s">
        <v>3498</v>
      </c>
      <c r="P1" s="3461" t="s">
        <v>3499</v>
      </c>
      <c r="Q1" s="3461" t="s">
        <v>3500</v>
      </c>
      <c r="R1" s="3461" t="s">
        <v>3501</v>
      </c>
      <c r="S1" s="3461" t="s">
        <v>3502</v>
      </c>
      <c r="T1" s="3461" t="s">
        <v>3503</v>
      </c>
      <c r="U1" s="3461" t="s">
        <v>3504</v>
      </c>
      <c r="V1" s="3463" t="s">
        <v>3505</v>
      </c>
      <c r="W1" s="3461" t="s">
        <v>3506</v>
      </c>
    </row>
    <row r="2" spans="1:24">
      <c r="A2" s="3458" t="s">
        <v>3507</v>
      </c>
      <c r="B2" s="3458" t="s">
        <v>3378</v>
      </c>
      <c r="C2" s="3458" t="s">
        <v>3508</v>
      </c>
      <c r="D2" s="3458" t="s">
        <v>3509</v>
      </c>
      <c r="E2" s="3458" t="s">
        <v>3510</v>
      </c>
      <c r="F2" s="3458" t="s">
        <v>3511</v>
      </c>
      <c r="G2" s="3458">
        <v>21154.74</v>
      </c>
      <c r="H2" s="3458">
        <v>31732.11</v>
      </c>
      <c r="I2" s="3458" t="s">
        <v>3512</v>
      </c>
      <c r="J2" s="3458" t="s">
        <v>3513</v>
      </c>
      <c r="K2" s="3458" t="s">
        <v>3514</v>
      </c>
      <c r="L2" s="3458">
        <v>1.5</v>
      </c>
      <c r="M2" s="3458" t="s">
        <v>3515</v>
      </c>
      <c r="N2" s="3458" t="s">
        <v>3516</v>
      </c>
      <c r="O2" s="3458" t="s">
        <v>3517</v>
      </c>
      <c r="P2" s="3460">
        <v>45495.000497685185</v>
      </c>
      <c r="Q2" s="3458" t="s">
        <v>3518</v>
      </c>
      <c r="R2" s="3458" t="s">
        <v>3519</v>
      </c>
      <c r="S2" s="3458">
        <v>29600</v>
      </c>
      <c r="T2" s="3458">
        <v>13992.13</v>
      </c>
      <c r="U2" s="3458">
        <v>932.81</v>
      </c>
      <c r="V2" s="3464">
        <v>9328</v>
      </c>
      <c r="W2" s="3458">
        <v>0</v>
      </c>
    </row>
    <row r="3" spans="1:24">
      <c r="A3" s="3458" t="s">
        <v>3520</v>
      </c>
      <c r="B3" s="3458" t="s">
        <v>3378</v>
      </c>
      <c r="C3" s="3458" t="s">
        <v>3521</v>
      </c>
      <c r="D3" s="3458" t="s">
        <v>3522</v>
      </c>
      <c r="E3" s="3458" t="s">
        <v>3523</v>
      </c>
      <c r="F3" s="3458" t="s">
        <v>3524</v>
      </c>
      <c r="G3" s="3458">
        <v>8286.49</v>
      </c>
      <c r="H3" s="3458">
        <v>8286.49</v>
      </c>
      <c r="I3" s="3458" t="s">
        <v>3512</v>
      </c>
      <c r="J3" s="3458" t="s">
        <v>3525</v>
      </c>
      <c r="K3" s="3458" t="s">
        <v>3514</v>
      </c>
      <c r="L3" s="3458">
        <v>1</v>
      </c>
      <c r="M3" s="3458" t="s">
        <v>3515</v>
      </c>
      <c r="N3" s="3458" t="s">
        <v>3516</v>
      </c>
      <c r="O3" s="3458" t="s">
        <v>3517</v>
      </c>
      <c r="P3" s="3460">
        <v>45440.000497685185</v>
      </c>
      <c r="Q3" s="3458" t="s">
        <v>3518</v>
      </c>
      <c r="R3" s="3458" t="s">
        <v>3526</v>
      </c>
      <c r="S3" s="3458">
        <v>16000</v>
      </c>
      <c r="T3" s="3458">
        <v>19308.53</v>
      </c>
      <c r="U3" s="3458">
        <v>1287.24</v>
      </c>
      <c r="V3" s="3464">
        <v>19309</v>
      </c>
      <c r="W3" s="3458">
        <v>0</v>
      </c>
    </row>
    <row r="4" spans="1:24">
      <c r="A4" s="3458" t="s">
        <v>3527</v>
      </c>
      <c r="B4" s="3458" t="s">
        <v>3378</v>
      </c>
      <c r="C4" s="3458" t="s">
        <v>3521</v>
      </c>
      <c r="D4" s="3458" t="s">
        <v>3528</v>
      </c>
      <c r="E4" s="3458" t="s">
        <v>3529</v>
      </c>
      <c r="F4" s="3458" t="s">
        <v>3530</v>
      </c>
      <c r="G4" s="3458">
        <v>78101.460000000006</v>
      </c>
      <c r="H4" s="3458">
        <v>249924.67</v>
      </c>
      <c r="I4" s="3458" t="s">
        <v>3512</v>
      </c>
      <c r="J4" s="3458" t="s">
        <v>3531</v>
      </c>
      <c r="K4" s="3458" t="s">
        <v>3514</v>
      </c>
      <c r="L4" s="3458">
        <v>3.2</v>
      </c>
      <c r="M4" s="3458" t="s">
        <v>3515</v>
      </c>
      <c r="N4" s="3458" t="s">
        <v>3516</v>
      </c>
      <c r="O4" s="3458" t="s">
        <v>3517</v>
      </c>
      <c r="P4" s="3460">
        <v>45440.000497685185</v>
      </c>
      <c r="Q4" s="3458" t="s">
        <v>3518</v>
      </c>
      <c r="R4" s="3458" t="s">
        <v>3532</v>
      </c>
      <c r="S4" s="3458">
        <v>423000</v>
      </c>
      <c r="T4" s="3458">
        <v>54160.32</v>
      </c>
      <c r="U4" s="3458">
        <v>3610.69</v>
      </c>
      <c r="V4" s="3464">
        <v>16925</v>
      </c>
      <c r="W4" s="3458">
        <v>0</v>
      </c>
    </row>
    <row r="5" spans="1:24">
      <c r="A5" s="3458" t="s">
        <v>3533</v>
      </c>
      <c r="B5" s="3458" t="s">
        <v>3378</v>
      </c>
      <c r="C5" s="3458" t="s">
        <v>3521</v>
      </c>
      <c r="D5" s="3458" t="s">
        <v>3534</v>
      </c>
      <c r="E5" s="3458" t="s">
        <v>3535</v>
      </c>
      <c r="F5" s="3458" t="s">
        <v>3536</v>
      </c>
      <c r="G5" s="3458">
        <v>37655.61</v>
      </c>
      <c r="H5" s="3458">
        <v>56108.97</v>
      </c>
      <c r="I5" s="3458" t="s">
        <v>3512</v>
      </c>
      <c r="J5" s="3458" t="s">
        <v>3537</v>
      </c>
      <c r="K5" s="3458" t="s">
        <v>3538</v>
      </c>
      <c r="L5" s="3458" t="s">
        <v>3539</v>
      </c>
      <c r="M5" s="3458" t="s">
        <v>3515</v>
      </c>
      <c r="N5" s="3458" t="s">
        <v>3516</v>
      </c>
      <c r="O5" s="3458" t="s">
        <v>3517</v>
      </c>
      <c r="P5" s="3460">
        <v>45366.000497685185</v>
      </c>
      <c r="Q5" s="3458" t="s">
        <v>3518</v>
      </c>
      <c r="R5" s="3458" t="s">
        <v>3540</v>
      </c>
      <c r="S5" s="3458">
        <v>74000</v>
      </c>
      <c r="T5" s="3458">
        <v>19651.78</v>
      </c>
      <c r="U5" s="3458">
        <v>1310.1199999999999</v>
      </c>
      <c r="V5" s="3464">
        <v>13189</v>
      </c>
      <c r="W5" s="3458">
        <v>0</v>
      </c>
    </row>
    <row r="6" spans="1:24">
      <c r="A6" s="3458" t="s">
        <v>3541</v>
      </c>
      <c r="B6" s="3458" t="s">
        <v>3378</v>
      </c>
      <c r="C6" s="3458" t="s">
        <v>3542</v>
      </c>
      <c r="D6" s="3458" t="s">
        <v>3543</v>
      </c>
      <c r="E6" s="3458" t="s">
        <v>3544</v>
      </c>
      <c r="F6" s="3458" t="s">
        <v>3545</v>
      </c>
      <c r="G6" s="3458">
        <v>17446.77</v>
      </c>
      <c r="H6" s="3458">
        <v>34893.550000000003</v>
      </c>
      <c r="I6" s="3458" t="s">
        <v>3512</v>
      </c>
      <c r="J6" s="3458" t="s">
        <v>3546</v>
      </c>
      <c r="K6" s="3458" t="s">
        <v>3514</v>
      </c>
      <c r="L6" s="3458" t="s">
        <v>3547</v>
      </c>
      <c r="M6" s="3458" t="s">
        <v>3515</v>
      </c>
      <c r="N6" s="3458" t="s">
        <v>3516</v>
      </c>
      <c r="O6" s="3458" t="s">
        <v>3517</v>
      </c>
      <c r="P6" s="3460">
        <v>45329.000497685185</v>
      </c>
      <c r="Q6" s="3458" t="s">
        <v>3518</v>
      </c>
      <c r="R6" s="3458" t="s">
        <v>3548</v>
      </c>
      <c r="S6" s="3458">
        <v>13000</v>
      </c>
      <c r="T6" s="3458">
        <v>7451.23</v>
      </c>
      <c r="U6" s="3458">
        <v>496.75</v>
      </c>
      <c r="V6" s="3464">
        <v>3726</v>
      </c>
      <c r="W6" s="3458">
        <v>0</v>
      </c>
    </row>
    <row r="7" spans="1:24">
      <c r="A7" s="3458" t="s">
        <v>3549</v>
      </c>
      <c r="B7" s="3458" t="s">
        <v>3378</v>
      </c>
      <c r="C7" s="3458" t="s">
        <v>3550</v>
      </c>
      <c r="D7" s="3458" t="s">
        <v>3551</v>
      </c>
      <c r="E7" s="3458" t="s">
        <v>3552</v>
      </c>
      <c r="F7" s="3458" t="s">
        <v>3553</v>
      </c>
      <c r="G7" s="3458">
        <v>9999.98</v>
      </c>
      <c r="H7" s="3458">
        <v>17599.96</v>
      </c>
      <c r="I7" s="3458" t="s">
        <v>3512</v>
      </c>
      <c r="J7" s="3458" t="s">
        <v>3554</v>
      </c>
      <c r="K7" s="3458" t="s">
        <v>3514</v>
      </c>
      <c r="L7" s="3458">
        <v>1.76</v>
      </c>
      <c r="M7" s="3458" t="s">
        <v>3515</v>
      </c>
      <c r="N7" s="3458" t="s">
        <v>3516</v>
      </c>
      <c r="O7" s="3458" t="s">
        <v>3517</v>
      </c>
      <c r="P7" s="3460">
        <v>45320.000497685185</v>
      </c>
      <c r="Q7" s="3458" t="s">
        <v>3518</v>
      </c>
      <c r="R7" s="3458" t="s">
        <v>3555</v>
      </c>
      <c r="S7" s="3458">
        <v>37700</v>
      </c>
      <c r="T7" s="3458">
        <v>37700.07</v>
      </c>
      <c r="U7" s="3458">
        <v>2513.34</v>
      </c>
      <c r="V7" s="3464">
        <v>21421</v>
      </c>
      <c r="W7" s="3458">
        <v>0</v>
      </c>
      <c r="X7" s="3459" t="s">
        <v>3844</v>
      </c>
    </row>
    <row r="8" spans="1:24">
      <c r="A8" s="3458" t="s">
        <v>3556</v>
      </c>
      <c r="B8" s="3458" t="s">
        <v>3378</v>
      </c>
      <c r="C8" s="3458" t="s">
        <v>3521</v>
      </c>
      <c r="D8" s="3458" t="s">
        <v>3557</v>
      </c>
      <c r="E8" s="3458" t="s">
        <v>3558</v>
      </c>
      <c r="F8" s="3458" t="s">
        <v>3559</v>
      </c>
      <c r="G8" s="3458">
        <v>70601.06</v>
      </c>
      <c r="H8" s="3458">
        <v>285523</v>
      </c>
      <c r="I8" s="3458" t="s">
        <v>3512</v>
      </c>
      <c r="J8" s="3458" t="s">
        <v>3560</v>
      </c>
      <c r="K8" s="3458" t="s">
        <v>3561</v>
      </c>
      <c r="L8" s="3458">
        <v>4.04</v>
      </c>
      <c r="M8" s="3458" t="s">
        <v>3515</v>
      </c>
      <c r="N8" s="3458" t="s">
        <v>3516</v>
      </c>
      <c r="O8" s="3458" t="s">
        <v>3517</v>
      </c>
      <c r="P8" s="3460">
        <v>45314.000497685185</v>
      </c>
      <c r="Q8" s="3458" t="s">
        <v>3518</v>
      </c>
      <c r="R8" s="3458" t="s">
        <v>3562</v>
      </c>
      <c r="S8" s="3458">
        <v>642000</v>
      </c>
      <c r="T8" s="3458">
        <v>90933.48</v>
      </c>
      <c r="U8" s="3458">
        <v>6062.23</v>
      </c>
      <c r="V8" s="3464">
        <v>22485</v>
      </c>
      <c r="W8" s="3458">
        <v>0</v>
      </c>
    </row>
    <row r="9" spans="1:24">
      <c r="A9" s="3458" t="s">
        <v>3563</v>
      </c>
      <c r="B9" s="3458" t="s">
        <v>3378</v>
      </c>
      <c r="C9" s="3458" t="s">
        <v>3564</v>
      </c>
      <c r="D9" s="3458" t="s">
        <v>3565</v>
      </c>
      <c r="E9" s="3458" t="s">
        <v>3566</v>
      </c>
      <c r="F9" s="3458" t="s">
        <v>3567</v>
      </c>
      <c r="G9" s="3458">
        <v>32636.74</v>
      </c>
      <c r="H9" s="3458">
        <v>78328</v>
      </c>
      <c r="I9" s="3458" t="s">
        <v>3512</v>
      </c>
      <c r="J9" s="3458" t="s">
        <v>3568</v>
      </c>
      <c r="K9" s="3458">
        <v>20</v>
      </c>
      <c r="L9" s="3458">
        <v>2.4</v>
      </c>
      <c r="M9" s="3458" t="s">
        <v>3515</v>
      </c>
      <c r="N9" s="3458" t="s">
        <v>3516</v>
      </c>
      <c r="O9" s="3458" t="s">
        <v>3517</v>
      </c>
      <c r="P9" s="3460">
        <v>45308.000497685185</v>
      </c>
      <c r="Q9" s="3458" t="s">
        <v>3518</v>
      </c>
      <c r="R9" s="3458" t="s">
        <v>3569</v>
      </c>
      <c r="S9" s="3458">
        <v>65000</v>
      </c>
      <c r="T9" s="3458">
        <v>19916.2</v>
      </c>
      <c r="U9" s="3458">
        <v>1327.75</v>
      </c>
      <c r="V9" s="3464">
        <v>8298</v>
      </c>
      <c r="W9" s="3458">
        <v>0</v>
      </c>
    </row>
    <row r="10" spans="1:24">
      <c r="A10" s="3458" t="s">
        <v>3570</v>
      </c>
      <c r="B10" s="3458" t="s">
        <v>3378</v>
      </c>
      <c r="C10" s="3458" t="s">
        <v>3571</v>
      </c>
      <c r="D10" s="3458" t="s">
        <v>3572</v>
      </c>
      <c r="E10" s="3458" t="s">
        <v>3573</v>
      </c>
      <c r="F10" s="3458" t="s">
        <v>3574</v>
      </c>
      <c r="G10" s="3458">
        <v>7467</v>
      </c>
      <c r="H10" s="3458">
        <v>52000</v>
      </c>
      <c r="I10" s="3458" t="s">
        <v>3512</v>
      </c>
      <c r="J10" s="3458" t="s">
        <v>3554</v>
      </c>
      <c r="K10" s="3458" t="s">
        <v>3575</v>
      </c>
      <c r="L10" s="3458" t="s">
        <v>3576</v>
      </c>
      <c r="M10" s="3458" t="s">
        <v>3515</v>
      </c>
      <c r="N10" s="3458" t="s">
        <v>3516</v>
      </c>
      <c r="O10" s="3458" t="s">
        <v>3517</v>
      </c>
      <c r="P10" s="3460">
        <v>45288.000497685185</v>
      </c>
      <c r="Q10" s="3458" t="s">
        <v>3518</v>
      </c>
      <c r="R10" s="3458" t="s">
        <v>3577</v>
      </c>
      <c r="S10" s="3458">
        <v>118000</v>
      </c>
      <c r="T10" s="3458">
        <v>158028.66</v>
      </c>
      <c r="U10" s="3458">
        <v>10535.24</v>
      </c>
      <c r="V10" s="3464">
        <v>22692</v>
      </c>
      <c r="W10" s="3458">
        <v>0</v>
      </c>
    </row>
    <row r="11" spans="1:24">
      <c r="A11" s="3458" t="s">
        <v>3578</v>
      </c>
      <c r="B11" s="3458" t="s">
        <v>3378</v>
      </c>
      <c r="C11" s="3458" t="s">
        <v>3542</v>
      </c>
      <c r="D11" s="3458" t="s">
        <v>3543</v>
      </c>
      <c r="E11" s="3458" t="s">
        <v>3579</v>
      </c>
      <c r="F11" s="3458" t="s">
        <v>3545</v>
      </c>
      <c r="G11" s="3458">
        <v>29963.72</v>
      </c>
      <c r="H11" s="3458">
        <v>68916.56</v>
      </c>
      <c r="I11" s="3458" t="s">
        <v>3512</v>
      </c>
      <c r="J11" s="3458" t="s">
        <v>3546</v>
      </c>
      <c r="K11" s="3458" t="s">
        <v>3580</v>
      </c>
      <c r="L11" s="3458">
        <v>2.2999999999999998</v>
      </c>
      <c r="M11" s="3458" t="s">
        <v>3515</v>
      </c>
      <c r="N11" s="3458" t="s">
        <v>3516</v>
      </c>
      <c r="O11" s="3458" t="s">
        <v>3517</v>
      </c>
      <c r="P11" s="3460">
        <v>45207.000497685185</v>
      </c>
      <c r="Q11" s="3458" t="s">
        <v>3518</v>
      </c>
      <c r="R11" s="3458" t="s">
        <v>3581</v>
      </c>
      <c r="S11" s="3458">
        <v>25700</v>
      </c>
      <c r="T11" s="3458">
        <v>8577.0300000000007</v>
      </c>
      <c r="U11" s="3458">
        <v>571.79999999999995</v>
      </c>
      <c r="V11" s="3464">
        <v>3729</v>
      </c>
      <c r="W11" s="3458">
        <v>0</v>
      </c>
    </row>
    <row r="12" spans="1:24" s="3468" customFormat="1">
      <c r="A12" s="3465" t="s">
        <v>3582</v>
      </c>
      <c r="B12" s="3458" t="s">
        <v>3378</v>
      </c>
      <c r="C12" s="3465" t="s">
        <v>3583</v>
      </c>
      <c r="D12" s="3458" t="s">
        <v>3584</v>
      </c>
      <c r="E12" s="3465" t="s">
        <v>3850</v>
      </c>
      <c r="F12" s="3458" t="s">
        <v>3585</v>
      </c>
      <c r="G12" s="3465">
        <v>9632.01</v>
      </c>
      <c r="H12" s="3465">
        <v>15025.93</v>
      </c>
      <c r="I12" s="3465" t="s">
        <v>3512</v>
      </c>
      <c r="J12" s="3465" t="s">
        <v>3546</v>
      </c>
      <c r="K12" s="3465" t="s">
        <v>3586</v>
      </c>
      <c r="L12" s="3465">
        <v>1.56</v>
      </c>
      <c r="M12" s="3458" t="s">
        <v>3515</v>
      </c>
      <c r="N12" s="3458" t="s">
        <v>3516</v>
      </c>
      <c r="O12" s="3458" t="s">
        <v>3517</v>
      </c>
      <c r="P12" s="3466">
        <v>45189.000497685185</v>
      </c>
      <c r="Q12" s="3458" t="s">
        <v>3518</v>
      </c>
      <c r="R12" s="3465" t="s">
        <v>3587</v>
      </c>
      <c r="S12" s="3465">
        <v>13700</v>
      </c>
      <c r="T12" s="3465">
        <v>14223.4</v>
      </c>
      <c r="U12" s="3465">
        <v>948.23</v>
      </c>
      <c r="V12" s="3467">
        <v>9118</v>
      </c>
      <c r="W12" s="3465">
        <v>0</v>
      </c>
      <c r="X12" s="3468" t="s">
        <v>3865</v>
      </c>
    </row>
    <row r="13" spans="1:24">
      <c r="A13" s="3458" t="s">
        <v>3588</v>
      </c>
      <c r="B13" s="3458" t="s">
        <v>3378</v>
      </c>
      <c r="C13" s="3458" t="s">
        <v>3521</v>
      </c>
      <c r="D13" s="3458" t="s">
        <v>3534</v>
      </c>
      <c r="E13" s="3458" t="s">
        <v>3589</v>
      </c>
      <c r="F13" s="3458" t="s">
        <v>3590</v>
      </c>
      <c r="G13" s="3458">
        <v>49900.54</v>
      </c>
      <c r="H13" s="3458">
        <v>109781.19</v>
      </c>
      <c r="I13" s="3458" t="s">
        <v>3512</v>
      </c>
      <c r="J13" s="3458" t="s">
        <v>3546</v>
      </c>
      <c r="K13" s="3458" t="s">
        <v>3580</v>
      </c>
      <c r="L13" s="3458">
        <v>2.2000000000000002</v>
      </c>
      <c r="M13" s="3458" t="s">
        <v>3515</v>
      </c>
      <c r="N13" s="3458" t="s">
        <v>3516</v>
      </c>
      <c r="O13" s="3458" t="s">
        <v>3517</v>
      </c>
      <c r="P13" s="3460">
        <v>45141.000497685185</v>
      </c>
      <c r="Q13" s="3458" t="s">
        <v>3518</v>
      </c>
      <c r="R13" s="3458" t="s">
        <v>3591</v>
      </c>
      <c r="S13" s="3458">
        <v>227000</v>
      </c>
      <c r="T13" s="3458">
        <v>45490.49</v>
      </c>
      <c r="U13" s="3458">
        <v>3032.7</v>
      </c>
      <c r="V13" s="3464">
        <v>20677</v>
      </c>
      <c r="W13" s="3458">
        <v>0</v>
      </c>
    </row>
    <row r="14" spans="1:24" s="3468" customFormat="1">
      <c r="A14" s="3465" t="s">
        <v>3592</v>
      </c>
      <c r="B14" s="3458" t="s">
        <v>3378</v>
      </c>
      <c r="C14" s="3465" t="s">
        <v>3583</v>
      </c>
      <c r="D14" s="3458" t="s">
        <v>3593</v>
      </c>
      <c r="E14" s="3465" t="s">
        <v>3594</v>
      </c>
      <c r="F14" s="3458" t="s">
        <v>3595</v>
      </c>
      <c r="G14" s="3465">
        <v>15459.22</v>
      </c>
      <c r="H14" s="3465">
        <v>52599.12</v>
      </c>
      <c r="I14" s="3465" t="s">
        <v>3512</v>
      </c>
      <c r="J14" s="3465" t="s">
        <v>3869</v>
      </c>
      <c r="K14" s="3465" t="s">
        <v>3597</v>
      </c>
      <c r="L14" s="3465" t="s">
        <v>3598</v>
      </c>
      <c r="M14" s="3458" t="s">
        <v>3515</v>
      </c>
      <c r="N14" s="3458" t="s">
        <v>3516</v>
      </c>
      <c r="O14" s="3458" t="s">
        <v>3517</v>
      </c>
      <c r="P14" s="3466">
        <v>45114.000497685185</v>
      </c>
      <c r="Q14" s="3458" t="s">
        <v>3518</v>
      </c>
      <c r="R14" s="3465" t="s">
        <v>3587</v>
      </c>
      <c r="S14" s="3465">
        <v>53100</v>
      </c>
      <c r="T14" s="3465">
        <v>34348.43</v>
      </c>
      <c r="U14" s="3465">
        <v>2289.9</v>
      </c>
      <c r="V14" s="3467">
        <v>10095</v>
      </c>
      <c r="W14" s="3465">
        <v>0</v>
      </c>
      <c r="X14" s="3468" t="s">
        <v>3866</v>
      </c>
    </row>
    <row r="15" spans="1:24">
      <c r="A15" s="3458" t="s">
        <v>3599</v>
      </c>
      <c r="B15" s="3458" t="s">
        <v>3378</v>
      </c>
      <c r="C15" s="3458" t="s">
        <v>3550</v>
      </c>
      <c r="D15" s="3458" t="s">
        <v>3600</v>
      </c>
      <c r="E15" s="3458" t="s">
        <v>3601</v>
      </c>
      <c r="F15" s="3458" t="s">
        <v>3602</v>
      </c>
      <c r="G15" s="3458">
        <v>10610.35</v>
      </c>
      <c r="H15" s="3458">
        <v>47747</v>
      </c>
      <c r="I15" s="3458" t="s">
        <v>3512</v>
      </c>
      <c r="J15" s="3458" t="s">
        <v>3554</v>
      </c>
      <c r="K15" s="3458" t="s">
        <v>3580</v>
      </c>
      <c r="L15" s="3458">
        <v>4.5</v>
      </c>
      <c r="M15" s="3458" t="s">
        <v>3515</v>
      </c>
      <c r="N15" s="3458" t="s">
        <v>3516</v>
      </c>
      <c r="O15" s="3458" t="s">
        <v>3517</v>
      </c>
      <c r="P15" s="3460">
        <v>45114.000497685185</v>
      </c>
      <c r="Q15" s="3458" t="s">
        <v>3518</v>
      </c>
      <c r="R15" s="3458" t="s">
        <v>3603</v>
      </c>
      <c r="S15" s="3458">
        <v>134000</v>
      </c>
      <c r="T15" s="3458">
        <v>126291.78</v>
      </c>
      <c r="U15" s="3458">
        <v>8419.4500000000007</v>
      </c>
      <c r="V15" s="3464">
        <v>28065</v>
      </c>
      <c r="W15" s="3458">
        <v>0</v>
      </c>
      <c r="X15" s="3459" t="s">
        <v>3846</v>
      </c>
    </row>
    <row r="16" spans="1:24">
      <c r="A16" s="3458" t="s">
        <v>3604</v>
      </c>
      <c r="B16" s="3458" t="s">
        <v>3378</v>
      </c>
      <c r="C16" s="3458" t="s">
        <v>3571</v>
      </c>
      <c r="D16" s="3458" t="s">
        <v>3572</v>
      </c>
      <c r="E16" s="3458" t="s">
        <v>3605</v>
      </c>
      <c r="F16" s="3458" t="s">
        <v>3574</v>
      </c>
      <c r="G16" s="3458">
        <v>67829.210000000006</v>
      </c>
      <c r="H16" s="3458">
        <v>298100</v>
      </c>
      <c r="I16" s="3458" t="s">
        <v>3512</v>
      </c>
      <c r="J16" s="3458" t="s">
        <v>3606</v>
      </c>
      <c r="K16" s="3458" t="s">
        <v>3580</v>
      </c>
      <c r="L16" s="3458">
        <v>4.4000000000000004</v>
      </c>
      <c r="M16" s="3458" t="s">
        <v>3515</v>
      </c>
      <c r="N16" s="3458" t="s">
        <v>3516</v>
      </c>
      <c r="O16" s="3458" t="s">
        <v>3517</v>
      </c>
      <c r="P16" s="3460">
        <v>45090.000497685185</v>
      </c>
      <c r="Q16" s="3458" t="s">
        <v>3518</v>
      </c>
      <c r="R16" s="3458" t="s">
        <v>3607</v>
      </c>
      <c r="S16" s="3458">
        <v>680000</v>
      </c>
      <c r="T16" s="3458">
        <v>100251.8</v>
      </c>
      <c r="U16" s="3458">
        <v>6683.45</v>
      </c>
      <c r="V16" s="3464">
        <v>22811</v>
      </c>
      <c r="W16" s="3458">
        <v>0</v>
      </c>
    </row>
    <row r="17" spans="1:24">
      <c r="A17" s="3459" t="s">
        <v>3608</v>
      </c>
      <c r="B17" s="3459" t="s">
        <v>3378</v>
      </c>
      <c r="C17" s="3459" t="s">
        <v>3609</v>
      </c>
      <c r="D17" s="3459" t="s">
        <v>3610</v>
      </c>
      <c r="E17" s="3459" t="s">
        <v>3611</v>
      </c>
      <c r="F17" s="3459" t="s">
        <v>3612</v>
      </c>
      <c r="G17" s="3459">
        <v>101190.07</v>
      </c>
      <c r="H17" s="3459">
        <v>198291</v>
      </c>
      <c r="I17" s="3459" t="s">
        <v>3512</v>
      </c>
      <c r="J17" s="3459" t="s">
        <v>3546</v>
      </c>
      <c r="K17" s="3459" t="s">
        <v>3580</v>
      </c>
      <c r="L17" s="3459" t="s">
        <v>3613</v>
      </c>
      <c r="M17" s="3459" t="s">
        <v>3515</v>
      </c>
      <c r="N17" s="3459" t="s">
        <v>3516</v>
      </c>
      <c r="O17" s="3459" t="s">
        <v>3517</v>
      </c>
      <c r="P17" s="3460">
        <v>45089.000497685185</v>
      </c>
      <c r="Q17" s="3459" t="s">
        <v>3518</v>
      </c>
      <c r="R17" s="3459" t="s">
        <v>3614</v>
      </c>
      <c r="S17" s="3459">
        <v>100000</v>
      </c>
      <c r="T17" s="3459">
        <v>9882.39</v>
      </c>
      <c r="U17" s="3459">
        <v>658.83</v>
      </c>
      <c r="V17" s="3464">
        <v>5043</v>
      </c>
      <c r="W17" s="3459">
        <v>0</v>
      </c>
    </row>
    <row r="18" spans="1:24" s="3468" customFormat="1">
      <c r="A18" s="3468" t="s">
        <v>3615</v>
      </c>
      <c r="B18" s="3459" t="s">
        <v>3378</v>
      </c>
      <c r="C18" s="3468" t="s">
        <v>3583</v>
      </c>
      <c r="D18" s="3459" t="s">
        <v>3616</v>
      </c>
      <c r="E18" s="3468" t="s">
        <v>3851</v>
      </c>
      <c r="F18" s="3459" t="s">
        <v>3617</v>
      </c>
      <c r="G18" s="3468">
        <v>5500.65</v>
      </c>
      <c r="H18" s="3468">
        <v>15401.81</v>
      </c>
      <c r="I18" s="3468" t="s">
        <v>3512</v>
      </c>
      <c r="J18" s="3468" t="s">
        <v>3868</v>
      </c>
      <c r="K18" s="3468" t="s">
        <v>3618</v>
      </c>
      <c r="L18" s="3468" t="s">
        <v>3619</v>
      </c>
      <c r="M18" s="3459" t="s">
        <v>3515</v>
      </c>
      <c r="N18" s="3459" t="s">
        <v>3516</v>
      </c>
      <c r="O18" s="3459" t="s">
        <v>3517</v>
      </c>
      <c r="P18" s="3466">
        <v>45030.000497685185</v>
      </c>
      <c r="Q18" s="3459" t="s">
        <v>3518</v>
      </c>
      <c r="R18" s="3468" t="s">
        <v>3620</v>
      </c>
      <c r="S18" s="3468">
        <v>17000</v>
      </c>
      <c r="T18" s="3468">
        <v>30905.43</v>
      </c>
      <c r="U18" s="3468">
        <v>2060.36</v>
      </c>
      <c r="V18" s="3467">
        <v>11038</v>
      </c>
      <c r="W18" s="3468">
        <v>0</v>
      </c>
      <c r="X18" s="3468" t="s">
        <v>3852</v>
      </c>
    </row>
    <row r="19" spans="1:24">
      <c r="A19" s="3459" t="s">
        <v>3621</v>
      </c>
      <c r="B19" s="3459" t="s">
        <v>3378</v>
      </c>
      <c r="C19" s="3459" t="s">
        <v>3622</v>
      </c>
      <c r="D19" s="3459" t="s">
        <v>3623</v>
      </c>
      <c r="E19" s="3459" t="s">
        <v>3624</v>
      </c>
      <c r="F19" s="3459" t="s">
        <v>3625</v>
      </c>
      <c r="G19" s="3459">
        <v>82500</v>
      </c>
      <c r="H19" s="3459">
        <v>165000</v>
      </c>
      <c r="I19" s="3459" t="s">
        <v>3512</v>
      </c>
      <c r="J19" s="3459" t="s">
        <v>3626</v>
      </c>
      <c r="K19" s="3459">
        <v>40</v>
      </c>
      <c r="L19" s="3459">
        <v>2</v>
      </c>
      <c r="M19" s="3459" t="s">
        <v>3515</v>
      </c>
      <c r="N19" s="3459" t="s">
        <v>3516</v>
      </c>
      <c r="O19" s="3459" t="s">
        <v>3517</v>
      </c>
      <c r="P19" s="3460">
        <v>45012.000497685185</v>
      </c>
      <c r="Q19" s="3459" t="s">
        <v>3518</v>
      </c>
      <c r="R19" s="3459" t="s">
        <v>3627</v>
      </c>
      <c r="S19" s="3459">
        <v>260700</v>
      </c>
      <c r="T19" s="3459">
        <v>31600</v>
      </c>
      <c r="U19" s="3459">
        <v>2106.67</v>
      </c>
      <c r="V19" s="3464">
        <v>15800</v>
      </c>
      <c r="W19" s="3459">
        <v>0</v>
      </c>
    </row>
    <row r="20" spans="1:24">
      <c r="A20" s="3459" t="s">
        <v>3628</v>
      </c>
      <c r="B20" s="3459" t="s">
        <v>3378</v>
      </c>
      <c r="C20" s="3459" t="s">
        <v>3550</v>
      </c>
      <c r="D20" s="3459" t="s">
        <v>3629</v>
      </c>
      <c r="E20" s="3459" t="s">
        <v>3630</v>
      </c>
      <c r="F20" s="3459" t="s">
        <v>3631</v>
      </c>
      <c r="G20" s="3459">
        <v>62796.800000000003</v>
      </c>
      <c r="H20" s="3459">
        <v>275500</v>
      </c>
      <c r="I20" s="3459" t="s">
        <v>3512</v>
      </c>
      <c r="J20" s="3459" t="s">
        <v>3554</v>
      </c>
      <c r="K20" s="3459" t="s">
        <v>3580</v>
      </c>
      <c r="L20" s="3459">
        <v>4.3899999999999997</v>
      </c>
      <c r="M20" s="3459" t="s">
        <v>3515</v>
      </c>
      <c r="N20" s="3459" t="s">
        <v>3516</v>
      </c>
      <c r="O20" s="3459" t="s">
        <v>3517</v>
      </c>
      <c r="P20" s="3460">
        <v>44980.000497685185</v>
      </c>
      <c r="Q20" s="3459" t="s">
        <v>3518</v>
      </c>
      <c r="R20" s="3459" t="s">
        <v>3632</v>
      </c>
      <c r="S20" s="3459">
        <v>635800</v>
      </c>
      <c r="T20" s="3459">
        <v>101247.19</v>
      </c>
      <c r="U20" s="3459">
        <v>6749.81</v>
      </c>
      <c r="V20" s="3464">
        <v>23078</v>
      </c>
      <c r="W20" s="3459">
        <v>0</v>
      </c>
      <c r="X20" s="3459" t="s">
        <v>3845</v>
      </c>
    </row>
    <row r="21" spans="1:24">
      <c r="A21" s="3459" t="s">
        <v>3633</v>
      </c>
      <c r="B21" s="3459" t="s">
        <v>3378</v>
      </c>
      <c r="C21" s="3459" t="s">
        <v>3622</v>
      </c>
      <c r="D21" s="3459" t="s">
        <v>3634</v>
      </c>
      <c r="E21" s="3459" t="s">
        <v>3635</v>
      </c>
      <c r="F21" s="3459" t="s">
        <v>3636</v>
      </c>
      <c r="G21" s="3459">
        <v>4800</v>
      </c>
      <c r="H21" s="3459">
        <v>1920</v>
      </c>
      <c r="I21" s="3459" t="s">
        <v>3512</v>
      </c>
      <c r="J21" s="3459" t="s">
        <v>3637</v>
      </c>
      <c r="K21" s="3459" t="s">
        <v>3638</v>
      </c>
      <c r="L21" s="3459" t="s">
        <v>3639</v>
      </c>
      <c r="M21" s="3459" t="s">
        <v>3515</v>
      </c>
      <c r="N21" s="3459" t="s">
        <v>3516</v>
      </c>
      <c r="O21" s="3459" t="s">
        <v>3517</v>
      </c>
      <c r="P21" s="3460">
        <v>44945.000497685185</v>
      </c>
      <c r="Q21" s="3459" t="s">
        <v>3518</v>
      </c>
      <c r="R21" s="3459" t="s">
        <v>3640</v>
      </c>
      <c r="S21" s="3459">
        <v>5800</v>
      </c>
      <c r="T21" s="3459">
        <v>12083.33</v>
      </c>
      <c r="U21" s="3459">
        <v>805.56</v>
      </c>
      <c r="V21" s="3464">
        <v>30208</v>
      </c>
      <c r="W21" s="3459">
        <v>0</v>
      </c>
    </row>
    <row r="22" spans="1:24">
      <c r="A22" s="3459" t="s">
        <v>3641</v>
      </c>
      <c r="B22" s="3459" t="s">
        <v>3378</v>
      </c>
      <c r="C22" s="3459" t="s">
        <v>3642</v>
      </c>
      <c r="D22" s="3459" t="s">
        <v>3643</v>
      </c>
      <c r="E22" s="3459" t="s">
        <v>3644</v>
      </c>
      <c r="F22" s="3459" t="s">
        <v>3645</v>
      </c>
      <c r="G22" s="3459">
        <v>46654.62</v>
      </c>
      <c r="H22" s="3459">
        <v>88643.78</v>
      </c>
      <c r="I22" s="3459" t="s">
        <v>3512</v>
      </c>
      <c r="J22" s="3459" t="s">
        <v>3646</v>
      </c>
      <c r="K22" s="3459" t="s">
        <v>3580</v>
      </c>
      <c r="L22" s="3459">
        <v>1.9</v>
      </c>
      <c r="M22" s="3459" t="s">
        <v>3515</v>
      </c>
      <c r="N22" s="3459" t="s">
        <v>3516</v>
      </c>
      <c r="O22" s="3459" t="s">
        <v>3517</v>
      </c>
      <c r="P22" s="3460">
        <v>44936.000497685185</v>
      </c>
      <c r="Q22" s="3459" t="s">
        <v>3518</v>
      </c>
      <c r="R22" s="3459" t="s">
        <v>3647</v>
      </c>
      <c r="S22" s="3459">
        <v>28000</v>
      </c>
      <c r="T22" s="3459">
        <v>6001.54</v>
      </c>
      <c r="U22" s="3459">
        <v>400.1</v>
      </c>
      <c r="V22" s="3464">
        <v>3159</v>
      </c>
      <c r="W22" s="3459">
        <v>0</v>
      </c>
    </row>
    <row r="23" spans="1:24">
      <c r="A23" s="3459" t="s">
        <v>3648</v>
      </c>
      <c r="B23" s="3459" t="s">
        <v>3378</v>
      </c>
      <c r="C23" s="3459" t="s">
        <v>3564</v>
      </c>
      <c r="D23" s="3459" t="s">
        <v>3649</v>
      </c>
      <c r="E23" s="3459" t="s">
        <v>3650</v>
      </c>
      <c r="F23" s="3459" t="s">
        <v>3567</v>
      </c>
      <c r="G23" s="3459">
        <v>64012.4</v>
      </c>
      <c r="H23" s="3459">
        <v>192037.19</v>
      </c>
      <c r="I23" s="3459" t="s">
        <v>3512</v>
      </c>
      <c r="J23" s="3459" t="s">
        <v>3568</v>
      </c>
      <c r="K23" s="3459" t="s">
        <v>3651</v>
      </c>
      <c r="L23" s="3459">
        <v>3</v>
      </c>
      <c r="M23" s="3459" t="s">
        <v>3515</v>
      </c>
      <c r="N23" s="3459" t="s">
        <v>3516</v>
      </c>
      <c r="O23" s="3459" t="s">
        <v>3517</v>
      </c>
      <c r="P23" s="3460">
        <v>44931.000497685185</v>
      </c>
      <c r="Q23" s="3459" t="s">
        <v>3518</v>
      </c>
      <c r="R23" s="3459" t="s">
        <v>3652</v>
      </c>
      <c r="S23" s="3459">
        <v>177000</v>
      </c>
      <c r="T23" s="3459">
        <v>27650.89</v>
      </c>
      <c r="U23" s="3459">
        <v>1843.39</v>
      </c>
      <c r="V23" s="3464">
        <v>9217</v>
      </c>
      <c r="W23" s="3459">
        <v>0</v>
      </c>
    </row>
    <row r="24" spans="1:24">
      <c r="A24" s="3459" t="s">
        <v>3653</v>
      </c>
      <c r="B24" s="3459" t="s">
        <v>3378</v>
      </c>
      <c r="C24" s="3459" t="s">
        <v>3521</v>
      </c>
      <c r="D24" s="3459" t="s">
        <v>3534</v>
      </c>
      <c r="E24" s="3459" t="s">
        <v>3654</v>
      </c>
      <c r="F24" s="3459" t="s">
        <v>3655</v>
      </c>
      <c r="G24" s="3459">
        <v>32733.22</v>
      </c>
      <c r="H24" s="3459">
        <v>72013.08</v>
      </c>
      <c r="I24" s="3459" t="s">
        <v>3512</v>
      </c>
      <c r="J24" s="3459" t="s">
        <v>3546</v>
      </c>
      <c r="K24" s="3459" t="s">
        <v>3580</v>
      </c>
      <c r="L24" s="3459">
        <v>2.2000000000000002</v>
      </c>
      <c r="M24" s="3459" t="s">
        <v>3515</v>
      </c>
      <c r="N24" s="3459" t="s">
        <v>3516</v>
      </c>
      <c r="O24" s="3459" t="s">
        <v>3517</v>
      </c>
      <c r="P24" s="3460">
        <v>44865.000497685185</v>
      </c>
      <c r="Q24" s="3459" t="s">
        <v>3518</v>
      </c>
      <c r="R24" s="3459" t="s">
        <v>3656</v>
      </c>
      <c r="S24" s="3459">
        <v>149000</v>
      </c>
      <c r="T24" s="3459">
        <v>45519.5</v>
      </c>
      <c r="U24" s="3459">
        <v>3034.63</v>
      </c>
      <c r="V24" s="3464">
        <v>20691</v>
      </c>
      <c r="W24" s="3459">
        <v>0</v>
      </c>
    </row>
    <row r="25" spans="1:24">
      <c r="A25" s="3459" t="s">
        <v>3657</v>
      </c>
      <c r="B25" s="3459" t="s">
        <v>3378</v>
      </c>
      <c r="C25" s="3459" t="s">
        <v>3521</v>
      </c>
      <c r="D25" s="3459" t="s">
        <v>3534</v>
      </c>
      <c r="E25" s="3459" t="s">
        <v>3658</v>
      </c>
      <c r="F25" s="3459" t="s">
        <v>3655</v>
      </c>
      <c r="G25" s="3459">
        <v>29506.55</v>
      </c>
      <c r="H25" s="3459">
        <v>64914.41</v>
      </c>
      <c r="I25" s="3459" t="s">
        <v>3512</v>
      </c>
      <c r="J25" s="3459" t="s">
        <v>3546</v>
      </c>
      <c r="K25" s="3459" t="s">
        <v>3580</v>
      </c>
      <c r="L25" s="3459">
        <v>2.2000000000000002</v>
      </c>
      <c r="M25" s="3459" t="s">
        <v>3515</v>
      </c>
      <c r="N25" s="3459" t="s">
        <v>3516</v>
      </c>
      <c r="O25" s="3459" t="s">
        <v>3517</v>
      </c>
      <c r="P25" s="3460">
        <v>44865.000497685185</v>
      </c>
      <c r="Q25" s="3459" t="s">
        <v>3518</v>
      </c>
      <c r="R25" s="3459" t="s">
        <v>3659</v>
      </c>
      <c r="S25" s="3459">
        <v>135000</v>
      </c>
      <c r="T25" s="3459">
        <v>45752.55</v>
      </c>
      <c r="U25" s="3459">
        <v>3050.17</v>
      </c>
      <c r="V25" s="3464">
        <v>20797</v>
      </c>
      <c r="W25" s="3459">
        <v>0</v>
      </c>
    </row>
    <row r="26" spans="1:24">
      <c r="A26" s="3459" t="s">
        <v>3660</v>
      </c>
      <c r="B26" s="3459" t="s">
        <v>3378</v>
      </c>
      <c r="C26" s="3459" t="s">
        <v>3571</v>
      </c>
      <c r="D26" s="3459" t="s">
        <v>3572</v>
      </c>
      <c r="E26" s="3459" t="s">
        <v>3661</v>
      </c>
      <c r="F26" s="3459" t="s">
        <v>3574</v>
      </c>
      <c r="G26" s="3459">
        <v>12629.88</v>
      </c>
      <c r="H26" s="3459">
        <v>80000</v>
      </c>
      <c r="I26" s="3459" t="s">
        <v>3512</v>
      </c>
      <c r="J26" s="3459" t="s">
        <v>3554</v>
      </c>
      <c r="K26" s="3459" t="s">
        <v>3580</v>
      </c>
      <c r="L26" s="3459" t="s">
        <v>3662</v>
      </c>
      <c r="M26" s="3459" t="s">
        <v>3515</v>
      </c>
      <c r="N26" s="3459" t="s">
        <v>3516</v>
      </c>
      <c r="O26" s="3459" t="s">
        <v>3517</v>
      </c>
      <c r="P26" s="3460">
        <v>44798.000497685185</v>
      </c>
      <c r="Q26" s="3459" t="s">
        <v>3518</v>
      </c>
      <c r="R26" s="3459" t="s">
        <v>3663</v>
      </c>
      <c r="S26" s="3459">
        <v>166000</v>
      </c>
      <c r="T26" s="3459">
        <v>131434.34</v>
      </c>
      <c r="U26" s="3459">
        <v>8762.2900000000009</v>
      </c>
      <c r="V26" s="3464">
        <v>20750</v>
      </c>
      <c r="W26" s="3459">
        <v>0</v>
      </c>
    </row>
    <row r="27" spans="1:24">
      <c r="A27" s="3459" t="s">
        <v>3664</v>
      </c>
      <c r="B27" s="3459" t="s">
        <v>3378</v>
      </c>
      <c r="C27" s="3459" t="s">
        <v>3583</v>
      </c>
      <c r="D27" s="3459" t="s">
        <v>3665</v>
      </c>
      <c r="E27" s="3459" t="s">
        <v>3666</v>
      </c>
      <c r="F27" s="3459" t="s">
        <v>3667</v>
      </c>
      <c r="G27" s="3459">
        <v>10000</v>
      </c>
      <c r="H27" s="3459">
        <v>22000</v>
      </c>
      <c r="I27" s="3459" t="s">
        <v>3512</v>
      </c>
      <c r="J27" s="3459" t="s">
        <v>3546</v>
      </c>
      <c r="K27" s="3459" t="s">
        <v>3668</v>
      </c>
      <c r="L27" s="3459" t="s">
        <v>3669</v>
      </c>
      <c r="M27" s="3459" t="s">
        <v>3515</v>
      </c>
      <c r="N27" s="3459" t="s">
        <v>3516</v>
      </c>
      <c r="O27" s="3459" t="s">
        <v>3517</v>
      </c>
      <c r="P27" s="3460">
        <v>44795.000497685185</v>
      </c>
      <c r="Q27" s="3459" t="s">
        <v>3518</v>
      </c>
      <c r="R27" s="3459" t="s">
        <v>3670</v>
      </c>
      <c r="S27" s="3459">
        <v>36400</v>
      </c>
      <c r="T27" s="3459">
        <v>36400</v>
      </c>
      <c r="U27" s="3459">
        <v>2426.67</v>
      </c>
      <c r="V27" s="3464">
        <v>16545</v>
      </c>
      <c r="W27" s="3459">
        <v>0</v>
      </c>
      <c r="X27" s="3459" t="s">
        <v>3847</v>
      </c>
    </row>
    <row r="28" spans="1:24">
      <c r="A28" s="3459" t="s">
        <v>3671</v>
      </c>
      <c r="B28" s="3459" t="s">
        <v>3378</v>
      </c>
      <c r="C28" s="3459" t="s">
        <v>3583</v>
      </c>
      <c r="D28" s="3459" t="s">
        <v>3665</v>
      </c>
      <c r="E28" s="3459" t="s">
        <v>3672</v>
      </c>
      <c r="F28" s="3459" t="s">
        <v>3667</v>
      </c>
      <c r="G28" s="3459">
        <v>5500</v>
      </c>
      <c r="H28" s="3459">
        <v>12100</v>
      </c>
      <c r="I28" s="3459" t="s">
        <v>3512</v>
      </c>
      <c r="J28" s="3459" t="s">
        <v>3546</v>
      </c>
      <c r="K28" s="3459" t="s">
        <v>3668</v>
      </c>
      <c r="L28" s="3459" t="s">
        <v>3669</v>
      </c>
      <c r="M28" s="3459" t="s">
        <v>3515</v>
      </c>
      <c r="N28" s="3459" t="s">
        <v>3516</v>
      </c>
      <c r="O28" s="3459" t="s">
        <v>3517</v>
      </c>
      <c r="P28" s="3460">
        <v>44796.000497685185</v>
      </c>
      <c r="Q28" s="3459" t="s">
        <v>3518</v>
      </c>
      <c r="R28" s="3459" t="s">
        <v>3673</v>
      </c>
      <c r="S28" s="3459">
        <v>20000</v>
      </c>
      <c r="T28" s="3459">
        <v>36363.629999999997</v>
      </c>
      <c r="U28" s="3459">
        <v>2424.2399999999998</v>
      </c>
      <c r="V28" s="3464">
        <v>16529</v>
      </c>
      <c r="W28" s="3459">
        <v>0</v>
      </c>
      <c r="X28" s="3459" t="s">
        <v>3847</v>
      </c>
    </row>
    <row r="29" spans="1:24">
      <c r="A29" s="3459" t="s">
        <v>3674</v>
      </c>
      <c r="B29" s="3459" t="s">
        <v>3378</v>
      </c>
      <c r="C29" s="3459" t="s">
        <v>3583</v>
      </c>
      <c r="D29" s="3459" t="s">
        <v>3675</v>
      </c>
      <c r="E29" s="3459" t="s">
        <v>3676</v>
      </c>
      <c r="F29" s="3459" t="s">
        <v>3677</v>
      </c>
      <c r="G29" s="3459">
        <v>16122.82</v>
      </c>
      <c r="H29" s="3459">
        <v>45143.91</v>
      </c>
      <c r="I29" s="3459" t="s">
        <v>3512</v>
      </c>
      <c r="J29" s="3459" t="s">
        <v>3546</v>
      </c>
      <c r="K29" s="3459" t="s">
        <v>3678</v>
      </c>
      <c r="L29" s="3459" t="s">
        <v>3619</v>
      </c>
      <c r="M29" s="3459" t="s">
        <v>3515</v>
      </c>
      <c r="N29" s="3459" t="s">
        <v>3516</v>
      </c>
      <c r="O29" s="3459" t="s">
        <v>3517</v>
      </c>
      <c r="P29" s="3460">
        <v>44761.000497685185</v>
      </c>
      <c r="Q29" s="3459" t="s">
        <v>3518</v>
      </c>
      <c r="R29" s="3459" t="s">
        <v>3679</v>
      </c>
      <c r="S29" s="3459">
        <v>76000</v>
      </c>
      <c r="T29" s="3459">
        <v>47138.15</v>
      </c>
      <c r="U29" s="3459">
        <v>3142.54</v>
      </c>
      <c r="V29" s="3464">
        <v>16835</v>
      </c>
      <c r="W29" s="3459">
        <v>0</v>
      </c>
      <c r="X29" s="3459" t="s">
        <v>3848</v>
      </c>
    </row>
    <row r="30" spans="1:24">
      <c r="A30" s="3459" t="s">
        <v>3680</v>
      </c>
      <c r="B30" s="3459" t="s">
        <v>3378</v>
      </c>
      <c r="C30" s="3459" t="s">
        <v>3622</v>
      </c>
      <c r="D30" s="3459" t="s">
        <v>3681</v>
      </c>
      <c r="E30" s="3459" t="s">
        <v>3682</v>
      </c>
      <c r="F30" s="3459" t="s">
        <v>3683</v>
      </c>
      <c r="G30" s="3459">
        <v>17308.8</v>
      </c>
      <c r="H30" s="3459">
        <v>86544</v>
      </c>
      <c r="I30" s="3459" t="s">
        <v>3512</v>
      </c>
      <c r="J30" s="3459" t="s">
        <v>3546</v>
      </c>
      <c r="K30" s="3459" t="s">
        <v>3684</v>
      </c>
      <c r="L30" s="3459" t="s">
        <v>3685</v>
      </c>
      <c r="M30" s="3459" t="s">
        <v>3515</v>
      </c>
      <c r="N30" s="3459" t="s">
        <v>3516</v>
      </c>
      <c r="O30" s="3459" t="s">
        <v>3517</v>
      </c>
      <c r="P30" s="3460">
        <v>44735.000497685185</v>
      </c>
      <c r="Q30" s="3459" t="s">
        <v>3518</v>
      </c>
      <c r="R30" s="3459" t="s">
        <v>3686</v>
      </c>
      <c r="S30" s="3459">
        <v>91400</v>
      </c>
      <c r="T30" s="3459">
        <v>52805.5</v>
      </c>
      <c r="U30" s="3459">
        <v>3520.37</v>
      </c>
      <c r="V30" s="3464">
        <v>10561</v>
      </c>
      <c r="W30" s="3459">
        <v>0</v>
      </c>
    </row>
    <row r="31" spans="1:24">
      <c r="A31" s="3459" t="s">
        <v>3687</v>
      </c>
      <c r="B31" s="3459" t="s">
        <v>3378</v>
      </c>
      <c r="C31" s="3459" t="s">
        <v>3622</v>
      </c>
      <c r="D31" s="3459" t="s">
        <v>3688</v>
      </c>
      <c r="E31" s="3459" t="s">
        <v>3689</v>
      </c>
      <c r="F31" s="3459" t="s">
        <v>3636</v>
      </c>
      <c r="G31" s="3459">
        <v>59169.74</v>
      </c>
      <c r="H31" s="3459">
        <v>130173.43</v>
      </c>
      <c r="I31" s="3459" t="s">
        <v>3512</v>
      </c>
      <c r="J31" s="3459" t="s">
        <v>3546</v>
      </c>
      <c r="K31" s="3459" t="s">
        <v>3580</v>
      </c>
      <c r="L31" s="3459" t="s">
        <v>3669</v>
      </c>
      <c r="M31" s="3459" t="s">
        <v>3515</v>
      </c>
      <c r="N31" s="3459" t="s">
        <v>3516</v>
      </c>
      <c r="O31" s="3459" t="s">
        <v>3517</v>
      </c>
      <c r="P31" s="3460">
        <v>44680.000497685185</v>
      </c>
      <c r="Q31" s="3459" t="s">
        <v>3518</v>
      </c>
      <c r="R31" s="3459" t="s">
        <v>3690</v>
      </c>
      <c r="S31" s="3459">
        <v>131600</v>
      </c>
      <c r="T31" s="3459">
        <v>22241.09</v>
      </c>
      <c r="U31" s="3459">
        <v>1482.74</v>
      </c>
      <c r="V31" s="3464">
        <v>10110</v>
      </c>
      <c r="W31" s="3459">
        <v>0</v>
      </c>
    </row>
    <row r="32" spans="1:24">
      <c r="A32" s="3459" t="s">
        <v>3691</v>
      </c>
      <c r="B32" s="3459" t="s">
        <v>3378</v>
      </c>
      <c r="C32" s="3459" t="s">
        <v>3622</v>
      </c>
      <c r="D32" s="3459" t="s">
        <v>3634</v>
      </c>
      <c r="E32" s="3459" t="s">
        <v>3692</v>
      </c>
      <c r="F32" s="3459" t="s">
        <v>3693</v>
      </c>
      <c r="G32" s="3459">
        <v>12066.9</v>
      </c>
      <c r="H32" s="3459">
        <v>18100.349999999999</v>
      </c>
      <c r="I32" s="3459" t="s">
        <v>3512</v>
      </c>
      <c r="J32" s="3459" t="s">
        <v>3554</v>
      </c>
      <c r="K32" s="3459" t="s">
        <v>3694</v>
      </c>
      <c r="L32" s="3459">
        <v>1.5</v>
      </c>
      <c r="M32" s="3459" t="s">
        <v>3515</v>
      </c>
      <c r="N32" s="3459" t="s">
        <v>3516</v>
      </c>
      <c r="O32" s="3459" t="s">
        <v>3517</v>
      </c>
      <c r="P32" s="3460">
        <v>44621.000497685185</v>
      </c>
      <c r="Q32" s="3459" t="s">
        <v>3518</v>
      </c>
      <c r="R32" s="3459" t="s">
        <v>3690</v>
      </c>
      <c r="S32" s="3459">
        <v>9400</v>
      </c>
      <c r="T32" s="3459">
        <v>7789.9</v>
      </c>
      <c r="U32" s="3459">
        <v>519.33000000000004</v>
      </c>
      <c r="V32" s="3464">
        <v>5193</v>
      </c>
      <c r="W32" s="3459">
        <v>0</v>
      </c>
    </row>
    <row r="33" spans="1:24">
      <c r="A33" s="3459" t="s">
        <v>3695</v>
      </c>
      <c r="B33" s="3459" t="s">
        <v>3378</v>
      </c>
      <c r="C33" s="3459" t="s">
        <v>3622</v>
      </c>
      <c r="D33" s="3459" t="s">
        <v>3696</v>
      </c>
      <c r="E33" s="3459" t="s">
        <v>3697</v>
      </c>
      <c r="F33" s="3459" t="s">
        <v>3698</v>
      </c>
      <c r="G33" s="3459">
        <v>15178.6</v>
      </c>
      <c r="H33" s="3459">
        <v>45535.8</v>
      </c>
      <c r="I33" s="3459" t="s">
        <v>3512</v>
      </c>
      <c r="J33" s="3459" t="s">
        <v>3546</v>
      </c>
      <c r="K33" s="3459" t="s">
        <v>3668</v>
      </c>
      <c r="L33" s="3459">
        <v>3</v>
      </c>
      <c r="M33" s="3459" t="s">
        <v>3515</v>
      </c>
      <c r="N33" s="3459" t="s">
        <v>3516</v>
      </c>
      <c r="O33" s="3459" t="s">
        <v>3517</v>
      </c>
      <c r="P33" s="3460">
        <v>44600.000497685185</v>
      </c>
      <c r="Q33" s="3459" t="s">
        <v>3518</v>
      </c>
      <c r="R33" s="3459" t="s">
        <v>3699</v>
      </c>
      <c r="S33" s="3459">
        <v>58400</v>
      </c>
      <c r="T33" s="3459">
        <v>38475.22</v>
      </c>
      <c r="U33" s="3459">
        <v>2565.0100000000002</v>
      </c>
      <c r="V33" s="3464">
        <v>12825</v>
      </c>
      <c r="W33" s="3459">
        <v>0</v>
      </c>
    </row>
    <row r="34" spans="1:24">
      <c r="A34" s="3459" t="s">
        <v>3700</v>
      </c>
      <c r="B34" s="3459" t="s">
        <v>3378</v>
      </c>
      <c r="C34" s="3459" t="s">
        <v>3701</v>
      </c>
      <c r="D34" s="3459" t="s">
        <v>3702</v>
      </c>
      <c r="E34" s="3459" t="s">
        <v>3703</v>
      </c>
      <c r="F34" s="3459" t="s">
        <v>3704</v>
      </c>
      <c r="G34" s="3459">
        <v>19258.580000000002</v>
      </c>
      <c r="H34" s="3459">
        <v>38517.17</v>
      </c>
      <c r="I34" s="3459" t="s">
        <v>3512</v>
      </c>
      <c r="J34" s="3459" t="s">
        <v>3546</v>
      </c>
      <c r="K34" s="3459" t="s">
        <v>3668</v>
      </c>
      <c r="L34" s="3459">
        <v>2</v>
      </c>
      <c r="M34" s="3459" t="s">
        <v>3515</v>
      </c>
      <c r="N34" s="3459" t="s">
        <v>3516</v>
      </c>
      <c r="O34" s="3459" t="s">
        <v>3517</v>
      </c>
      <c r="P34" s="3460">
        <v>44580.000497685185</v>
      </c>
      <c r="Q34" s="3459" t="s">
        <v>3518</v>
      </c>
      <c r="R34" s="3459" t="s">
        <v>3705</v>
      </c>
      <c r="S34" s="3459">
        <v>28400</v>
      </c>
      <c r="T34" s="3459">
        <v>14746.67</v>
      </c>
      <c r="U34" s="3459">
        <v>983.11</v>
      </c>
      <c r="V34" s="3464">
        <v>7373</v>
      </c>
      <c r="W34" s="3459">
        <v>0</v>
      </c>
    </row>
    <row r="35" spans="1:24">
      <c r="A35" s="3459" t="s">
        <v>3706</v>
      </c>
      <c r="B35" s="3459" t="s">
        <v>3378</v>
      </c>
      <c r="C35" s="3459" t="s">
        <v>3701</v>
      </c>
      <c r="D35" s="3459" t="s">
        <v>3707</v>
      </c>
      <c r="E35" s="3459" t="s">
        <v>3708</v>
      </c>
      <c r="F35" s="3459" t="s">
        <v>3704</v>
      </c>
      <c r="G35" s="3459">
        <v>28547.88</v>
      </c>
      <c r="H35" s="3459">
        <v>51828.53</v>
      </c>
      <c r="I35" s="3459" t="s">
        <v>3512</v>
      </c>
      <c r="J35" s="3459" t="s">
        <v>3546</v>
      </c>
      <c r="K35" s="3459" t="s">
        <v>3668</v>
      </c>
      <c r="L35" s="3459">
        <v>1.82</v>
      </c>
      <c r="M35" s="3459" t="s">
        <v>3515</v>
      </c>
      <c r="N35" s="3459" t="s">
        <v>3516</v>
      </c>
      <c r="O35" s="3459" t="s">
        <v>3517</v>
      </c>
      <c r="P35" s="3460">
        <v>44580.000497685185</v>
      </c>
      <c r="Q35" s="3459" t="s">
        <v>3518</v>
      </c>
      <c r="R35" s="3459" t="s">
        <v>3709</v>
      </c>
      <c r="S35" s="3459">
        <v>37700</v>
      </c>
      <c r="T35" s="3459">
        <v>13205.88</v>
      </c>
      <c r="U35" s="3459">
        <v>880.39</v>
      </c>
      <c r="V35" s="3464">
        <v>7274</v>
      </c>
      <c r="W35" s="3459">
        <v>0</v>
      </c>
    </row>
    <row r="36" spans="1:24">
      <c r="A36" s="3459" t="s">
        <v>3710</v>
      </c>
      <c r="B36" s="3459" t="s">
        <v>3378</v>
      </c>
      <c r="C36" s="3459" t="s">
        <v>3583</v>
      </c>
      <c r="D36" s="3459" t="s">
        <v>3711</v>
      </c>
      <c r="E36" s="3459" t="s">
        <v>3712</v>
      </c>
      <c r="F36" s="3459" t="s">
        <v>3713</v>
      </c>
      <c r="G36" s="3459">
        <v>29991.73</v>
      </c>
      <c r="H36" s="3459">
        <v>119966.93</v>
      </c>
      <c r="I36" s="3459" t="s">
        <v>3512</v>
      </c>
      <c r="J36" s="3459" t="s">
        <v>3546</v>
      </c>
      <c r="K36" s="3459" t="s">
        <v>3714</v>
      </c>
      <c r="L36" s="3459">
        <v>4</v>
      </c>
      <c r="M36" s="3459" t="s">
        <v>3515</v>
      </c>
      <c r="N36" s="3459" t="s">
        <v>3516</v>
      </c>
      <c r="O36" s="3459" t="s">
        <v>3517</v>
      </c>
      <c r="P36" s="3460">
        <v>44566.000497685185</v>
      </c>
      <c r="Q36" s="3459" t="s">
        <v>3518</v>
      </c>
      <c r="R36" s="3459" t="s">
        <v>3715</v>
      </c>
      <c r="S36" s="3459">
        <v>165300</v>
      </c>
      <c r="T36" s="3459">
        <v>55115.19</v>
      </c>
      <c r="U36" s="3459">
        <v>3674.35</v>
      </c>
      <c r="V36" s="3464">
        <v>13779</v>
      </c>
      <c r="W36" s="3459">
        <v>0</v>
      </c>
      <c r="X36" s="3459" t="s">
        <v>3849</v>
      </c>
    </row>
    <row r="37" spans="1:24">
      <c r="A37" s="3459" t="s">
        <v>3716</v>
      </c>
      <c r="B37" s="3459" t="s">
        <v>3378</v>
      </c>
      <c r="C37" s="3459" t="s">
        <v>3622</v>
      </c>
      <c r="D37" s="3459" t="s">
        <v>3717</v>
      </c>
      <c r="E37" s="3459" t="s">
        <v>3718</v>
      </c>
      <c r="F37" s="3459" t="s">
        <v>3719</v>
      </c>
      <c r="G37" s="3459">
        <v>15197.52</v>
      </c>
      <c r="H37" s="3459">
        <v>30395.05</v>
      </c>
      <c r="I37" s="3459" t="s">
        <v>3512</v>
      </c>
      <c r="J37" s="3459" t="s">
        <v>3720</v>
      </c>
      <c r="K37" s="3459" t="s">
        <v>3668</v>
      </c>
      <c r="L37" s="3459">
        <v>2</v>
      </c>
      <c r="M37" s="3459" t="s">
        <v>3515</v>
      </c>
      <c r="N37" s="3459" t="s">
        <v>3721</v>
      </c>
      <c r="O37" s="3459" t="s">
        <v>3517</v>
      </c>
      <c r="P37" s="3460">
        <v>44554.000497685185</v>
      </c>
      <c r="Q37" s="3459" t="s">
        <v>3518</v>
      </c>
      <c r="R37" s="3459" t="s">
        <v>3722</v>
      </c>
      <c r="S37" s="3459">
        <v>42600</v>
      </c>
      <c r="T37" s="3459">
        <v>28030.880000000001</v>
      </c>
      <c r="U37" s="3459">
        <v>1868.73</v>
      </c>
      <c r="V37" s="3464">
        <v>14015</v>
      </c>
      <c r="W37" s="3459">
        <v>0</v>
      </c>
    </row>
    <row r="38" spans="1:24">
      <c r="A38" s="3459" t="s">
        <v>3723</v>
      </c>
      <c r="B38" s="3459" t="s">
        <v>3378</v>
      </c>
      <c r="C38" s="3459" t="s">
        <v>3521</v>
      </c>
      <c r="D38" s="3459" t="s">
        <v>3534</v>
      </c>
      <c r="E38" s="3459" t="s">
        <v>3724</v>
      </c>
      <c r="F38" s="3459" t="s">
        <v>3725</v>
      </c>
      <c r="G38" s="3459">
        <v>38252.550000000003</v>
      </c>
      <c r="H38" s="3459">
        <v>84155.61</v>
      </c>
      <c r="I38" s="3459" t="s">
        <v>3512</v>
      </c>
      <c r="J38" s="3459" t="s">
        <v>3546</v>
      </c>
      <c r="K38" s="3459" t="s">
        <v>3714</v>
      </c>
      <c r="L38" s="3459">
        <v>2.2000000000000002</v>
      </c>
      <c r="M38" s="3459" t="s">
        <v>3515</v>
      </c>
      <c r="N38" s="3459" t="s">
        <v>3516</v>
      </c>
      <c r="O38" s="3459" t="s">
        <v>3517</v>
      </c>
      <c r="P38" s="3460">
        <v>44495.000497685185</v>
      </c>
      <c r="Q38" s="3459" t="s">
        <v>3518</v>
      </c>
      <c r="R38" s="3459" t="s">
        <v>3726</v>
      </c>
      <c r="S38" s="3459">
        <v>175000</v>
      </c>
      <c r="T38" s="3459">
        <v>45748.58</v>
      </c>
      <c r="U38" s="3459">
        <v>3049.91</v>
      </c>
      <c r="V38" s="3464">
        <v>20795</v>
      </c>
      <c r="W38" s="3459">
        <v>0</v>
      </c>
    </row>
    <row r="39" spans="1:24">
      <c r="A39" s="3459" t="s">
        <v>3727</v>
      </c>
      <c r="B39" s="3459" t="s">
        <v>3378</v>
      </c>
      <c r="C39" s="3459" t="s">
        <v>3521</v>
      </c>
      <c r="D39" s="3459" t="s">
        <v>3534</v>
      </c>
      <c r="E39" s="3459" t="s">
        <v>3728</v>
      </c>
      <c r="F39" s="3459" t="s">
        <v>3725</v>
      </c>
      <c r="G39" s="3459">
        <v>30025.18</v>
      </c>
      <c r="H39" s="3459">
        <v>66055.39</v>
      </c>
      <c r="I39" s="3459" t="s">
        <v>3512</v>
      </c>
      <c r="J39" s="3459" t="s">
        <v>3546</v>
      </c>
      <c r="K39" s="3459" t="s">
        <v>3714</v>
      </c>
      <c r="L39" s="3459">
        <v>2.2000000000000002</v>
      </c>
      <c r="M39" s="3459" t="s">
        <v>3515</v>
      </c>
      <c r="N39" s="3459" t="s">
        <v>3516</v>
      </c>
      <c r="O39" s="3459" t="s">
        <v>3517</v>
      </c>
      <c r="P39" s="3460">
        <v>44495.000497685185</v>
      </c>
      <c r="Q39" s="3459" t="s">
        <v>3518</v>
      </c>
      <c r="R39" s="3459" t="s">
        <v>3729</v>
      </c>
      <c r="S39" s="3459">
        <v>137000</v>
      </c>
      <c r="T39" s="3459">
        <v>45628.37</v>
      </c>
      <c r="U39" s="3459">
        <v>3041.89</v>
      </c>
      <c r="V39" s="3464">
        <v>20740</v>
      </c>
      <c r="W39" s="3459">
        <v>0</v>
      </c>
    </row>
    <row r="40" spans="1:24">
      <c r="A40" s="3459" t="s">
        <v>3730</v>
      </c>
      <c r="B40" s="3459" t="s">
        <v>3378</v>
      </c>
      <c r="C40" s="3459" t="s">
        <v>3583</v>
      </c>
      <c r="D40" s="3459" t="s">
        <v>3675</v>
      </c>
      <c r="E40" s="3459" t="s">
        <v>3731</v>
      </c>
      <c r="F40" s="3459" t="s">
        <v>3677</v>
      </c>
      <c r="G40" s="3459">
        <v>204418.11</v>
      </c>
      <c r="H40" s="3459">
        <v>302000</v>
      </c>
      <c r="I40" s="3459" t="s">
        <v>3512</v>
      </c>
      <c r="J40" s="3459" t="s">
        <v>3546</v>
      </c>
      <c r="K40" s="3459" t="s">
        <v>3714</v>
      </c>
      <c r="L40" s="3459">
        <v>1.5</v>
      </c>
      <c r="M40" s="3459" t="s">
        <v>3515</v>
      </c>
      <c r="N40" s="3459" t="s">
        <v>3516</v>
      </c>
      <c r="O40" s="3459" t="s">
        <v>3517</v>
      </c>
      <c r="P40" s="3460">
        <v>44495.000497685185</v>
      </c>
      <c r="Q40" s="3459" t="s">
        <v>3518</v>
      </c>
      <c r="R40" s="3459" t="s">
        <v>3732</v>
      </c>
      <c r="S40" s="3459">
        <v>506700</v>
      </c>
      <c r="T40" s="3459">
        <v>24787.43</v>
      </c>
      <c r="U40" s="3459">
        <v>1652.5</v>
      </c>
      <c r="V40" s="3464">
        <v>16778</v>
      </c>
      <c r="W40" s="3459">
        <v>0</v>
      </c>
    </row>
    <row r="41" spans="1:24">
      <c r="A41" s="3459" t="s">
        <v>3733</v>
      </c>
      <c r="B41" s="3459" t="s">
        <v>3378</v>
      </c>
      <c r="C41" s="3459" t="s">
        <v>3564</v>
      </c>
      <c r="D41" s="3459" t="s">
        <v>3734</v>
      </c>
      <c r="E41" s="3459" t="s">
        <v>3735</v>
      </c>
      <c r="F41" s="3459" t="s">
        <v>3736</v>
      </c>
      <c r="G41" s="3459">
        <v>12136.3</v>
      </c>
      <c r="H41" s="3459">
        <v>42477</v>
      </c>
      <c r="I41" s="3459" t="s">
        <v>3512</v>
      </c>
      <c r="J41" s="3459" t="s">
        <v>3554</v>
      </c>
      <c r="K41" s="3459" t="s">
        <v>3714</v>
      </c>
      <c r="L41" s="3459">
        <v>3.5</v>
      </c>
      <c r="M41" s="3459" t="s">
        <v>3515</v>
      </c>
      <c r="N41" s="3459" t="s">
        <v>3516</v>
      </c>
      <c r="O41" s="3459" t="s">
        <v>3517</v>
      </c>
      <c r="P41" s="3460">
        <v>44495.000497685185</v>
      </c>
      <c r="Q41" s="3459" t="s">
        <v>3518</v>
      </c>
      <c r="R41" s="3459" t="s">
        <v>3737</v>
      </c>
      <c r="S41" s="3459">
        <v>71000</v>
      </c>
      <c r="T41" s="3459">
        <v>58502.18</v>
      </c>
      <c r="U41" s="3459">
        <v>3900.15</v>
      </c>
      <c r="V41" s="3464">
        <v>16715</v>
      </c>
      <c r="W41" s="3459">
        <v>0</v>
      </c>
    </row>
    <row r="42" spans="1:24">
      <c r="A42" s="3459" t="s">
        <v>3738</v>
      </c>
      <c r="B42" s="3459" t="s">
        <v>3378</v>
      </c>
      <c r="C42" s="3459" t="s">
        <v>3739</v>
      </c>
      <c r="D42" s="3459" t="s">
        <v>3740</v>
      </c>
      <c r="E42" s="3459" t="s">
        <v>3741</v>
      </c>
      <c r="F42" s="3459" t="s">
        <v>3742</v>
      </c>
      <c r="G42" s="3459">
        <v>5907.54</v>
      </c>
      <c r="H42" s="3459">
        <v>21900</v>
      </c>
      <c r="I42" s="3459" t="s">
        <v>3512</v>
      </c>
      <c r="J42" s="3459" t="s">
        <v>3743</v>
      </c>
      <c r="K42" s="3459" t="s">
        <v>3714</v>
      </c>
      <c r="L42" s="3459">
        <v>3.71</v>
      </c>
      <c r="M42" s="3459" t="s">
        <v>3515</v>
      </c>
      <c r="N42" s="3459" t="s">
        <v>3516</v>
      </c>
      <c r="O42" s="3459" t="s">
        <v>3517</v>
      </c>
      <c r="P42" s="3460">
        <v>44495.000497685185</v>
      </c>
      <c r="Q42" s="3459" t="s">
        <v>3518</v>
      </c>
      <c r="R42" s="3459" t="s">
        <v>3744</v>
      </c>
      <c r="S42" s="3459">
        <v>46000</v>
      </c>
      <c r="T42" s="3459">
        <v>77866.59</v>
      </c>
      <c r="U42" s="3459">
        <v>5191.1099999999997</v>
      </c>
      <c r="V42" s="3464">
        <v>21005</v>
      </c>
      <c r="W42" s="3459">
        <v>0</v>
      </c>
    </row>
    <row r="43" spans="1:24">
      <c r="A43" s="3459" t="s">
        <v>3745</v>
      </c>
      <c r="B43" s="3459" t="s">
        <v>3378</v>
      </c>
      <c r="C43" s="3459" t="s">
        <v>3521</v>
      </c>
      <c r="D43" s="3459" t="s">
        <v>3534</v>
      </c>
      <c r="E43" s="3459" t="s">
        <v>3746</v>
      </c>
      <c r="F43" s="3459" t="s">
        <v>3725</v>
      </c>
      <c r="G43" s="3459">
        <v>25121.77</v>
      </c>
      <c r="H43" s="3459">
        <v>55267.89</v>
      </c>
      <c r="I43" s="3459" t="s">
        <v>3512</v>
      </c>
      <c r="J43" s="3459" t="s">
        <v>3546</v>
      </c>
      <c r="K43" s="3459" t="s">
        <v>3714</v>
      </c>
      <c r="L43" s="3459">
        <v>2.2000000000000002</v>
      </c>
      <c r="M43" s="3459" t="s">
        <v>3515</v>
      </c>
      <c r="N43" s="3459" t="s">
        <v>3516</v>
      </c>
      <c r="O43" s="3459" t="s">
        <v>3517</v>
      </c>
      <c r="P43" s="3460">
        <v>44495.000497685185</v>
      </c>
      <c r="Q43" s="3459" t="s">
        <v>3518</v>
      </c>
      <c r="R43" s="3459" t="s">
        <v>3747</v>
      </c>
      <c r="S43" s="3459">
        <v>115000</v>
      </c>
      <c r="T43" s="3459">
        <v>45777.02</v>
      </c>
      <c r="U43" s="3459">
        <v>3051.8</v>
      </c>
      <c r="V43" s="3464">
        <v>20808</v>
      </c>
      <c r="W43" s="3459">
        <v>0</v>
      </c>
    </row>
    <row r="44" spans="1:24">
      <c r="A44" s="3459" t="s">
        <v>3748</v>
      </c>
      <c r="B44" s="3459" t="s">
        <v>3378</v>
      </c>
      <c r="C44" s="3459" t="s">
        <v>3583</v>
      </c>
      <c r="D44" s="3459" t="s">
        <v>3749</v>
      </c>
      <c r="E44" s="3459" t="s">
        <v>3750</v>
      </c>
      <c r="F44" s="3459" t="s">
        <v>3751</v>
      </c>
      <c r="G44" s="3459">
        <v>17147.95</v>
      </c>
      <c r="H44" s="3459">
        <v>53158.65</v>
      </c>
      <c r="I44" s="3459" t="s">
        <v>3512</v>
      </c>
      <c r="J44" s="3459" t="s">
        <v>3752</v>
      </c>
      <c r="K44" s="3459" t="s">
        <v>3575</v>
      </c>
      <c r="L44" s="3459" t="s">
        <v>3753</v>
      </c>
      <c r="M44" s="3459" t="s">
        <v>3515</v>
      </c>
      <c r="N44" s="3459" t="s">
        <v>3516</v>
      </c>
      <c r="O44" s="3459" t="s">
        <v>3517</v>
      </c>
      <c r="P44" s="3460">
        <v>44335.000497685185</v>
      </c>
      <c r="Q44" s="3459" t="s">
        <v>3518</v>
      </c>
      <c r="R44" s="3459" t="s">
        <v>3754</v>
      </c>
      <c r="S44" s="3459">
        <v>69200</v>
      </c>
      <c r="T44" s="3459">
        <v>40354.68</v>
      </c>
      <c r="U44" s="3459">
        <v>2690.31</v>
      </c>
      <c r="V44" s="3464">
        <v>13018</v>
      </c>
      <c r="W44" s="3459">
        <v>0</v>
      </c>
    </row>
    <row r="45" spans="1:24">
      <c r="A45" s="3459" t="s">
        <v>3755</v>
      </c>
      <c r="B45" s="3459" t="s">
        <v>3378</v>
      </c>
      <c r="C45" s="3459" t="s">
        <v>3583</v>
      </c>
      <c r="D45" s="3459" t="s">
        <v>3675</v>
      </c>
      <c r="E45" s="3459" t="s">
        <v>3756</v>
      </c>
      <c r="F45" s="3459" t="s">
        <v>3757</v>
      </c>
      <c r="G45" s="3459">
        <v>22058.78</v>
      </c>
      <c r="H45" s="3459">
        <v>47390</v>
      </c>
      <c r="I45" s="3459" t="s">
        <v>3512</v>
      </c>
      <c r="J45" s="3459" t="s">
        <v>3546</v>
      </c>
      <c r="K45" s="3459" t="s">
        <v>3575</v>
      </c>
      <c r="L45" s="3459" t="s">
        <v>3758</v>
      </c>
      <c r="M45" s="3459" t="s">
        <v>3515</v>
      </c>
      <c r="N45" s="3459" t="s">
        <v>3516</v>
      </c>
      <c r="O45" s="3459" t="s">
        <v>3517</v>
      </c>
      <c r="P45" s="3460">
        <v>44234.000497685185</v>
      </c>
      <c r="Q45" s="3459" t="s">
        <v>3518</v>
      </c>
      <c r="R45" s="3459" t="s">
        <v>3759</v>
      </c>
      <c r="S45" s="3459">
        <v>32700</v>
      </c>
      <c r="T45" s="3459">
        <v>14824.02</v>
      </c>
      <c r="U45" s="3459">
        <v>988.27</v>
      </c>
      <c r="V45" s="3464">
        <v>6900</v>
      </c>
      <c r="W45" s="3459">
        <v>0</v>
      </c>
    </row>
    <row r="46" spans="1:24">
      <c r="A46" s="3459" t="s">
        <v>3760</v>
      </c>
      <c r="B46" s="3459" t="s">
        <v>3378</v>
      </c>
      <c r="C46" s="3459" t="s">
        <v>3701</v>
      </c>
      <c r="D46" s="3459" t="s">
        <v>3761</v>
      </c>
      <c r="E46" s="3459" t="s">
        <v>3762</v>
      </c>
      <c r="F46" s="3459" t="s">
        <v>3763</v>
      </c>
      <c r="G46" s="3459">
        <v>1676.22</v>
      </c>
      <c r="H46" s="3459">
        <v>753.4</v>
      </c>
      <c r="I46" s="3459" t="s">
        <v>3512</v>
      </c>
      <c r="J46" s="3459" t="s">
        <v>3646</v>
      </c>
      <c r="K46" s="3459" t="s">
        <v>3668</v>
      </c>
      <c r="L46" s="3459" t="s">
        <v>3764</v>
      </c>
      <c r="M46" s="3459" t="s">
        <v>3515</v>
      </c>
      <c r="N46" s="3459" t="s">
        <v>3516</v>
      </c>
      <c r="O46" s="3459" t="s">
        <v>3517</v>
      </c>
      <c r="P46" s="3460">
        <v>44224.000497685185</v>
      </c>
      <c r="Q46" s="3459" t="s">
        <v>3518</v>
      </c>
      <c r="R46" s="3459" t="s">
        <v>3765</v>
      </c>
      <c r="S46" s="3459">
        <v>550</v>
      </c>
      <c r="T46" s="3459">
        <v>3281.19</v>
      </c>
      <c r="U46" s="3459">
        <v>218.75</v>
      </c>
      <c r="V46" s="3464">
        <v>7300</v>
      </c>
      <c r="W46" s="3459">
        <v>0</v>
      </c>
    </row>
    <row r="47" spans="1:24">
      <c r="A47" s="3459" t="s">
        <v>3766</v>
      </c>
      <c r="B47" s="3459" t="s">
        <v>3378</v>
      </c>
      <c r="C47" s="3459" t="s">
        <v>3609</v>
      </c>
      <c r="D47" s="3459" t="s">
        <v>3767</v>
      </c>
      <c r="E47" s="3459" t="s">
        <v>3768</v>
      </c>
      <c r="F47" s="3459" t="s">
        <v>3769</v>
      </c>
      <c r="G47" s="3459">
        <v>25224.15</v>
      </c>
      <c r="H47" s="3459">
        <v>75672.45</v>
      </c>
      <c r="I47" s="3459" t="s">
        <v>3512</v>
      </c>
      <c r="J47" s="3459" t="s">
        <v>3546</v>
      </c>
      <c r="K47" s="3459" t="s">
        <v>3668</v>
      </c>
      <c r="L47" s="3459" t="s">
        <v>3770</v>
      </c>
      <c r="M47" s="3459" t="s">
        <v>3515</v>
      </c>
      <c r="N47" s="3459" t="s">
        <v>3516</v>
      </c>
      <c r="O47" s="3459" t="s">
        <v>3517</v>
      </c>
      <c r="P47" s="3460">
        <v>44193.000497685185</v>
      </c>
      <c r="Q47" s="3459" t="s">
        <v>3518</v>
      </c>
      <c r="R47" s="3459" t="s">
        <v>3771</v>
      </c>
      <c r="S47" s="3459">
        <v>60800</v>
      </c>
      <c r="T47" s="3459">
        <v>24103.88</v>
      </c>
      <c r="U47" s="3459">
        <v>1606.93</v>
      </c>
      <c r="V47" s="3464">
        <v>8035</v>
      </c>
      <c r="W47" s="3459">
        <v>0</v>
      </c>
    </row>
    <row r="48" spans="1:24">
      <c r="A48" s="3459" t="s">
        <v>3772</v>
      </c>
      <c r="B48" s="3459" t="s">
        <v>3378</v>
      </c>
      <c r="C48" s="3459" t="s">
        <v>3542</v>
      </c>
      <c r="D48" s="3459" t="s">
        <v>3773</v>
      </c>
      <c r="E48" s="3459" t="s">
        <v>3774</v>
      </c>
      <c r="F48" s="3459" t="s">
        <v>3775</v>
      </c>
      <c r="G48" s="3459">
        <v>26197.17</v>
      </c>
      <c r="H48" s="3459">
        <v>26500</v>
      </c>
      <c r="I48" s="3459" t="s">
        <v>3512</v>
      </c>
      <c r="J48" s="3459" t="s">
        <v>3546</v>
      </c>
      <c r="K48" s="3459" t="s">
        <v>3668</v>
      </c>
      <c r="L48" s="3459" t="s">
        <v>3776</v>
      </c>
      <c r="M48" s="3459" t="s">
        <v>3777</v>
      </c>
      <c r="N48" s="3459" t="s">
        <v>3516</v>
      </c>
      <c r="O48" s="3459" t="s">
        <v>3517</v>
      </c>
      <c r="P48" s="3460">
        <v>44172.000497685185</v>
      </c>
      <c r="Q48" s="3459" t="s">
        <v>3518</v>
      </c>
      <c r="R48" s="3459" t="s">
        <v>3778</v>
      </c>
      <c r="S48" s="3459">
        <v>20986.799999999999</v>
      </c>
      <c r="T48" s="3459">
        <v>8011.09</v>
      </c>
      <c r="U48" s="3459">
        <v>534.07000000000005</v>
      </c>
      <c r="V48" s="3464">
        <v>7920</v>
      </c>
      <c r="W48" s="3459">
        <v>0</v>
      </c>
    </row>
    <row r="49" spans="1:23">
      <c r="A49" s="3459" t="s">
        <v>3779</v>
      </c>
      <c r="B49" s="3459" t="s">
        <v>3378</v>
      </c>
      <c r="C49" s="3459" t="s">
        <v>3564</v>
      </c>
      <c r="D49" s="3459" t="s">
        <v>3649</v>
      </c>
      <c r="E49" s="3459" t="s">
        <v>3780</v>
      </c>
      <c r="F49" s="3459" t="s">
        <v>3567</v>
      </c>
      <c r="G49" s="3459">
        <v>28676.63</v>
      </c>
      <c r="H49" s="3459">
        <v>114706.51</v>
      </c>
      <c r="I49" s="3459" t="s">
        <v>3512</v>
      </c>
      <c r="J49" s="3459" t="s">
        <v>3646</v>
      </c>
      <c r="K49" s="3459" t="s">
        <v>3668</v>
      </c>
      <c r="L49" s="3459" t="s">
        <v>3781</v>
      </c>
      <c r="M49" s="3459" t="s">
        <v>3515</v>
      </c>
      <c r="N49" s="3459" t="s">
        <v>3516</v>
      </c>
      <c r="O49" s="3459" t="s">
        <v>3517</v>
      </c>
      <c r="P49" s="3460">
        <v>44179.000497685185</v>
      </c>
      <c r="Q49" s="3459" t="s">
        <v>3518</v>
      </c>
      <c r="R49" s="3459" t="s">
        <v>3782</v>
      </c>
      <c r="S49" s="3459">
        <v>175500</v>
      </c>
      <c r="T49" s="3459">
        <v>61199.66</v>
      </c>
      <c r="U49" s="3459">
        <v>4079.98</v>
      </c>
      <c r="V49" s="3464">
        <v>15300</v>
      </c>
      <c r="W49" s="3459">
        <v>0</v>
      </c>
    </row>
    <row r="50" spans="1:23">
      <c r="A50" s="3459" t="s">
        <v>3783</v>
      </c>
      <c r="B50" s="3459" t="s">
        <v>3378</v>
      </c>
      <c r="C50" s="3459" t="s">
        <v>3521</v>
      </c>
      <c r="D50" s="3459" t="s">
        <v>3784</v>
      </c>
      <c r="E50" s="3459" t="s">
        <v>3785</v>
      </c>
      <c r="F50" s="3459" t="s">
        <v>3786</v>
      </c>
      <c r="G50" s="3459">
        <v>51788.13</v>
      </c>
      <c r="H50" s="3459">
        <v>184800</v>
      </c>
      <c r="I50" s="3459" t="s">
        <v>3512</v>
      </c>
      <c r="J50" s="3459" t="s">
        <v>3554</v>
      </c>
      <c r="K50" s="3459" t="s">
        <v>3668</v>
      </c>
      <c r="L50" s="3459" t="s">
        <v>3787</v>
      </c>
      <c r="M50" s="3459" t="s">
        <v>3515</v>
      </c>
      <c r="N50" s="3459" t="s">
        <v>3516</v>
      </c>
      <c r="O50" s="3459" t="s">
        <v>3517</v>
      </c>
      <c r="P50" s="3460">
        <v>44167.000497685185</v>
      </c>
      <c r="Q50" s="3459" t="s">
        <v>3518</v>
      </c>
      <c r="R50" s="3459" t="s">
        <v>3788</v>
      </c>
      <c r="S50" s="3459">
        <v>579500</v>
      </c>
      <c r="T50" s="3459">
        <v>111898.23</v>
      </c>
      <c r="U50" s="3459">
        <v>7459.88</v>
      </c>
      <c r="V50" s="3464">
        <v>31358</v>
      </c>
      <c r="W50" s="3459">
        <v>1.58</v>
      </c>
    </row>
    <row r="51" spans="1:23">
      <c r="A51" s="3459" t="s">
        <v>3789</v>
      </c>
      <c r="B51" s="3459" t="s">
        <v>3378</v>
      </c>
      <c r="C51" s="3459" t="s">
        <v>3701</v>
      </c>
      <c r="D51" s="3459" t="s">
        <v>3702</v>
      </c>
      <c r="E51" s="3459" t="s">
        <v>3790</v>
      </c>
      <c r="F51" s="3459" t="s">
        <v>3791</v>
      </c>
      <c r="G51" s="3459">
        <v>63225.37</v>
      </c>
      <c r="H51" s="3459">
        <v>120200</v>
      </c>
      <c r="I51" s="3459" t="s">
        <v>3512</v>
      </c>
      <c r="J51" s="3459" t="s">
        <v>3546</v>
      </c>
      <c r="K51" s="3459" t="s">
        <v>3668</v>
      </c>
      <c r="L51" s="3459" t="s">
        <v>3792</v>
      </c>
      <c r="M51" s="3459" t="s">
        <v>3515</v>
      </c>
      <c r="N51" s="3459" t="s">
        <v>3516</v>
      </c>
      <c r="O51" s="3459" t="s">
        <v>3517</v>
      </c>
      <c r="P51" s="3460">
        <v>44138.000497685185</v>
      </c>
      <c r="Q51" s="3459" t="s">
        <v>3518</v>
      </c>
      <c r="R51" s="3459" t="s">
        <v>3793</v>
      </c>
      <c r="S51" s="3459">
        <v>88100</v>
      </c>
      <c r="T51" s="3459">
        <v>13934.28</v>
      </c>
      <c r="U51" s="3459">
        <v>928.95</v>
      </c>
      <c r="V51" s="3464">
        <v>7329</v>
      </c>
      <c r="W51" s="3459">
        <v>0</v>
      </c>
    </row>
    <row r="52" spans="1:23">
      <c r="A52" s="3459" t="s">
        <v>3794</v>
      </c>
      <c r="B52" s="3459" t="s">
        <v>3378</v>
      </c>
      <c r="C52" s="3459" t="s">
        <v>3701</v>
      </c>
      <c r="D52" s="3459" t="s">
        <v>3702</v>
      </c>
      <c r="E52" s="3459" t="s">
        <v>3795</v>
      </c>
      <c r="F52" s="3459" t="s">
        <v>3763</v>
      </c>
      <c r="G52" s="3459">
        <v>5352.65</v>
      </c>
      <c r="H52" s="3459">
        <v>843</v>
      </c>
      <c r="I52" s="3459" t="s">
        <v>3512</v>
      </c>
      <c r="J52" s="3459" t="s">
        <v>3646</v>
      </c>
      <c r="K52" s="3459" t="s">
        <v>3668</v>
      </c>
      <c r="L52" s="3459" t="s">
        <v>3796</v>
      </c>
      <c r="M52" s="3459" t="s">
        <v>3515</v>
      </c>
      <c r="N52" s="3459" t="s">
        <v>3516</v>
      </c>
      <c r="O52" s="3459" t="s">
        <v>3517</v>
      </c>
      <c r="P52" s="3460">
        <v>44116.000497685185</v>
      </c>
      <c r="Q52" s="3459" t="s">
        <v>3518</v>
      </c>
      <c r="R52" s="3459" t="s">
        <v>3765</v>
      </c>
      <c r="S52" s="3459">
        <v>1310</v>
      </c>
      <c r="T52" s="3459">
        <v>2447.38</v>
      </c>
      <c r="U52" s="3459">
        <v>163.16</v>
      </c>
      <c r="V52" s="3464">
        <v>15540</v>
      </c>
      <c r="W52" s="3459">
        <v>0</v>
      </c>
    </row>
    <row r="53" spans="1:23">
      <c r="A53" s="3459" t="s">
        <v>3797</v>
      </c>
      <c r="B53" s="3459" t="s">
        <v>3378</v>
      </c>
      <c r="C53" s="3459" t="s">
        <v>3701</v>
      </c>
      <c r="D53" s="3459" t="s">
        <v>3761</v>
      </c>
      <c r="E53" s="3459" t="s">
        <v>3798</v>
      </c>
      <c r="F53" s="3459" t="s">
        <v>3763</v>
      </c>
      <c r="G53" s="3459">
        <v>36823.82</v>
      </c>
      <c r="H53" s="3459">
        <v>25187</v>
      </c>
      <c r="I53" s="3459" t="s">
        <v>3512</v>
      </c>
      <c r="J53" s="3459" t="s">
        <v>3546</v>
      </c>
      <c r="K53" s="3459" t="s">
        <v>3668</v>
      </c>
      <c r="L53" s="3459" t="s">
        <v>3799</v>
      </c>
      <c r="M53" s="3459" t="s">
        <v>3515</v>
      </c>
      <c r="N53" s="3459" t="s">
        <v>3516</v>
      </c>
      <c r="O53" s="3459" t="s">
        <v>3517</v>
      </c>
      <c r="P53" s="3460">
        <v>44116.000497685185</v>
      </c>
      <c r="Q53" s="3459" t="s">
        <v>3518</v>
      </c>
      <c r="R53" s="3459" t="s">
        <v>3800</v>
      </c>
      <c r="S53" s="3459">
        <v>29500</v>
      </c>
      <c r="T53" s="3459">
        <v>8011.11</v>
      </c>
      <c r="U53" s="3459">
        <v>534.07000000000005</v>
      </c>
      <c r="V53" s="3464">
        <v>11712</v>
      </c>
      <c r="W53" s="3459">
        <v>0</v>
      </c>
    </row>
    <row r="54" spans="1:23">
      <c r="A54" s="3459" t="s">
        <v>3801</v>
      </c>
      <c r="B54" s="3459" t="s">
        <v>3378</v>
      </c>
      <c r="C54" s="3459" t="s">
        <v>3622</v>
      </c>
      <c r="D54" s="3459" t="s">
        <v>3681</v>
      </c>
      <c r="E54" s="3459" t="s">
        <v>3802</v>
      </c>
      <c r="F54" s="3459" t="s">
        <v>3803</v>
      </c>
      <c r="G54" s="3459">
        <v>265269.8</v>
      </c>
      <c r="H54" s="3459">
        <v>665975.69999999995</v>
      </c>
      <c r="I54" s="3459" t="s">
        <v>3512</v>
      </c>
      <c r="J54" s="3459" t="s">
        <v>3546</v>
      </c>
      <c r="K54" s="3459" t="s">
        <v>3668</v>
      </c>
      <c r="L54" s="3459" t="s">
        <v>3804</v>
      </c>
      <c r="M54" s="3459" t="s">
        <v>3515</v>
      </c>
      <c r="N54" s="3459" t="s">
        <v>3516</v>
      </c>
      <c r="O54" s="3459" t="s">
        <v>3517</v>
      </c>
      <c r="P54" s="3460">
        <v>44046.000497685185</v>
      </c>
      <c r="Q54" s="3459" t="s">
        <v>3518</v>
      </c>
      <c r="R54" s="3459" t="s">
        <v>3805</v>
      </c>
      <c r="S54" s="3459">
        <v>699300</v>
      </c>
      <c r="T54" s="3459">
        <v>26361.84</v>
      </c>
      <c r="U54" s="3459">
        <v>1757.46</v>
      </c>
      <c r="V54" s="3464">
        <v>10500</v>
      </c>
      <c r="W54" s="3459">
        <v>0</v>
      </c>
    </row>
    <row r="55" spans="1:23">
      <c r="A55" s="3459" t="s">
        <v>3806</v>
      </c>
      <c r="B55" s="3459" t="s">
        <v>3378</v>
      </c>
      <c r="C55" s="3459" t="s">
        <v>3550</v>
      </c>
      <c r="D55" s="3459" t="s">
        <v>3807</v>
      </c>
      <c r="E55" s="3459" t="s">
        <v>3808</v>
      </c>
      <c r="F55" s="3459" t="s">
        <v>3809</v>
      </c>
      <c r="G55" s="3459">
        <v>7289.19</v>
      </c>
      <c r="H55" s="3459">
        <v>21867.57</v>
      </c>
      <c r="I55" s="3459" t="s">
        <v>3512</v>
      </c>
      <c r="J55" s="3459" t="s">
        <v>3810</v>
      </c>
      <c r="K55" s="3459" t="s">
        <v>3668</v>
      </c>
      <c r="L55" s="3459" t="s">
        <v>3770</v>
      </c>
      <c r="M55" s="3459" t="s">
        <v>3515</v>
      </c>
      <c r="N55" s="3459" t="s">
        <v>3516</v>
      </c>
      <c r="O55" s="3459" t="s">
        <v>3517</v>
      </c>
      <c r="P55" s="3460">
        <v>43923.000497685185</v>
      </c>
      <c r="Q55" s="3459" t="s">
        <v>3518</v>
      </c>
      <c r="R55" s="3459" t="s">
        <v>3811</v>
      </c>
      <c r="S55" s="3459">
        <v>35200</v>
      </c>
      <c r="T55" s="3459">
        <v>48290.68</v>
      </c>
      <c r="U55" s="3459">
        <v>3219.38</v>
      </c>
      <c r="V55" s="3464">
        <v>16097</v>
      </c>
      <c r="W55" s="3459">
        <v>0</v>
      </c>
    </row>
    <row r="56" spans="1:23">
      <c r="A56" s="3459" t="s">
        <v>3812</v>
      </c>
      <c r="B56" s="3459" t="s">
        <v>3378</v>
      </c>
      <c r="C56" s="3459" t="s">
        <v>3813</v>
      </c>
      <c r="D56" s="3459" t="s">
        <v>3814</v>
      </c>
      <c r="E56" s="3459" t="s">
        <v>3815</v>
      </c>
      <c r="F56" s="3459" t="s">
        <v>3816</v>
      </c>
      <c r="G56" s="3459">
        <v>12501.51</v>
      </c>
      <c r="H56" s="3459">
        <v>37505</v>
      </c>
      <c r="I56" s="3459" t="s">
        <v>3512</v>
      </c>
      <c r="J56" s="3459" t="s">
        <v>3546</v>
      </c>
      <c r="K56" s="3459" t="s">
        <v>3668</v>
      </c>
      <c r="L56" s="3459" t="s">
        <v>3770</v>
      </c>
      <c r="M56" s="3459" t="s">
        <v>3515</v>
      </c>
      <c r="N56" s="3459" t="s">
        <v>3516</v>
      </c>
      <c r="O56" s="3459" t="s">
        <v>3517</v>
      </c>
      <c r="P56" s="3460">
        <v>43923.000497685185</v>
      </c>
      <c r="Q56" s="3459" t="s">
        <v>3518</v>
      </c>
      <c r="R56" s="3459" t="s">
        <v>3817</v>
      </c>
      <c r="S56" s="3459">
        <v>56000</v>
      </c>
      <c r="T56" s="3459">
        <v>44794.59</v>
      </c>
      <c r="U56" s="3459">
        <v>2986.31</v>
      </c>
      <c r="V56" s="3464">
        <v>14931</v>
      </c>
      <c r="W56" s="3459">
        <v>0</v>
      </c>
    </row>
    <row r="57" spans="1:23">
      <c r="A57" s="3459" t="s">
        <v>3818</v>
      </c>
      <c r="B57" s="3459" t="s">
        <v>3378</v>
      </c>
      <c r="C57" s="3459" t="s">
        <v>3564</v>
      </c>
      <c r="D57" s="3459" t="s">
        <v>3734</v>
      </c>
      <c r="E57" s="3459" t="s">
        <v>3819</v>
      </c>
      <c r="F57" s="3459" t="s">
        <v>3820</v>
      </c>
      <c r="G57" s="3459">
        <v>30159.25</v>
      </c>
      <c r="H57" s="3459">
        <v>138421</v>
      </c>
      <c r="I57" s="3459" t="s">
        <v>3512</v>
      </c>
      <c r="J57" s="3459" t="s">
        <v>3554</v>
      </c>
      <c r="K57" s="3459" t="s">
        <v>3668</v>
      </c>
      <c r="L57" s="3459" t="s">
        <v>3821</v>
      </c>
      <c r="M57" s="3459" t="s">
        <v>3515</v>
      </c>
      <c r="N57" s="3459" t="s">
        <v>3516</v>
      </c>
      <c r="O57" s="3459" t="s">
        <v>3517</v>
      </c>
      <c r="P57" s="3460">
        <v>43811.000497685185</v>
      </c>
      <c r="Q57" s="3459" t="s">
        <v>3518</v>
      </c>
      <c r="R57" s="3459" t="s">
        <v>3822</v>
      </c>
      <c r="S57" s="3459">
        <v>230100</v>
      </c>
      <c r="T57" s="3459">
        <v>76295</v>
      </c>
      <c r="U57" s="3459">
        <v>5086.33</v>
      </c>
      <c r="V57" s="3464">
        <v>16623</v>
      </c>
      <c r="W57" s="3459">
        <v>0</v>
      </c>
    </row>
    <row r="58" spans="1:23">
      <c r="A58" s="3459" t="s">
        <v>3823</v>
      </c>
      <c r="B58" s="3459" t="s">
        <v>3378</v>
      </c>
      <c r="C58" s="3459" t="s">
        <v>3564</v>
      </c>
      <c r="D58" s="3459" t="s">
        <v>3734</v>
      </c>
      <c r="E58" s="3459" t="s">
        <v>3824</v>
      </c>
      <c r="F58" s="3459" t="s">
        <v>3820</v>
      </c>
      <c r="G58" s="3459">
        <v>35629.120000000003</v>
      </c>
      <c r="H58" s="3459">
        <v>100429</v>
      </c>
      <c r="I58" s="3459" t="s">
        <v>3512</v>
      </c>
      <c r="J58" s="3459" t="s">
        <v>3825</v>
      </c>
      <c r="K58" s="3459" t="s">
        <v>3668</v>
      </c>
      <c r="L58" s="3459" t="s">
        <v>3826</v>
      </c>
      <c r="M58" s="3459" t="s">
        <v>3515</v>
      </c>
      <c r="N58" s="3459" t="s">
        <v>3516</v>
      </c>
      <c r="O58" s="3459" t="s">
        <v>3517</v>
      </c>
      <c r="P58" s="3460">
        <v>43811.000497685185</v>
      </c>
      <c r="Q58" s="3459" t="s">
        <v>3518</v>
      </c>
      <c r="R58" s="3459" t="s">
        <v>3822</v>
      </c>
      <c r="S58" s="3459">
        <v>166700</v>
      </c>
      <c r="T58" s="3459">
        <v>46787.57</v>
      </c>
      <c r="U58" s="3459">
        <v>3119.17</v>
      </c>
      <c r="V58" s="3464">
        <v>16599</v>
      </c>
      <c r="W58" s="3459">
        <v>0</v>
      </c>
    </row>
    <row r="59" spans="1:23">
      <c r="A59" s="3459" t="s">
        <v>3827</v>
      </c>
      <c r="B59" s="3459" t="s">
        <v>3378</v>
      </c>
      <c r="C59" s="3459" t="s">
        <v>3521</v>
      </c>
      <c r="D59" s="3459" t="s">
        <v>3557</v>
      </c>
      <c r="E59" s="3459" t="s">
        <v>3828</v>
      </c>
      <c r="F59" s="3459" t="s">
        <v>3829</v>
      </c>
      <c r="G59" s="3459">
        <v>70601.070000000007</v>
      </c>
      <c r="H59" s="3459">
        <v>285523</v>
      </c>
      <c r="I59" s="3459" t="s">
        <v>3512</v>
      </c>
      <c r="J59" s="3459" t="s">
        <v>3560</v>
      </c>
      <c r="K59" s="3459" t="s">
        <v>3668</v>
      </c>
      <c r="L59" s="3459" t="s">
        <v>3830</v>
      </c>
      <c r="M59" s="3459" t="s">
        <v>3777</v>
      </c>
      <c r="N59" s="3459" t="s">
        <v>3516</v>
      </c>
      <c r="O59" s="3459" t="s">
        <v>3517</v>
      </c>
      <c r="P59" s="3460">
        <v>43801.000497685185</v>
      </c>
      <c r="Q59" s="3459" t="s">
        <v>3518</v>
      </c>
      <c r="R59" s="3459" t="s">
        <v>3831</v>
      </c>
      <c r="S59" s="3459">
        <v>660900</v>
      </c>
      <c r="T59" s="3459">
        <v>93610.48</v>
      </c>
      <c r="U59" s="3459">
        <v>6240.7</v>
      </c>
      <c r="V59" s="3464">
        <v>23147</v>
      </c>
      <c r="W59" s="3459">
        <v>0</v>
      </c>
    </row>
    <row r="60" spans="1:23">
      <c r="A60" s="3459" t="s">
        <v>3832</v>
      </c>
      <c r="B60" s="3459" t="s">
        <v>3378</v>
      </c>
      <c r="C60" s="3459" t="s">
        <v>3583</v>
      </c>
      <c r="D60" s="3459" t="s">
        <v>3749</v>
      </c>
      <c r="E60" s="3459" t="s">
        <v>3833</v>
      </c>
      <c r="F60" s="3459" t="s">
        <v>3834</v>
      </c>
      <c r="G60" s="3459">
        <v>28003.32</v>
      </c>
      <c r="H60" s="3459">
        <v>70008</v>
      </c>
      <c r="I60" s="3459" t="s">
        <v>3512</v>
      </c>
      <c r="J60" s="3459" t="s">
        <v>3546</v>
      </c>
      <c r="K60" s="3459" t="s">
        <v>3580</v>
      </c>
      <c r="L60" s="3459" t="s">
        <v>3835</v>
      </c>
      <c r="M60" s="3459" t="s">
        <v>3515</v>
      </c>
      <c r="N60" s="3459" t="s">
        <v>3516</v>
      </c>
      <c r="O60" s="3459" t="s">
        <v>3517</v>
      </c>
      <c r="P60" s="3460">
        <v>43755.000497685185</v>
      </c>
      <c r="Q60" s="3459" t="s">
        <v>3518</v>
      </c>
      <c r="R60" s="3459" t="s">
        <v>3836</v>
      </c>
      <c r="S60" s="3459">
        <v>97800</v>
      </c>
      <c r="T60" s="3459">
        <v>34924.43</v>
      </c>
      <c r="U60" s="3459">
        <v>2328.3000000000002</v>
      </c>
      <c r="V60" s="3464">
        <v>13970</v>
      </c>
      <c r="W60" s="3459">
        <v>1.03</v>
      </c>
    </row>
    <row r="61" spans="1:23">
      <c r="A61" s="3459" t="s">
        <v>3837</v>
      </c>
      <c r="B61" s="3459" t="s">
        <v>3378</v>
      </c>
      <c r="C61" s="3459" t="s">
        <v>3622</v>
      </c>
      <c r="D61" s="3459" t="s">
        <v>3838</v>
      </c>
      <c r="E61" s="3459" t="s">
        <v>3839</v>
      </c>
      <c r="F61" s="3459" t="s">
        <v>3840</v>
      </c>
      <c r="G61" s="3459">
        <v>42276.47</v>
      </c>
      <c r="H61" s="3459">
        <v>84552.93</v>
      </c>
      <c r="I61" s="3459" t="s">
        <v>3512</v>
      </c>
      <c r="J61" s="3459" t="s">
        <v>3554</v>
      </c>
      <c r="K61" s="3459" t="s">
        <v>3841</v>
      </c>
      <c r="L61" s="3459" t="s">
        <v>3842</v>
      </c>
      <c r="M61" s="3459" t="s">
        <v>3515</v>
      </c>
      <c r="N61" s="3459" t="s">
        <v>3516</v>
      </c>
      <c r="O61" s="3459" t="s">
        <v>3517</v>
      </c>
      <c r="P61" s="3460">
        <v>43706.000497685185</v>
      </c>
      <c r="Q61" s="3459" t="s">
        <v>3518</v>
      </c>
      <c r="R61" s="3459" t="s">
        <v>3843</v>
      </c>
      <c r="S61" s="3459">
        <v>96500</v>
      </c>
      <c r="T61" s="3459">
        <v>22825.93</v>
      </c>
      <c r="U61" s="3459">
        <v>1521.73</v>
      </c>
      <c r="V61" s="3464">
        <v>11413</v>
      </c>
      <c r="W61" s="3459">
        <v>1.58</v>
      </c>
    </row>
    <row r="66" spans="1:1" ht="13.5">
      <c r="A66" s="3469" t="s">
        <v>3853</v>
      </c>
    </row>
  </sheetData>
  <autoFilter ref="A1:W61"/>
  <phoneticPr fontId="134" type="noConversion"/>
  <hyperlinks>
    <hyperlink ref="A66"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2" sqref="V2:V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1920</v>
      </c>
      <c r="B1" s="197"/>
      <c r="C1" s="201" t="s">
        <v>1921</v>
      </c>
      <c r="D1" s="342">
        <f>SUM(D33:D34,D37:D42)</f>
        <v>0</v>
      </c>
      <c r="E1" s="1994"/>
      <c r="F1" s="1994"/>
      <c r="G1" s="1994"/>
      <c r="H1" s="1994"/>
      <c r="I1" s="1994"/>
      <c r="J1" s="1994"/>
      <c r="K1" s="1119"/>
      <c r="L1" s="1995" t="s">
        <v>1922</v>
      </c>
      <c r="M1" s="863">
        <f>SUMPRODUCT((区片价!B5:B9=I2)*(区片价!C3:G3=E2)*(区片价!C5:G9))</f>
        <v>0</v>
      </c>
      <c r="N1" s="866">
        <f>SUMPRODUCT((因素修正幅度!B5:B9=I2)*(因素修正幅度!C3:G3=E2)*(因素修正幅度!C5:G9))</f>
        <v>0</v>
      </c>
      <c r="O1" s="1996"/>
      <c r="P1" s="1996"/>
      <c r="Q1" s="1119"/>
      <c r="R1" s="1211" t="s">
        <v>1923</v>
      </c>
      <c r="S1" s="1211" t="s">
        <v>1924</v>
      </c>
      <c r="T1" s="1211" t="s">
        <v>1925</v>
      </c>
      <c r="U1" s="1211" t="s">
        <v>1926</v>
      </c>
      <c r="V1" s="1211" t="s">
        <v>1927</v>
      </c>
      <c r="W1" s="1215"/>
      <c r="X1" s="1215"/>
      <c r="Y1" s="1215"/>
      <c r="Z1" s="1215"/>
      <c r="AA1" s="1215"/>
      <c r="AB1" s="1215"/>
      <c r="AC1" s="1216"/>
      <c r="AD1" s="1217"/>
      <c r="AE1" s="1217"/>
      <c r="AF1" s="1217"/>
      <c r="AG1" s="1217"/>
      <c r="AH1" s="1217"/>
      <c r="AI1" s="1217"/>
      <c r="AJ1" s="1218"/>
    </row>
    <row r="2" spans="1:36" ht="15.75">
      <c r="A2" s="201" t="s">
        <v>1928</v>
      </c>
      <c r="B2" s="204">
        <f>C30</f>
        <v>5734</v>
      </c>
      <c r="C2" s="1998" t="s">
        <v>1929</v>
      </c>
      <c r="D2" s="1999" t="s">
        <v>1930</v>
      </c>
      <c r="E2" s="3421" t="s">
        <v>673</v>
      </c>
      <c r="F2" s="1999" t="s">
        <v>1931</v>
      </c>
      <c r="G2" s="2000" t="str">
        <f>IF(E2="商业",项目基本情况!B37,IF(E2="办公",项目基本情况!C37,IF(E2="住宅",项目基本情况!D37,IF(E2="工业",项目基本情况!E37,项目基本情况!F37))))</f>
        <v>六级</v>
      </c>
      <c r="H2" s="1999" t="s">
        <v>1932</v>
      </c>
      <c r="I2" s="2000" t="str">
        <f>IF(E2="商业",项目基本情况!B38,IF(E2="办公",项目基本情况!C38,IF(E2="住宅",项目基本情况!D38,IF(E2="工业",项目基本情况!E38,项目基本情况!F38))))</f>
        <v>Ⅵ-17</v>
      </c>
      <c r="J2" s="2001"/>
      <c r="K2" s="1119"/>
      <c r="L2" s="2002" t="s">
        <v>1933</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15148</v>
      </c>
      <c r="U2" s="1212">
        <f>Sheet1!E3+Sheet1!E7+Sheet1!E8+Sheet1!E9</f>
        <v>1645.9899999999998</v>
      </c>
      <c r="V2" s="3360">
        <f>ROUND(T2*U2/10000,0)</f>
        <v>2493</v>
      </c>
      <c r="W2" s="1215"/>
      <c r="X2" s="1215"/>
      <c r="Y2" s="1215"/>
      <c r="Z2" s="1215"/>
      <c r="AA2" s="1215"/>
      <c r="AB2" s="1215"/>
      <c r="AC2" s="1216"/>
      <c r="AD2" s="1217"/>
      <c r="AE2" s="1217"/>
      <c r="AF2" s="1217"/>
      <c r="AG2" s="1217"/>
      <c r="AH2" s="1217"/>
      <c r="AI2" s="1217"/>
      <c r="AJ2" s="1218"/>
    </row>
    <row r="3" spans="1:36" ht="15.75">
      <c r="A3" s="203" t="s">
        <v>1934</v>
      </c>
      <c r="B3" s="204" t="e">
        <f>ROUND(B2*10000/D1,0)</f>
        <v>#DIV/0!</v>
      </c>
      <c r="C3" s="1998" t="s">
        <v>1935</v>
      </c>
      <c r="D3" s="1999" t="s">
        <v>1936</v>
      </c>
      <c r="E3" s="3419" t="s">
        <v>2447</v>
      </c>
      <c r="F3" s="2003" t="s">
        <v>3422</v>
      </c>
      <c r="G3" s="752">
        <f>IF(F3="宗地容积率",'数据-汇总表'!I4,IF(F3="估价对象容积率",'数据-汇总表'!I6,'数据-汇总表'!I7))</f>
        <v>1.59</v>
      </c>
      <c r="H3" s="170" t="s">
        <v>1937</v>
      </c>
      <c r="I3" s="775"/>
      <c r="J3" s="2001" t="s">
        <v>1938</v>
      </c>
      <c r="K3" s="1119"/>
      <c r="L3" s="2002" t="s">
        <v>1939</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11939</v>
      </c>
      <c r="U3" s="1212">
        <f>Sheet1!E4+Sheet1!E10</f>
        <v>1262.1199999999999</v>
      </c>
      <c r="V3" s="3360">
        <f t="shared" ref="V3:V16" si="1">ROUND(T3*U3/10000,0)</f>
        <v>1507</v>
      </c>
      <c r="W3" s="1215"/>
      <c r="X3" s="1215"/>
      <c r="Y3" s="1215"/>
      <c r="Z3" s="1215"/>
      <c r="AA3" s="1215"/>
      <c r="AB3" s="1215"/>
      <c r="AC3" s="1216"/>
      <c r="AD3" s="1217"/>
      <c r="AE3" s="1217"/>
      <c r="AF3" s="1217"/>
      <c r="AG3" s="1217"/>
      <c r="AH3" s="1217"/>
      <c r="AI3" s="1217"/>
      <c r="AJ3" s="1218"/>
    </row>
    <row r="4" spans="1:36" ht="15.75">
      <c r="A4" s="3713"/>
      <c r="B4" s="3714"/>
      <c r="C4" s="3714"/>
      <c r="D4" s="3715"/>
      <c r="E4" s="3715"/>
      <c r="F4" s="3715"/>
      <c r="G4" s="3715"/>
      <c r="H4" s="3715"/>
      <c r="I4" s="3715"/>
      <c r="J4" s="3716"/>
      <c r="K4" s="1119"/>
      <c r="L4" s="2002" t="s">
        <v>1940</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10091</v>
      </c>
      <c r="U4" s="1212">
        <f>Sheet1!E5</f>
        <v>1128.3699999999999</v>
      </c>
      <c r="V4" s="3360">
        <f t="shared" si="1"/>
        <v>1139</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1941</v>
      </c>
      <c r="C5" s="753">
        <f>ROUND(IF(E2="商业",C6*C7*C17+C20,(IF(E2="住宅",C6*C13*C17+C20,IF(E2="办公",C6*C12*C17+C20,C6+C20)))),0)</f>
        <v>11534</v>
      </c>
      <c r="D5" s="1338">
        <f>ROUND(C6*C17+C20,0)</f>
        <v>11534</v>
      </c>
      <c r="E5" s="1338"/>
      <c r="F5" s="2006"/>
      <c r="G5" s="2007"/>
      <c r="H5" s="2007"/>
      <c r="I5" s="2007"/>
      <c r="J5" s="2008"/>
      <c r="K5" s="2009"/>
      <c r="L5" s="2002" t="s">
        <v>1942</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8900</v>
      </c>
      <c r="U5" s="1212">
        <f>Sheet1!E6</f>
        <v>668.38</v>
      </c>
      <c r="V5" s="3360">
        <f t="shared" si="1"/>
        <v>595</v>
      </c>
      <c r="W5" s="1215"/>
      <c r="X5" s="1215"/>
      <c r="Y5" s="1215"/>
      <c r="Z5" s="1215"/>
      <c r="AA5" s="1215"/>
      <c r="AB5" s="1215"/>
      <c r="AC5" s="2010"/>
      <c r="AD5" s="2011"/>
      <c r="AE5" s="2011"/>
      <c r="AF5" s="2011"/>
      <c r="AG5" s="2011"/>
      <c r="AH5" s="2011"/>
      <c r="AI5" s="2011"/>
      <c r="AJ5" s="2012"/>
    </row>
    <row r="6" spans="1:36" ht="15.75" thickBot="1">
      <c r="A6" s="2014" t="s">
        <v>1943</v>
      </c>
      <c r="B6" s="2015" t="s">
        <v>1944</v>
      </c>
      <c r="C6" s="754">
        <f>SUMIF(L1:L12,G2,M1:M12)</f>
        <v>11550</v>
      </c>
      <c r="D6" s="2016"/>
      <c r="E6" s="2017"/>
      <c r="F6" s="2017"/>
      <c r="G6" s="2018"/>
      <c r="H6" s="2018"/>
      <c r="I6" s="2018"/>
      <c r="J6" s="2019"/>
      <c r="K6" s="1383"/>
      <c r="L6" s="2002" t="s">
        <v>1945</v>
      </c>
      <c r="M6" s="864">
        <f>SUMPRODUCT((区片价!B127:B189=I2)*(区片价!C3:G3=E2)*(区片价!C127:G189))</f>
        <v>11550</v>
      </c>
      <c r="N6" s="866">
        <f>SUMPRODUCT((因素修正幅度!B127:B189=I2)*(因素修正幅度!C3:G3=E2)*(因素修正幅度!C127:G189))</f>
        <v>0.1</v>
      </c>
      <c r="O6" s="1119"/>
      <c r="P6" s="1119"/>
      <c r="Q6" s="1119"/>
      <c r="R6" s="1211">
        <v>5</v>
      </c>
      <c r="S6" s="3360">
        <f>ROUND(SUMPRODUCT((B106:B110=R6)*(C105:N105=G2)*(C106:N110)),4)</f>
        <v>0.84799999999999998</v>
      </c>
      <c r="T6" s="3360">
        <f t="shared" si="0"/>
        <v>8553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3235</v>
      </c>
      <c r="B7" s="2020" t="s">
        <v>1946</v>
      </c>
      <c r="C7" s="755">
        <f>IF(C8="不临65条商业街",1,ROUND(1+(1.6*E8+1.2*E9+0.8*E10+0.4*E11)*C9,4))</f>
        <v>1</v>
      </c>
      <c r="D7" s="2021" t="s">
        <v>1947</v>
      </c>
      <c r="E7" s="776"/>
      <c r="F7" s="2022"/>
      <c r="G7" s="2023"/>
      <c r="H7" s="2023"/>
      <c r="I7" s="2023"/>
      <c r="J7" s="2024"/>
      <c r="K7" s="1383"/>
      <c r="L7" s="2002" t="s">
        <v>1948</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1949</v>
      </c>
      <c r="X7" s="1213" t="str">
        <f>G2</f>
        <v>六级</v>
      </c>
      <c r="Y7" s="1213" t="s">
        <v>1950</v>
      </c>
      <c r="Z7" s="1214">
        <f>G3</f>
        <v>1.59</v>
      </c>
      <c r="AA7" s="1215"/>
      <c r="AB7" s="1215"/>
      <c r="AC7" s="1216"/>
      <c r="AD7" s="1217"/>
      <c r="AE7" s="1217"/>
      <c r="AF7" s="1217"/>
      <c r="AG7" s="1217"/>
      <c r="AH7" s="1217"/>
      <c r="AI7" s="1217"/>
      <c r="AJ7" s="1218"/>
    </row>
    <row r="8" spans="1:36" ht="25.5">
      <c r="A8" s="3298"/>
      <c r="B8" s="170" t="s">
        <v>1951</v>
      </c>
      <c r="C8" s="2025" t="s">
        <v>3423</v>
      </c>
      <c r="D8" s="756" t="s">
        <v>112</v>
      </c>
      <c r="E8" s="757" t="e">
        <f>ROUND(C11/E7,4)</f>
        <v>#DIV/0!</v>
      </c>
      <c r="F8" s="2026" t="s">
        <v>1952</v>
      </c>
      <c r="G8" s="2027"/>
      <c r="H8" s="2027"/>
      <c r="I8" s="2027"/>
      <c r="J8" s="2028"/>
      <c r="K8" s="1119"/>
      <c r="L8" s="2002" t="s">
        <v>1953</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10" t="s">
        <v>1954</v>
      </c>
      <c r="X8" s="3711"/>
      <c r="Y8" s="1219" t="s">
        <v>1955</v>
      </c>
      <c r="Z8" s="1219" t="s">
        <v>1956</v>
      </c>
      <c r="AA8" s="1219" t="s">
        <v>1957</v>
      </c>
      <c r="AB8" s="1219" t="s">
        <v>1958</v>
      </c>
      <c r="AC8" s="1219" t="s">
        <v>1959</v>
      </c>
      <c r="AD8" s="1219" t="s">
        <v>1960</v>
      </c>
      <c r="AE8" s="1219" t="s">
        <v>1961</v>
      </c>
      <c r="AF8" s="1219" t="s">
        <v>1962</v>
      </c>
      <c r="AG8" s="1219" t="s">
        <v>1963</v>
      </c>
      <c r="AH8" s="1219" t="s">
        <v>1964</v>
      </c>
      <c r="AI8" s="1219" t="s">
        <v>1965</v>
      </c>
      <c r="AJ8" s="1219" t="s">
        <v>1966</v>
      </c>
    </row>
    <row r="9" spans="1:36" ht="15">
      <c r="A9" s="3298"/>
      <c r="B9" s="170" t="s">
        <v>1967</v>
      </c>
      <c r="C9" s="758">
        <f>SUMIF(修正!C71:C138,C8,修正!E71:E138)</f>
        <v>0</v>
      </c>
      <c r="D9" s="171" t="s">
        <v>113</v>
      </c>
      <c r="E9" s="171" t="e">
        <f>ROUND(C11/E7,4)</f>
        <v>#DIV/0!</v>
      </c>
      <c r="F9" s="2026" t="s">
        <v>1968</v>
      </c>
      <c r="G9" s="2027"/>
      <c r="H9" s="2027"/>
      <c r="I9" s="2027"/>
      <c r="J9" s="2028"/>
      <c r="K9" s="1119"/>
      <c r="L9" s="2002" t="s">
        <v>1969</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12"/>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1970</v>
      </c>
      <c r="C10" s="171">
        <f>SUMIF(修正!C71:C138,C8,修正!F71:F138)</f>
        <v>0</v>
      </c>
      <c r="D10" s="171" t="s">
        <v>114</v>
      </c>
      <c r="E10" s="171" t="e">
        <f>ROUND(C11/E7,4)</f>
        <v>#DIV/0!</v>
      </c>
      <c r="F10" s="2026" t="s">
        <v>1971</v>
      </c>
      <c r="G10" s="2027"/>
      <c r="H10" s="2027"/>
      <c r="I10" s="2027"/>
      <c r="J10" s="2028"/>
      <c r="K10" s="1119"/>
      <c r="L10" s="2002" t="s">
        <v>1972</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1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1973</v>
      </c>
      <c r="C11" s="759">
        <f>C10/4</f>
        <v>0</v>
      </c>
      <c r="D11" s="759" t="s">
        <v>115</v>
      </c>
      <c r="E11" s="759" t="e">
        <f>ROUND(C11/E7,4)</f>
        <v>#DIV/0!</v>
      </c>
      <c r="F11" s="2030" t="s">
        <v>1974</v>
      </c>
      <c r="G11" s="2031"/>
      <c r="H11" s="2031"/>
      <c r="I11" s="2031"/>
      <c r="J11" s="2032"/>
      <c r="K11" s="1119"/>
      <c r="L11" s="2002" t="s">
        <v>1975</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3236</v>
      </c>
      <c r="B12" s="3304" t="s">
        <v>3237</v>
      </c>
      <c r="C12" s="3305">
        <v>1</v>
      </c>
      <c r="D12" s="3306" t="s">
        <v>3238</v>
      </c>
      <c r="E12" s="3307" t="s">
        <v>3239</v>
      </c>
      <c r="F12" s="3308"/>
      <c r="G12" s="3309"/>
      <c r="H12" s="3309"/>
      <c r="I12" s="3309"/>
      <c r="J12" s="3310"/>
      <c r="K12" s="1119"/>
      <c r="L12" s="2038" t="s">
        <v>1978</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3240</v>
      </c>
      <c r="B13" s="2033" t="s">
        <v>1976</v>
      </c>
      <c r="C13" s="755">
        <f>ROUND(C16*D16*E16*F16*G16*H16*I16*J16,4)</f>
        <v>0</v>
      </c>
      <c r="D13" s="2034" t="s">
        <v>1977</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1979</v>
      </c>
      <c r="C14" s="2040" t="s">
        <v>1980</v>
      </c>
      <c r="D14" s="1349" t="s">
        <v>1981</v>
      </c>
      <c r="E14" s="27" t="s">
        <v>1982</v>
      </c>
      <c r="F14" s="3311" t="s">
        <v>3241</v>
      </c>
      <c r="G14" s="3311" t="s">
        <v>3241</v>
      </c>
      <c r="H14" s="3311" t="s">
        <v>3241</v>
      </c>
      <c r="I14" s="3311" t="s">
        <v>3241</v>
      </c>
      <c r="J14" s="3311" t="s">
        <v>3241</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3242</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1983</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3246</v>
      </c>
      <c r="E18" s="3328"/>
      <c r="F18" s="3323" t="s">
        <v>3249</v>
      </c>
      <c r="G18" s="3327">
        <f>ROUND(1-(1/(POWER(1+G24,E18))),4)</f>
        <v>0</v>
      </c>
      <c r="H18" s="3323" t="s">
        <v>3251</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3247</v>
      </c>
      <c r="E19" s="3337"/>
      <c r="F19" s="3338" t="s">
        <v>3250</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17" t="s">
        <v>3252</v>
      </c>
      <c r="B20" s="167" t="s">
        <v>1988</v>
      </c>
      <c r="C20" s="3324">
        <f>ROUND(IF(F21="与级别开发程度一致",0,(G21-E21)/C21),0)</f>
        <v>-16</v>
      </c>
      <c r="D20" s="3340" t="s">
        <v>1992</v>
      </c>
      <c r="E20" s="3341"/>
      <c r="F20" s="3723" t="s">
        <v>1989</v>
      </c>
      <c r="G20" s="3724"/>
      <c r="H20" s="3325" t="s">
        <v>3385</v>
      </c>
      <c r="I20" s="3325" t="s">
        <v>3386</v>
      </c>
      <c r="J20" s="3326" t="s">
        <v>3387</v>
      </c>
      <c r="K20" s="2046" t="s">
        <v>3388</v>
      </c>
      <c r="L20" s="2046" t="s">
        <v>3389</v>
      </c>
      <c r="M20" s="2046" t="s">
        <v>3390</v>
      </c>
      <c r="N20" s="2046" t="s">
        <v>3425</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18"/>
      <c r="B21" s="2163" t="s">
        <v>1991</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3424</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1994</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1995</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3" t="s">
        <v>1996</v>
      </c>
      <c r="E23" s="761">
        <v>44197</v>
      </c>
      <c r="F23" s="2053" t="s">
        <v>1997</v>
      </c>
      <c r="G23" s="762">
        <f>'数据-取费表'!B2</f>
        <v>45496</v>
      </c>
      <c r="H23" s="3342" t="s">
        <v>3254</v>
      </c>
      <c r="I23" s="3343" t="str">
        <f>IF(H23="季度增幅（自定义）",SUMIF(N25:N28,E2,O25:O28),"")</f>
        <v/>
      </c>
      <c r="J23" s="3445" t="s">
        <v>3253</v>
      </c>
      <c r="K23" s="1125"/>
      <c r="L23" s="2054" t="s">
        <v>1998</v>
      </c>
      <c r="M23" s="1327">
        <f>ROUND(SUMIF(地价!B2:G2,E2,地价!B16:G16),0)</f>
        <v>350</v>
      </c>
      <c r="N23" s="2055" t="s">
        <v>1999</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2000</v>
      </c>
      <c r="C24" s="764">
        <f>ROUND(POWER(1+G24,J24-I24)*(POWER(1+G24,I24)-1)/(POWER(1+G24,J24)-1),4)</f>
        <v>1</v>
      </c>
      <c r="D24" s="2059" t="s">
        <v>2001</v>
      </c>
      <c r="E24" s="1334">
        <f>存贷款利率!E24/100</f>
        <v>4.3499999999999997E-2</v>
      </c>
      <c r="F24" s="2059" t="s">
        <v>1993</v>
      </c>
      <c r="G24" s="768">
        <f>SUMIF(M30:Q30,E2,M33:Q33)</f>
        <v>5.5E-2</v>
      </c>
      <c r="H24" s="2059" t="s">
        <v>2002</v>
      </c>
      <c r="I24" s="769">
        <f>SUMIF('数据-取费表'!C6:C15,E2,'数据-取费表'!F6:F15)/COUNTIF('数据-取费表'!C6:C15,E2)</f>
        <v>40</v>
      </c>
      <c r="J24" s="770">
        <f>IF(E2="住宅",70,IF(E2="商业",40,50))</f>
        <v>40</v>
      </c>
      <c r="K24" s="1125"/>
      <c r="L24" s="2060" t="s">
        <v>2003</v>
      </c>
      <c r="M24" s="1328">
        <f>ROUND(SUMPRODUCT((地价!A4:A16=YEAR(G23)&amp;"-"&amp;ROUNDUP(MONTH(G23)/3,0))*(地价!B2:G2=E2)*(地价!B4:G16)),0)</f>
        <v>0</v>
      </c>
      <c r="N24" s="2061" t="s">
        <v>2004</v>
      </c>
      <c r="O24" s="2062" t="s">
        <v>2005</v>
      </c>
      <c r="P24" s="2063" t="s">
        <v>2006</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3426</v>
      </c>
      <c r="C25" s="771">
        <f>IF(B25="容积率修正",IF(G3&lt;10,D26,J26),C27)</f>
        <v>0</v>
      </c>
      <c r="D25" s="2066"/>
      <c r="E25" s="2066"/>
      <c r="F25" s="2066"/>
      <c r="G25" s="2066"/>
      <c r="H25" s="2066"/>
      <c r="I25" s="2066"/>
      <c r="J25" s="2067"/>
      <c r="K25" s="1125"/>
      <c r="L25" s="2787"/>
      <c r="M25" s="2787"/>
      <c r="N25" s="2068" t="s">
        <v>2007</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2008</v>
      </c>
      <c r="B26" s="2069" t="s">
        <v>2009</v>
      </c>
      <c r="C26" s="3344" t="s">
        <v>3255</v>
      </c>
      <c r="D26" s="1351">
        <f>IF(E26=G26,F26,IF(G3&lt;10,ROUND(F26+(H26-F26)*(G3-E26)/(G26-E26),4),"——"))</f>
        <v>1.0940000000000001</v>
      </c>
      <c r="E26" s="752">
        <f>ROUNDDOWN(G3,1)</f>
        <v>1.5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52">
        <f>ROUNDUP(G3,1)</f>
        <v>1.6</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3344" t="s">
        <v>3256</v>
      </c>
      <c r="J26" s="772" t="str">
        <f>IF(G3&gt;=10,D115,"——")</f>
        <v>——</v>
      </c>
      <c r="K26" s="1125"/>
      <c r="L26" s="2787"/>
      <c r="M26" s="2787"/>
      <c r="N26" s="2068" t="s">
        <v>2010</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2011</v>
      </c>
      <c r="B27" s="2070" t="s">
        <v>2012</v>
      </c>
      <c r="C27" s="841">
        <f>ROUND(IF(I3&lt;6,SUMPRODUCT((B106:B110=I3)*(C105:N105=G2)*(C106:N110)),SUMIF(C105:N105,G2,C112:N112)),4)</f>
        <v>0</v>
      </c>
      <c r="D27" s="2045"/>
      <c r="E27" s="2045"/>
      <c r="F27" s="2071"/>
      <c r="G27" s="2072"/>
      <c r="H27" s="2073"/>
      <c r="I27" s="2074"/>
      <c r="J27" s="2075"/>
      <c r="K27" s="1119"/>
      <c r="L27" s="1996"/>
      <c r="M27" s="1996"/>
      <c r="N27" s="2068" t="s">
        <v>2013</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2014</v>
      </c>
      <c r="C28" s="760">
        <f>SUMIF(A47:A101,E2,B47:B101)</f>
        <v>1.0389999999999999</v>
      </c>
      <c r="D28" s="2051"/>
      <c r="E28" s="2076"/>
      <c r="F28" s="2076"/>
      <c r="G28" s="2076"/>
      <c r="H28" s="2076"/>
      <c r="I28" s="2076"/>
      <c r="J28" s="2077"/>
      <c r="K28" s="1125"/>
      <c r="L28" s="2787"/>
      <c r="M28" s="2787"/>
      <c r="N28" s="2078" t="s">
        <v>2015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2016</v>
      </c>
      <c r="C29" s="765"/>
      <c r="D29" s="2023"/>
      <c r="E29" s="2023"/>
      <c r="F29" s="2080"/>
      <c r="G29" s="2023"/>
      <c r="H29" s="2023"/>
      <c r="I29" s="2023"/>
      <c r="J29" s="2024"/>
      <c r="K29" s="1119"/>
      <c r="L29" s="1996"/>
      <c r="M29" s="1996"/>
      <c r="N29" s="2784" t="s">
        <v>2017</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2018</v>
      </c>
      <c r="C30" s="2320">
        <f>IF(B25="容积率修正",E33+SUM(E37:E42),SUM(V2:V16)+SUM(E37:E42))</f>
        <v>5734</v>
      </c>
      <c r="D30" s="2082"/>
      <c r="E30" s="2045"/>
      <c r="F30" s="2083"/>
      <c r="G30" s="2045"/>
      <c r="H30" s="2045"/>
      <c r="I30" s="2045"/>
      <c r="J30" s="2084"/>
      <c r="K30" s="1119"/>
      <c r="L30" s="3350" t="s">
        <v>1930</v>
      </c>
      <c r="M30" s="3351" t="s">
        <v>1984</v>
      </c>
      <c r="N30" s="3351" t="s">
        <v>1985</v>
      </c>
      <c r="O30" s="3351" t="s">
        <v>1986</v>
      </c>
      <c r="P30" s="3351" t="s">
        <v>1987</v>
      </c>
      <c r="Q30" s="3354"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2019</v>
      </c>
      <c r="C31" s="766">
        <f>E34+SUM(I37:I42)</f>
        <v>0</v>
      </c>
      <c r="D31" s="2086"/>
      <c r="E31" s="2087"/>
      <c r="F31" s="2088"/>
      <c r="G31" s="2087"/>
      <c r="H31" s="2087"/>
      <c r="I31" s="2087"/>
      <c r="J31" s="2089"/>
      <c r="K31" s="1119"/>
      <c r="L31" s="3352" t="s">
        <v>1990</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2020</v>
      </c>
      <c r="C32" s="2092" t="s">
        <v>2021</v>
      </c>
      <c r="D32" s="2092" t="s">
        <v>2022</v>
      </c>
      <c r="E32" s="2093" t="s">
        <v>2023</v>
      </c>
      <c r="F32" s="2094"/>
      <c r="G32" s="2036"/>
      <c r="H32" s="2036"/>
      <c r="I32" s="2036"/>
      <c r="J32" s="2037"/>
      <c r="K32" s="1119"/>
      <c r="L32" s="3353" t="s">
        <v>1993</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2024</v>
      </c>
      <c r="C33" s="175">
        <f>ROUND(C5*C22*C23*C24*C25*C28,0)</f>
        <v>0</v>
      </c>
      <c r="D33" s="2097"/>
      <c r="E33" s="773">
        <f>ROUND(C33*D33/10000,0)</f>
        <v>0</v>
      </c>
      <c r="F33" s="3345" t="s">
        <v>3258</v>
      </c>
      <c r="G33" s="2098"/>
      <c r="H33" s="2098"/>
      <c r="I33" s="2098"/>
      <c r="J33" s="2099"/>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2025</v>
      </c>
      <c r="C34" s="187" t="e">
        <f>ROUND(IF(E2="工业",C33*M42,IF(B25="楼层修正",SUM(V2:V16)*M41*10000/D34,C33*M41)),0)</f>
        <v>#DIV/0!</v>
      </c>
      <c r="D34" s="2102"/>
      <c r="E34" s="773">
        <f>ROUND(IF(B25="楼层修正",SUM(V2:V16)*M40,C34*D34/10000),0)</f>
        <v>0</v>
      </c>
      <c r="F34" s="2103" t="s">
        <v>2026</v>
      </c>
      <c r="G34" s="2104"/>
      <c r="H34" s="2104"/>
      <c r="I34" s="2104"/>
      <c r="J34" s="2105"/>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2027</v>
      </c>
      <c r="C35" s="3346" t="s">
        <v>3259</v>
      </c>
      <c r="D35" s="2036"/>
      <c r="E35" s="2108"/>
      <c r="F35" s="2108"/>
      <c r="G35" s="2034" t="s">
        <v>2028</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2021</v>
      </c>
      <c r="D36" s="447" t="s">
        <v>2022</v>
      </c>
      <c r="E36" s="447" t="s">
        <v>2023</v>
      </c>
      <c r="F36" s="342" t="s">
        <v>2029</v>
      </c>
      <c r="G36" s="2111" t="s">
        <v>2021</v>
      </c>
      <c r="H36" s="2111" t="s">
        <v>2022</v>
      </c>
      <c r="I36" s="2111" t="s">
        <v>2023</v>
      </c>
      <c r="J36" s="243"/>
      <c r="K36" s="3356" t="s">
        <v>3263</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21"/>
      <c r="B37" s="2112" t="s">
        <v>2030</v>
      </c>
      <c r="C37" s="175">
        <f>ROUND(D5*C22*C23*C24*C28*F37,0)</f>
        <v>6051</v>
      </c>
      <c r="D37" s="2097"/>
      <c r="E37" s="171">
        <f>ROUND(C37*D37/10000,0)</f>
        <v>0</v>
      </c>
      <c r="F37" s="171">
        <f>SUMIF(修正!A57:A68,G2,修正!B57:B68)</f>
        <v>0.6</v>
      </c>
      <c r="G37" s="171">
        <f>ROUND(IF(E2="工业",C37*$M$42,C37*$M$41),0)</f>
        <v>1513</v>
      </c>
      <c r="H37" s="171">
        <f>D37</f>
        <v>0</v>
      </c>
      <c r="I37" s="171">
        <f>ROUND(G37*H37/10000,0)</f>
        <v>0</v>
      </c>
      <c r="J37" s="3011"/>
      <c r="K37" s="3358" t="s">
        <v>3264</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22"/>
      <c r="B38" s="2040" t="s">
        <v>2031</v>
      </c>
      <c r="C38" s="175">
        <f>ROUND(D5*C22*C23*C24*C28*F38,0)</f>
        <v>3026</v>
      </c>
      <c r="D38" s="2097"/>
      <c r="E38" s="171">
        <f t="shared" ref="E38:E42" si="4">ROUND(C38*D38/10000,0)</f>
        <v>0</v>
      </c>
      <c r="F38" s="171">
        <f>SUMIF(修正!A57:A68,G2,修正!C57:C68)</f>
        <v>0.3</v>
      </c>
      <c r="G38" s="171">
        <f>ROUND(IF(E2="工业",C38*$M$42,C38*$M$41),0)</f>
        <v>757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22"/>
      <c r="B39" s="2040" t="s">
        <v>3257</v>
      </c>
      <c r="C39" s="175">
        <f>ROUND(D5*C22*C23*C24*C28*F39,0)</f>
        <v>2521</v>
      </c>
      <c r="D39" s="2097"/>
      <c r="E39" s="171">
        <f t="shared" si="4"/>
        <v>0</v>
      </c>
      <c r="F39" s="171">
        <f>SUMIF(修正!A57:A68,G2,修正!D57:D68)</f>
        <v>0.25</v>
      </c>
      <c r="G39" s="171">
        <f>ROUND(IF(E2="工业",C39*$M$42,C39*$M$41),0)</f>
        <v>630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2032</v>
      </c>
      <c r="C40" s="171">
        <f>ROUND(D5*C22*C23*C24*C28*F40,0)</f>
        <v>2521</v>
      </c>
      <c r="D40" s="2097"/>
      <c r="E40" s="171">
        <f t="shared" si="4"/>
        <v>0</v>
      </c>
      <c r="F40" s="175">
        <f>SUMIF(修正!A57:A68,G2,修正!E57:E68)</f>
        <v>0.25</v>
      </c>
      <c r="G40" s="171">
        <f>ROUND(IF(E2="工业",C40*$M$42,C40*$M$41),0)</f>
        <v>630</v>
      </c>
      <c r="H40" s="171">
        <f t="shared" si="5"/>
        <v>0</v>
      </c>
      <c r="I40" s="171">
        <f t="shared" si="6"/>
        <v>0</v>
      </c>
      <c r="J40" s="2113"/>
      <c r="L40" s="2115" t="s">
        <v>2033</v>
      </c>
      <c r="M40" s="2116"/>
      <c r="Z40" s="1120"/>
      <c r="AA40" s="1120"/>
      <c r="AB40" s="1120"/>
      <c r="AC40" s="1120"/>
      <c r="AD40" s="1120"/>
      <c r="AE40" s="1120"/>
      <c r="AF40" s="1120"/>
      <c r="AG40" s="1120"/>
      <c r="AH40" s="1120"/>
      <c r="AI40" s="1120"/>
      <c r="AJ40" s="1120"/>
    </row>
    <row r="41" spans="1:37" s="1119" customFormat="1">
      <c r="A41" s="2114"/>
      <c r="B41" s="2040" t="s">
        <v>2034</v>
      </c>
      <c r="C41" s="171">
        <f>ROUND(D5*C22*C23*C44*C28*F41,0)</f>
        <v>2390</v>
      </c>
      <c r="D41" s="2097"/>
      <c r="E41" s="171">
        <f t="shared" si="4"/>
        <v>0</v>
      </c>
      <c r="F41" s="175">
        <f>SUMIF(修正!A57:A68,G2,修正!F57:F68)</f>
        <v>0.25</v>
      </c>
      <c r="G41" s="171">
        <f>ROUND(IF(E2="工业",C41*$M$42,C41*$M$41),0)</f>
        <v>598</v>
      </c>
      <c r="H41" s="171">
        <f t="shared" si="5"/>
        <v>0</v>
      </c>
      <c r="I41" s="171">
        <f t="shared" si="6"/>
        <v>0</v>
      </c>
      <c r="J41" s="2113"/>
      <c r="L41" s="3359" t="s">
        <v>3265</v>
      </c>
      <c r="M41" s="2117">
        <v>0.25</v>
      </c>
      <c r="Z41" s="1120"/>
      <c r="AA41" s="1120"/>
      <c r="AB41" s="1120"/>
      <c r="AC41" s="1120"/>
      <c r="AD41" s="1120"/>
      <c r="AE41" s="1120"/>
      <c r="AF41" s="1120"/>
      <c r="AG41" s="1120"/>
      <c r="AH41" s="1120"/>
      <c r="AI41" s="1120"/>
      <c r="AJ41" s="1120"/>
    </row>
    <row r="42" spans="1:37" s="1119" customFormat="1" ht="13.5" thickBot="1">
      <c r="A42" s="2100"/>
      <c r="B42" s="2118" t="s">
        <v>2035</v>
      </c>
      <c r="C42" s="187">
        <f>ROUND(D5*C22*C23*C44*C28*F42,0)</f>
        <v>1434</v>
      </c>
      <c r="D42" s="2102"/>
      <c r="E42" s="187">
        <f t="shared" si="4"/>
        <v>0</v>
      </c>
      <c r="F42" s="767">
        <f>SUMIF(修正!A57:A68,G2,修正!G57:G68)</f>
        <v>0.15</v>
      </c>
      <c r="G42" s="187">
        <f>ROUND(IF(E2="工业",C42*$M$42,C42*$M$41),0)</f>
        <v>359</v>
      </c>
      <c r="H42" s="187">
        <f t="shared" si="5"/>
        <v>0</v>
      </c>
      <c r="I42" s="187">
        <f t="shared" si="6"/>
        <v>0</v>
      </c>
      <c r="J42" s="2119"/>
      <c r="L42" s="2120" t="s">
        <v>1987</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2116</v>
      </c>
      <c r="C44" s="342">
        <f>ROUND(POWER(1+E44,H44-G44)*(POWER(1+E44,G44)-1)/(POWER(1+E44,H44)-1),4)</f>
        <v>0.94769999999999999</v>
      </c>
      <c r="D44" s="171" t="s">
        <v>1993</v>
      </c>
      <c r="E44" s="2152">
        <f>G24</f>
        <v>5.5E-2</v>
      </c>
      <c r="F44" s="171" t="s">
        <v>2002</v>
      </c>
      <c r="G44" s="183">
        <f>项目基本情况!D15</f>
        <v>40</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2036</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2037</v>
      </c>
      <c r="B48" s="2126">
        <f>1+E50</f>
        <v>1.0389999999999999</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2038</v>
      </c>
      <c r="B49" s="1350" t="s">
        <v>2039</v>
      </c>
      <c r="C49" s="1350" t="s">
        <v>2040</v>
      </c>
      <c r="D49" s="1350" t="s">
        <v>2041</v>
      </c>
      <c r="E49" s="743" t="s">
        <v>2042</v>
      </c>
      <c r="F49" s="2130" t="s">
        <v>2043</v>
      </c>
      <c r="G49" s="1350" t="s">
        <v>310</v>
      </c>
      <c r="H49" s="2131" t="s">
        <v>2044</v>
      </c>
      <c r="I49" s="1350" t="s">
        <v>2045</v>
      </c>
      <c r="J49" s="552" t="s">
        <v>1717</v>
      </c>
      <c r="K49" s="552" t="s">
        <v>1718</v>
      </c>
      <c r="L49" s="552" t="s">
        <v>1719</v>
      </c>
      <c r="M49" s="552" t="s">
        <v>1720</v>
      </c>
      <c r="N49" s="552" t="s">
        <v>1721</v>
      </c>
      <c r="AA49" s="1120"/>
      <c r="AB49" s="1120"/>
      <c r="AC49" s="1120"/>
      <c r="AD49" s="1120"/>
      <c r="AE49" s="1120"/>
      <c r="AF49" s="1120"/>
      <c r="AG49" s="1120"/>
      <c r="AH49" s="1120"/>
      <c r="AI49" s="1120"/>
      <c r="AJ49" s="1120"/>
      <c r="AK49" s="1120"/>
    </row>
    <row r="50" spans="1:37" s="1119" customFormat="1" ht="38.25">
      <c r="A50" s="2129" t="s">
        <v>2046</v>
      </c>
      <c r="B50" s="2132" t="str">
        <f>估价对象房地状况!C4</f>
        <v>估价对象位于XX商圈，周边商业氛围成熟，人流量大，商业繁华度好</v>
      </c>
      <c r="C50" s="2043" t="s">
        <v>3427</v>
      </c>
      <c r="D50" s="1065">
        <f t="shared" ref="D50:D58" si="7">SUMIF($J$49:$N$49,C50,J50:N50)</f>
        <v>0</v>
      </c>
      <c r="E50" s="744">
        <f>ROUND(SUM(D50:D58),4)</f>
        <v>3.9E-2</v>
      </c>
      <c r="F50" s="1813">
        <f>IF(E2="商业",SUMIF(L1:L12,G2,N1:N12),"——")</f>
        <v>0.1</v>
      </c>
      <c r="G50" s="1063">
        <f>H50</f>
        <v>1.4999999999999999E-2</v>
      </c>
      <c r="H50" s="1066">
        <f t="shared" ref="H50:H58" si="8">IFERROR(ROUNDDOWN($F$50*I50/2,4),"——")</f>
        <v>1.4999999999999999E-2</v>
      </c>
      <c r="I50" s="3366">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29" t="s">
        <v>2047</v>
      </c>
      <c r="B51" s="2133" t="str">
        <f>估价对象房地状况!C18</f>
        <v>估价对象周边道路状况、公共交通通达情况、停车便捷程度，综合评价交通便捷度较好</v>
      </c>
      <c r="C51" s="2043" t="s">
        <v>3428</v>
      </c>
      <c r="D51" s="1065">
        <f t="shared" si="7"/>
        <v>1.0999999999999999E-2</v>
      </c>
      <c r="E51" s="745"/>
      <c r="F51" s="1813"/>
      <c r="G51" s="1063">
        <f t="shared" ref="G51:G58" si="12">H51</f>
        <v>1.0999999999999999E-2</v>
      </c>
      <c r="H51" s="1066">
        <f t="shared" si="8"/>
        <v>1.0999999999999999E-2</v>
      </c>
      <c r="I51" s="3366">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8" t="s">
        <v>3267</v>
      </c>
      <c r="B52" s="2133">
        <f>估价对象房地状况!C19</f>
        <v>0</v>
      </c>
      <c r="C52" s="2043" t="s">
        <v>3428</v>
      </c>
      <c r="D52" s="1065">
        <f t="shared" si="7"/>
        <v>6.0000000000000001E-3</v>
      </c>
      <c r="E52" s="745"/>
      <c r="F52" s="1813"/>
      <c r="G52" s="1063">
        <f t="shared" si="12"/>
        <v>6.0000000000000001E-3</v>
      </c>
      <c r="H52" s="1066">
        <f t="shared" si="8"/>
        <v>6.0000000000000001E-3</v>
      </c>
      <c r="I52" s="3366">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29" t="s">
        <v>2048</v>
      </c>
      <c r="B53" s="2134" t="s">
        <v>2049</v>
      </c>
      <c r="C53" s="2043" t="s">
        <v>3428</v>
      </c>
      <c r="D53" s="1065">
        <f t="shared" si="7"/>
        <v>2.5000000000000001E-3</v>
      </c>
      <c r="E53" s="745"/>
      <c r="F53" s="1813"/>
      <c r="G53" s="1063">
        <f t="shared" si="12"/>
        <v>2.5000000000000001E-3</v>
      </c>
      <c r="H53" s="1066">
        <f t="shared" si="8"/>
        <v>2.5000000000000001E-3</v>
      </c>
      <c r="I53" s="3366">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29" t="s">
        <v>2050</v>
      </c>
      <c r="B54" s="2133">
        <f>估价对象房地状况!C24</f>
        <v>0</v>
      </c>
      <c r="C54" s="2043" t="s">
        <v>3428</v>
      </c>
      <c r="D54" s="1065">
        <f t="shared" si="7"/>
        <v>4.0000000000000001E-3</v>
      </c>
      <c r="E54" s="745"/>
      <c r="F54" s="1813"/>
      <c r="G54" s="1063">
        <f t="shared" si="12"/>
        <v>4.0000000000000001E-3</v>
      </c>
      <c r="H54" s="1066">
        <f t="shared" si="8"/>
        <v>4.0000000000000001E-3</v>
      </c>
      <c r="I54" s="3366">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29" t="s">
        <v>2051</v>
      </c>
      <c r="B55" s="2135" t="s">
        <v>2052</v>
      </c>
      <c r="C55" s="2043" t="s">
        <v>3428</v>
      </c>
      <c r="D55" s="1065">
        <f t="shared" si="7"/>
        <v>2.5000000000000001E-3</v>
      </c>
      <c r="E55" s="745"/>
      <c r="F55" s="1813"/>
      <c r="G55" s="1063">
        <f t="shared" si="12"/>
        <v>2.5000000000000001E-3</v>
      </c>
      <c r="H55" s="1066">
        <f t="shared" si="8"/>
        <v>2.5000000000000001E-3</v>
      </c>
      <c r="I55" s="3366">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6" t="s">
        <v>2053</v>
      </c>
      <c r="B56" s="1325" t="str">
        <f>估价对象房地状况!C21</f>
        <v>估价对象所在区域公共配套设施齐备情况</v>
      </c>
      <c r="C56" s="2043" t="s">
        <v>3428</v>
      </c>
      <c r="D56" s="1065">
        <f t="shared" si="7"/>
        <v>2.5000000000000001E-3</v>
      </c>
      <c r="E56" s="745"/>
      <c r="F56" s="1813"/>
      <c r="G56" s="1063">
        <f t="shared" si="12"/>
        <v>2.5000000000000001E-3</v>
      </c>
      <c r="H56" s="1066">
        <f t="shared" si="8"/>
        <v>2.5000000000000001E-3</v>
      </c>
      <c r="I56" s="3366">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6" t="s">
        <v>2054</v>
      </c>
      <c r="B57" s="2133" t="str">
        <f>估价对象房地状况!C22</f>
        <v>估价对象所在区域基础设施水平</v>
      </c>
      <c r="C57" s="2043" t="s">
        <v>3429</v>
      </c>
      <c r="D57" s="1065">
        <f t="shared" si="7"/>
        <v>8.0000000000000002E-3</v>
      </c>
      <c r="E57" s="745"/>
      <c r="F57" s="1813"/>
      <c r="G57" s="1063">
        <f t="shared" si="12"/>
        <v>4.0000000000000001E-3</v>
      </c>
      <c r="H57" s="1066">
        <f t="shared" si="8"/>
        <v>4.0000000000000001E-3</v>
      </c>
      <c r="I57" s="3366">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7" t="s">
        <v>2055</v>
      </c>
      <c r="B58" s="2138" t="str">
        <f>估价对象房地状况!C20</f>
        <v>区域自然环境：；人文环境；综合评价环境状况一般</v>
      </c>
      <c r="C58" s="2043" t="s">
        <v>3428</v>
      </c>
      <c r="D58" s="1065">
        <f t="shared" si="7"/>
        <v>2.5000000000000001E-3</v>
      </c>
      <c r="E58" s="746"/>
      <c r="F58" s="1813"/>
      <c r="G58" s="1063">
        <f t="shared" si="12"/>
        <v>2.5000000000000001E-3</v>
      </c>
      <c r="H58" s="1066">
        <f t="shared" si="8"/>
        <v>2.5000000000000001E-3</v>
      </c>
      <c r="I58" s="3367">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5" t="s">
        <v>2056</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2038</v>
      </c>
      <c r="B60" s="1350"/>
      <c r="C60" s="1350" t="s">
        <v>2040</v>
      </c>
      <c r="D60" s="1350" t="s">
        <v>2041</v>
      </c>
      <c r="E60" s="743" t="s">
        <v>2042</v>
      </c>
      <c r="F60" s="2130" t="s">
        <v>2057</v>
      </c>
      <c r="G60" s="1350" t="s">
        <v>310</v>
      </c>
      <c r="H60" s="2131" t="s">
        <v>2044</v>
      </c>
      <c r="I60" s="1350" t="s">
        <v>2045</v>
      </c>
      <c r="J60" s="552" t="s">
        <v>1717</v>
      </c>
      <c r="K60" s="552" t="s">
        <v>1718</v>
      </c>
      <c r="L60" s="552" t="s">
        <v>1719</v>
      </c>
      <c r="M60" s="552" t="s">
        <v>1720</v>
      </c>
      <c r="N60" s="552" t="s">
        <v>1721</v>
      </c>
      <c r="AA60" s="1120"/>
      <c r="AB60" s="1120"/>
      <c r="AC60" s="1120"/>
      <c r="AD60" s="1120"/>
      <c r="AE60" s="1120"/>
      <c r="AF60" s="1120"/>
      <c r="AG60" s="1120"/>
      <c r="AH60" s="1120"/>
      <c r="AI60" s="1120"/>
      <c r="AJ60" s="1120"/>
      <c r="AK60" s="1120"/>
    </row>
    <row r="61" spans="1:37" s="1119" customFormat="1" ht="38.25">
      <c r="A61" s="2129" t="s">
        <v>2058</v>
      </c>
      <c r="B61" s="2132" t="str">
        <f>估价对象房地状况!C17</f>
        <v>估价对象位于XX商圈，周边办公楼项目较多，入驻率高，办公集聚程度较好</v>
      </c>
      <c r="C61" s="2043"/>
      <c r="D61" s="1065">
        <f t="shared" ref="D61:D69" si="13">SUMIF($J$60:$N$60,C61,J61:N61)</f>
        <v>0</v>
      </c>
      <c r="E61" s="744">
        <f>ROUND(SUM(D61:D69),4)</f>
        <v>0</v>
      </c>
      <c r="F61" s="1813"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29" t="s">
        <v>2047</v>
      </c>
      <c r="B62" s="2133" t="str">
        <f>估价对象房地状况!C18</f>
        <v>估价对象周边道路状况、公共交通通达情况、停车便捷程度，综合评价交通便捷度较好</v>
      </c>
      <c r="C62" s="2043"/>
      <c r="D62" s="1065">
        <f t="shared" si="13"/>
        <v>0</v>
      </c>
      <c r="E62" s="745"/>
      <c r="F62" s="1813"/>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3267</v>
      </c>
      <c r="B63" s="2133">
        <f>估价对象房地状况!C19</f>
        <v>0</v>
      </c>
      <c r="C63" s="2043"/>
      <c r="D63" s="1065">
        <f t="shared" si="13"/>
        <v>0</v>
      </c>
      <c r="E63" s="745"/>
      <c r="F63" s="1813"/>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29" t="s">
        <v>2048</v>
      </c>
      <c r="B64" s="2134" t="s">
        <v>2049</v>
      </c>
      <c r="C64" s="2043"/>
      <c r="D64" s="1065">
        <f t="shared" si="13"/>
        <v>0</v>
      </c>
      <c r="E64" s="745"/>
      <c r="F64" s="1813"/>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29" t="s">
        <v>2050</v>
      </c>
      <c r="B65" s="2133">
        <f>估价对象房地状况!C24</f>
        <v>0</v>
      </c>
      <c r="C65" s="2043"/>
      <c r="D65" s="1065">
        <f t="shared" si="13"/>
        <v>0</v>
      </c>
      <c r="E65" s="745"/>
      <c r="F65" s="1813"/>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29" t="s">
        <v>2051</v>
      </c>
      <c r="B66" s="2135" t="s">
        <v>2052</v>
      </c>
      <c r="C66" s="2043"/>
      <c r="D66" s="1065">
        <f t="shared" si="13"/>
        <v>0</v>
      </c>
      <c r="E66" s="745"/>
      <c r="F66" s="1813"/>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29" t="s">
        <v>2053</v>
      </c>
      <c r="B67" s="1325" t="str">
        <f>估价对象房地状况!C21</f>
        <v>估价对象所在区域公共配套设施齐备情况</v>
      </c>
      <c r="C67" s="2043"/>
      <c r="D67" s="1065">
        <f t="shared" si="13"/>
        <v>0</v>
      </c>
      <c r="E67" s="745"/>
      <c r="F67" s="1813"/>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29" t="s">
        <v>2054</v>
      </c>
      <c r="B68" s="1325" t="str">
        <f>估价对象房地状况!C22</f>
        <v>估价对象所在区域基础设施水平</v>
      </c>
      <c r="C68" s="2043"/>
      <c r="D68" s="1065">
        <f t="shared" si="13"/>
        <v>0</v>
      </c>
      <c r="E68" s="745"/>
      <c r="F68" s="1813"/>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7" t="s">
        <v>2055</v>
      </c>
      <c r="B69" s="2139" t="str">
        <f>估价对象房地状况!C20</f>
        <v>区域自然环境：；人文环境；综合评价环境状况一般</v>
      </c>
      <c r="C69" s="2043"/>
      <c r="D69" s="1065">
        <f t="shared" si="13"/>
        <v>0</v>
      </c>
      <c r="E69" s="746"/>
      <c r="F69" s="1813"/>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5" t="s">
        <v>2059</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2038</v>
      </c>
      <c r="B71" s="1350"/>
      <c r="C71" s="1350" t="s">
        <v>2040</v>
      </c>
      <c r="D71" s="1350" t="s">
        <v>2041</v>
      </c>
      <c r="E71" s="743" t="s">
        <v>2042</v>
      </c>
      <c r="F71" s="2130" t="s">
        <v>2057</v>
      </c>
      <c r="G71" s="1350" t="s">
        <v>310</v>
      </c>
      <c r="H71" s="2131" t="s">
        <v>2044</v>
      </c>
      <c r="I71" s="1350" t="s">
        <v>2045</v>
      </c>
      <c r="J71" s="552" t="s">
        <v>1717</v>
      </c>
      <c r="K71" s="552" t="s">
        <v>1718</v>
      </c>
      <c r="L71" s="552" t="s">
        <v>1719</v>
      </c>
      <c r="M71" s="552" t="s">
        <v>1720</v>
      </c>
      <c r="N71" s="552" t="s">
        <v>1721</v>
      </c>
      <c r="AA71" s="1120"/>
      <c r="AB71" s="1120"/>
      <c r="AC71" s="1120"/>
      <c r="AD71" s="1120"/>
      <c r="AE71" s="1120"/>
      <c r="AF71" s="1120"/>
      <c r="AG71" s="1120"/>
      <c r="AH71" s="1120"/>
      <c r="AI71" s="1120"/>
      <c r="AJ71" s="1120"/>
      <c r="AK71" s="1120"/>
    </row>
    <row r="72" spans="1:37" s="1119" customFormat="1" ht="51">
      <c r="A72" s="2129" t="s">
        <v>2060</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3"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29" t="s">
        <v>2047</v>
      </c>
      <c r="B73" s="2133" t="str">
        <f>估价对象房地状况!C18</f>
        <v>估价对象周边道路状况、公共交通通达情况、停车便捷程度，综合评价交通便捷度较好</v>
      </c>
      <c r="C73" s="2043"/>
      <c r="D73" s="1065">
        <f t="shared" si="18"/>
        <v>0</v>
      </c>
      <c r="E73" s="747"/>
      <c r="F73" s="1813"/>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c r="A74" s="3368" t="s">
        <v>3267</v>
      </c>
      <c r="B74" s="2133">
        <f>估价对象房地状况!C19</f>
        <v>0</v>
      </c>
      <c r="C74" s="2043"/>
      <c r="D74" s="1065">
        <f t="shared" si="18"/>
        <v>0</v>
      </c>
      <c r="E74" s="747"/>
      <c r="F74" s="1813"/>
      <c r="G74" s="1063"/>
      <c r="H74" s="1066" t="str">
        <f t="shared" si="19"/>
        <v>——</v>
      </c>
      <c r="I74" s="3366">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c r="A75" s="2129" t="s">
        <v>2061</v>
      </c>
      <c r="B75" s="2133">
        <f>估价对象房地状况!C24</f>
        <v>0</v>
      </c>
      <c r="C75" s="2043"/>
      <c r="D75" s="1065">
        <f t="shared" si="18"/>
        <v>0</v>
      </c>
      <c r="E75" s="747"/>
      <c r="F75" s="1813"/>
      <c r="G75" s="1063"/>
      <c r="H75" s="1066" t="str">
        <f t="shared" si="19"/>
        <v>——</v>
      </c>
      <c r="I75" s="3366">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c r="A76" s="2129" t="s">
        <v>2053</v>
      </c>
      <c r="B76" s="1325" t="str">
        <f>估价对象房地状况!C21</f>
        <v>估价对象所在区域公共配套设施齐备情况</v>
      </c>
      <c r="C76" s="2043"/>
      <c r="D76" s="1065">
        <f t="shared" si="18"/>
        <v>0</v>
      </c>
      <c r="E76" s="747"/>
      <c r="F76" s="1813"/>
      <c r="G76" s="1063"/>
      <c r="H76" s="1066" t="str">
        <f t="shared" si="19"/>
        <v>——</v>
      </c>
      <c r="I76" s="3366">
        <v>0.08</v>
      </c>
      <c r="J76" s="1064">
        <f t="shared" si="20"/>
        <v>0</v>
      </c>
      <c r="K76" s="1064">
        <f t="shared" si="21"/>
        <v>0</v>
      </c>
      <c r="L76" s="1064">
        <v>0</v>
      </c>
      <c r="M76" s="1064">
        <f t="shared" si="22"/>
        <v>0</v>
      </c>
      <c r="N76" s="1064">
        <f t="shared" si="22"/>
        <v>0</v>
      </c>
      <c r="O76" s="1119"/>
      <c r="P76" s="1119"/>
      <c r="Z76" s="1997"/>
      <c r="AA76" s="2052"/>
      <c r="AG76" s="1121"/>
      <c r="AK76" s="2052"/>
    </row>
    <row r="77" spans="1:37" ht="25.5">
      <c r="A77" s="2129" t="s">
        <v>2054</v>
      </c>
      <c r="B77" s="1325" t="str">
        <f>估价对象房地状况!C22</f>
        <v>估价对象所在区域基础设施水平</v>
      </c>
      <c r="C77" s="2043"/>
      <c r="D77" s="1065">
        <f t="shared" si="18"/>
        <v>0</v>
      </c>
      <c r="E77" s="747"/>
      <c r="F77" s="1813"/>
      <c r="G77" s="1063"/>
      <c r="H77" s="1066" t="str">
        <f t="shared" si="19"/>
        <v>——</v>
      </c>
      <c r="I77" s="3366">
        <v>0.09</v>
      </c>
      <c r="J77" s="1064">
        <f t="shared" si="20"/>
        <v>0</v>
      </c>
      <c r="K77" s="1064">
        <f t="shared" si="21"/>
        <v>0</v>
      </c>
      <c r="L77" s="1064">
        <v>0</v>
      </c>
      <c r="M77" s="1064">
        <f t="shared" si="22"/>
        <v>0</v>
      </c>
      <c r="N77" s="1064">
        <f t="shared" si="22"/>
        <v>0</v>
      </c>
      <c r="O77" s="1119"/>
      <c r="P77" s="1119"/>
      <c r="Z77" s="1997"/>
      <c r="AA77" s="2052"/>
      <c r="AG77" s="1121"/>
      <c r="AK77" s="2052"/>
    </row>
    <row r="78" spans="1:37" ht="24">
      <c r="A78" s="2129" t="s">
        <v>2051</v>
      </c>
      <c r="B78" s="2135" t="s">
        <v>2052</v>
      </c>
      <c r="C78" s="2043"/>
      <c r="D78" s="1065">
        <f t="shared" si="18"/>
        <v>0</v>
      </c>
      <c r="E78" s="747"/>
      <c r="F78" s="1813"/>
      <c r="G78" s="1063"/>
      <c r="H78" s="1066" t="str">
        <f t="shared" si="19"/>
        <v>——</v>
      </c>
      <c r="I78" s="3366">
        <v>0.05</v>
      </c>
      <c r="J78" s="1064">
        <f t="shared" si="20"/>
        <v>0</v>
      </c>
      <c r="K78" s="1064">
        <f t="shared" si="21"/>
        <v>0</v>
      </c>
      <c r="L78" s="1064">
        <v>0</v>
      </c>
      <c r="M78" s="1064">
        <f t="shared" si="22"/>
        <v>0</v>
      </c>
      <c r="N78" s="1064">
        <f t="shared" si="22"/>
        <v>0</v>
      </c>
      <c r="O78" s="1996"/>
      <c r="P78" s="1996"/>
      <c r="Z78" s="1997"/>
      <c r="AA78" s="2052"/>
      <c r="AG78" s="1121"/>
      <c r="AK78" s="2052"/>
    </row>
    <row r="79" spans="1:37" ht="25.5">
      <c r="A79" s="2129" t="s">
        <v>2055</v>
      </c>
      <c r="B79" s="2132" t="str">
        <f>估价对象房地状况!C20</f>
        <v>区域自然环境：；人文环境；综合评价环境状况一般</v>
      </c>
      <c r="C79" s="2043"/>
      <c r="D79" s="1065">
        <f t="shared" si="18"/>
        <v>0</v>
      </c>
      <c r="E79" s="747"/>
      <c r="F79" s="1813"/>
      <c r="G79" s="1063"/>
      <c r="H79" s="1066" t="str">
        <f t="shared" si="19"/>
        <v>——</v>
      </c>
      <c r="I79" s="3366">
        <v>0.12</v>
      </c>
      <c r="J79" s="1064">
        <f t="shared" si="20"/>
        <v>0</v>
      </c>
      <c r="K79" s="1064">
        <f t="shared" si="21"/>
        <v>0</v>
      </c>
      <c r="L79" s="1064">
        <v>0</v>
      </c>
      <c r="M79" s="1064">
        <f t="shared" si="22"/>
        <v>0</v>
      </c>
      <c r="N79" s="1064">
        <f t="shared" si="22"/>
        <v>0</v>
      </c>
      <c r="Z79" s="1997"/>
      <c r="AA79" s="2052"/>
      <c r="AG79" s="1121"/>
      <c r="AK79" s="2052"/>
    </row>
    <row r="80" spans="1:37" ht="24.75" thickBot="1">
      <c r="A80" s="2137" t="s">
        <v>2062</v>
      </c>
      <c r="B80" s="2141"/>
      <c r="C80" s="2043"/>
      <c r="D80" s="1065">
        <f t="shared" si="18"/>
        <v>0</v>
      </c>
      <c r="E80" s="748"/>
      <c r="F80" s="1813"/>
      <c r="G80" s="1063"/>
      <c r="H80" s="1066" t="str">
        <f t="shared" si="19"/>
        <v>——</v>
      </c>
      <c r="I80" s="3367">
        <v>0.05</v>
      </c>
      <c r="J80" s="1064">
        <f t="shared" si="20"/>
        <v>0</v>
      </c>
      <c r="K80" s="1064">
        <f t="shared" si="21"/>
        <v>0</v>
      </c>
      <c r="L80" s="1064">
        <v>0</v>
      </c>
      <c r="M80" s="1064">
        <f t="shared" si="22"/>
        <v>0</v>
      </c>
      <c r="N80" s="1064">
        <f t="shared" si="22"/>
        <v>0</v>
      </c>
      <c r="Z80" s="1997"/>
      <c r="AA80" s="2052"/>
      <c r="AG80" s="1121"/>
      <c r="AK80" s="2052"/>
    </row>
    <row r="81" spans="1:37" ht="15">
      <c r="A81" s="2125" t="s">
        <v>2063</v>
      </c>
      <c r="B81" s="2126">
        <f>1+E83</f>
        <v>1</v>
      </c>
      <c r="C81" s="741"/>
      <c r="D81" s="741"/>
      <c r="E81" s="742"/>
      <c r="F81" s="2128"/>
      <c r="G81" s="3"/>
      <c r="H81" s="3"/>
      <c r="I81" s="3"/>
      <c r="J81" s="4"/>
      <c r="K81" s="4"/>
      <c r="L81" s="4"/>
      <c r="M81" s="4"/>
      <c r="N81" s="4"/>
      <c r="Z81" s="1997"/>
      <c r="AA81" s="2052"/>
      <c r="AG81" s="1121"/>
      <c r="AK81" s="2052"/>
    </row>
    <row r="82" spans="1:37" ht="24.75">
      <c r="A82" s="2129" t="s">
        <v>2038</v>
      </c>
      <c r="B82" s="1350"/>
      <c r="C82" s="1350" t="s">
        <v>2040</v>
      </c>
      <c r="D82" s="1350" t="s">
        <v>2041</v>
      </c>
      <c r="E82" s="743" t="s">
        <v>2042</v>
      </c>
      <c r="F82" s="2130" t="s">
        <v>2057</v>
      </c>
      <c r="G82" s="1350" t="s">
        <v>310</v>
      </c>
      <c r="H82" s="2131" t="s">
        <v>2044</v>
      </c>
      <c r="I82" s="1350" t="s">
        <v>2045</v>
      </c>
      <c r="J82" s="552" t="s">
        <v>1717</v>
      </c>
      <c r="K82" s="552" t="s">
        <v>1718</v>
      </c>
      <c r="L82" s="552" t="s">
        <v>1719</v>
      </c>
      <c r="M82" s="552" t="s">
        <v>1720</v>
      </c>
      <c r="N82" s="552" t="s">
        <v>1721</v>
      </c>
      <c r="Z82" s="1997"/>
      <c r="AA82" s="2052"/>
      <c r="AG82" s="1121"/>
      <c r="AK82" s="2052"/>
    </row>
    <row r="83" spans="1:37" ht="38.25">
      <c r="A83" s="2129" t="s">
        <v>2064</v>
      </c>
      <c r="B83" s="2133" t="str">
        <f>估价对象房地状况!G15</f>
        <v>估价对象位于XX开发区，园区建设成熟度XX，产业集聚程度XX</v>
      </c>
      <c r="C83" s="2043"/>
      <c r="D83" s="1065">
        <f t="shared" ref="D83:D90" si="23">SUMIF($J$82:$N$82,C83,J83:N83)</f>
        <v>0</v>
      </c>
      <c r="E83" s="744">
        <f>ROUND(SUM(D83:D90),4)</f>
        <v>0</v>
      </c>
      <c r="F83" s="1813"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2047</v>
      </c>
      <c r="B84" s="2133" t="str">
        <f>估价对象房地状况!G16</f>
        <v>估价对象周边道路状况、公共交通通达情况、停车便捷程度，综合评价交通便捷度较好</v>
      </c>
      <c r="C84" s="2043"/>
      <c r="D84" s="1065">
        <f t="shared" si="23"/>
        <v>0</v>
      </c>
      <c r="E84" s="747"/>
      <c r="F84" s="1813"/>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3268</v>
      </c>
      <c r="B85" s="2133">
        <f>估价对象房地状况!G17</f>
        <v>0</v>
      </c>
      <c r="C85" s="2043"/>
      <c r="D85" s="1065">
        <f t="shared" si="23"/>
        <v>0</v>
      </c>
      <c r="E85" s="747"/>
      <c r="F85" s="1813"/>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2061</v>
      </c>
      <c r="B86" s="2133">
        <f>估价对象房地状况!G22</f>
        <v>0</v>
      </c>
      <c r="C86" s="2043"/>
      <c r="D86" s="1065">
        <f t="shared" si="23"/>
        <v>0</v>
      </c>
      <c r="E86" s="747"/>
      <c r="F86" s="1813"/>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2053</v>
      </c>
      <c r="B87" s="1325" t="str">
        <f>估价对象房地状况!G19</f>
        <v>估价对象所在区域公共配套设施齐备情况</v>
      </c>
      <c r="C87" s="2043"/>
      <c r="D87" s="1065">
        <f t="shared" si="23"/>
        <v>0</v>
      </c>
      <c r="E87" s="747"/>
      <c r="F87" s="1813"/>
      <c r="G87" s="1063"/>
      <c r="H87" s="1066" t="str">
        <f t="shared" si="24"/>
        <v>——</v>
      </c>
      <c r="I87" s="3366">
        <v>0.06</v>
      </c>
      <c r="J87" s="1064">
        <f t="shared" si="25"/>
        <v>0</v>
      </c>
      <c r="K87" s="1064">
        <f t="shared" si="26"/>
        <v>0</v>
      </c>
      <c r="L87" s="1064">
        <v>0</v>
      </c>
      <c r="M87" s="1064">
        <f t="shared" si="27"/>
        <v>0</v>
      </c>
      <c r="N87" s="1064">
        <f t="shared" si="27"/>
        <v>0</v>
      </c>
    </row>
    <row r="88" spans="1:37" ht="25.5">
      <c r="A88" s="2129" t="s">
        <v>2054</v>
      </c>
      <c r="B88" s="1325" t="str">
        <f>估价对象房地状况!G20</f>
        <v>估价对象所在区域基础设施水平</v>
      </c>
      <c r="C88" s="2043"/>
      <c r="D88" s="1065">
        <f t="shared" si="23"/>
        <v>0</v>
      </c>
      <c r="E88" s="747"/>
      <c r="F88" s="1813"/>
      <c r="G88" s="1063"/>
      <c r="H88" s="1066" t="str">
        <f t="shared" si="24"/>
        <v>——</v>
      </c>
      <c r="I88" s="3366">
        <v>0.12</v>
      </c>
      <c r="J88" s="1064">
        <f t="shared" si="25"/>
        <v>0</v>
      </c>
      <c r="K88" s="1064">
        <f t="shared" si="26"/>
        <v>0</v>
      </c>
      <c r="L88" s="1064">
        <v>0</v>
      </c>
      <c r="M88" s="1064">
        <f t="shared" si="27"/>
        <v>0</v>
      </c>
      <c r="N88" s="1064">
        <f t="shared" si="27"/>
        <v>0</v>
      </c>
    </row>
    <row r="89" spans="1:37" ht="24">
      <c r="A89" s="2129" t="s">
        <v>2051</v>
      </c>
      <c r="B89" s="2135" t="s">
        <v>2065</v>
      </c>
      <c r="C89" s="2043"/>
      <c r="D89" s="1065">
        <f t="shared" si="23"/>
        <v>0</v>
      </c>
      <c r="E89" s="747"/>
      <c r="F89" s="1813"/>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2066</v>
      </c>
      <c r="B90" s="2142" t="str">
        <f>估价对象房地状况!G18</f>
        <v>该园区内是否有污染型企业，绿化情况，卫生条件，整体环境状况判断</v>
      </c>
      <c r="C90" s="2043"/>
      <c r="D90" s="1065">
        <f t="shared" si="23"/>
        <v>0</v>
      </c>
      <c r="E90" s="748"/>
      <c r="F90" s="1813"/>
      <c r="G90" s="1063"/>
      <c r="H90" s="1066" t="str">
        <f t="shared" si="24"/>
        <v>——</v>
      </c>
      <c r="I90" s="3367">
        <v>0.05</v>
      </c>
      <c r="J90" s="1064">
        <f t="shared" si="25"/>
        <v>0</v>
      </c>
      <c r="K90" s="1064">
        <f t="shared" si="26"/>
        <v>0</v>
      </c>
      <c r="L90" s="1064">
        <v>0</v>
      </c>
      <c r="M90" s="1064">
        <f t="shared" si="27"/>
        <v>0</v>
      </c>
      <c r="N90" s="1064">
        <f t="shared" si="27"/>
        <v>0</v>
      </c>
    </row>
    <row r="91" spans="1:37" ht="15">
      <c r="A91" s="3376" t="s">
        <v>2610</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19" t="s">
        <v>3292</v>
      </c>
      <c r="B103" s="3719"/>
      <c r="C103" s="3719"/>
      <c r="D103" s="3719"/>
      <c r="E103" s="3719"/>
      <c r="F103" s="3719"/>
      <c r="G103" s="3719"/>
      <c r="H103" s="3719"/>
      <c r="I103" s="3719"/>
      <c r="J103" s="3719"/>
      <c r="K103" s="3389"/>
      <c r="L103" s="3389"/>
      <c r="M103" s="3389"/>
      <c r="N103" s="3389"/>
    </row>
    <row r="104" spans="1:14">
      <c r="A104" s="3720" t="s">
        <v>3293</v>
      </c>
      <c r="B104" s="3720" t="s">
        <v>3294</v>
      </c>
      <c r="C104" s="3390" t="s">
        <v>3295</v>
      </c>
      <c r="D104" s="3391"/>
      <c r="E104" s="3391"/>
      <c r="F104" s="3391"/>
      <c r="G104" s="3391"/>
      <c r="H104" s="3391"/>
      <c r="I104" s="3391"/>
      <c r="J104" s="3392"/>
      <c r="K104" s="3393"/>
      <c r="L104" s="3393"/>
      <c r="M104" s="3393"/>
      <c r="N104" s="3393"/>
    </row>
    <row r="105" spans="1:14">
      <c r="A105" s="3720"/>
      <c r="B105" s="3720"/>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06"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0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0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0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0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07"/>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0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09" t="s">
        <v>3309</v>
      </c>
      <c r="B113" s="3709"/>
      <c r="C113" s="3709"/>
      <c r="D113" s="3709"/>
      <c r="E113" s="3709"/>
      <c r="F113" s="3709"/>
      <c r="G113" s="3709"/>
      <c r="H113" s="3709"/>
      <c r="I113" s="3709"/>
      <c r="J113" s="370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1.59</v>
      </c>
      <c r="C116" s="3399" t="s">
        <v>3311</v>
      </c>
      <c r="D116" s="3400">
        <f>SUMPRODUCT((A118:A122=F116)*(B117:M117=H116)*B118:M122)</f>
        <v>0.92669999999999997</v>
      </c>
      <c r="E116" s="1999" t="s">
        <v>3312</v>
      </c>
      <c r="F116" s="3401" t="str">
        <f>E2</f>
        <v>商业</v>
      </c>
      <c r="G116" s="1999" t="s">
        <v>3313</v>
      </c>
      <c r="H116" s="3401" t="str">
        <f>G2</f>
        <v>六级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0.97929999999999995</v>
      </c>
      <c r="C118" s="3387">
        <f>B118</f>
        <v>0.97929999999999995</v>
      </c>
      <c r="D118" s="3387">
        <f>ROUND(0.949-0.014*B116,4)</f>
        <v>0.92669999999999997</v>
      </c>
      <c r="E118" s="3387">
        <f>D118</f>
        <v>0.92669999999999997</v>
      </c>
      <c r="F118" s="3387">
        <f>E118</f>
        <v>0.92669999999999997</v>
      </c>
      <c r="G118" s="3387">
        <f>F118</f>
        <v>0.92669999999999997</v>
      </c>
      <c r="H118" s="3387">
        <f>G118</f>
        <v>0.92669999999999997</v>
      </c>
      <c r="I118" s="3387">
        <f>ROUND(0.8486-0.018*B116,4)</f>
        <v>0.82</v>
      </c>
      <c r="J118" s="3387">
        <f t="shared" ref="J118:M122" si="36">I118</f>
        <v>0.82</v>
      </c>
      <c r="K118" s="3387">
        <f t="shared" si="36"/>
        <v>0.82</v>
      </c>
      <c r="L118" s="3387">
        <f t="shared" si="36"/>
        <v>0.82</v>
      </c>
      <c r="M118" s="3410">
        <f t="shared" si="36"/>
        <v>0.82</v>
      </c>
      <c r="N118" s="3397"/>
    </row>
    <row r="119" spans="1:14">
      <c r="A119" s="3409" t="s">
        <v>3327</v>
      </c>
      <c r="B119" s="3387">
        <f>ROUND(0.993-0.0112*B116,4)</f>
        <v>0.97519999999999996</v>
      </c>
      <c r="C119" s="3387">
        <f>B119</f>
        <v>0.97519999999999996</v>
      </c>
      <c r="D119" s="3387">
        <f>ROUND(0.9415-0.0142*B116,4)</f>
        <v>0.91890000000000005</v>
      </c>
      <c r="E119" s="3387">
        <f t="shared" ref="E119:H120" si="37">D119</f>
        <v>0.91890000000000005</v>
      </c>
      <c r="F119" s="3387">
        <f t="shared" si="37"/>
        <v>0.91890000000000005</v>
      </c>
      <c r="G119" s="3387">
        <f t="shared" si="37"/>
        <v>0.91890000000000005</v>
      </c>
      <c r="H119" s="3387">
        <f t="shared" si="37"/>
        <v>0.91890000000000005</v>
      </c>
      <c r="I119" s="3387">
        <f>ROUND(0.838-0.0182*B116,4)</f>
        <v>0.80910000000000004</v>
      </c>
      <c r="J119" s="3387">
        <f t="shared" si="36"/>
        <v>0.80910000000000004</v>
      </c>
      <c r="K119" s="3387">
        <f t="shared" si="36"/>
        <v>0.80910000000000004</v>
      </c>
      <c r="L119" s="3387">
        <f t="shared" si="36"/>
        <v>0.80910000000000004</v>
      </c>
      <c r="M119" s="3410">
        <f t="shared" si="36"/>
        <v>0.80910000000000004</v>
      </c>
      <c r="N119" s="3397"/>
    </row>
    <row r="120" spans="1:14">
      <c r="A120" s="3409" t="s">
        <v>3328</v>
      </c>
      <c r="B120" s="3387">
        <f>ROUND(0.9448-0.0115*B116,4)</f>
        <v>0.92649999999999999</v>
      </c>
      <c r="C120" s="3387">
        <f>B120</f>
        <v>0.92649999999999999</v>
      </c>
      <c r="D120" s="3387">
        <f>ROUND(0.937-0.0145*B116,4)</f>
        <v>0.91390000000000005</v>
      </c>
      <c r="E120" s="3387">
        <f t="shared" si="37"/>
        <v>0.91390000000000005</v>
      </c>
      <c r="F120" s="3387">
        <f t="shared" si="37"/>
        <v>0.91390000000000005</v>
      </c>
      <c r="G120" s="3387">
        <f t="shared" si="37"/>
        <v>0.91390000000000005</v>
      </c>
      <c r="H120" s="3387">
        <f t="shared" si="37"/>
        <v>0.91390000000000005</v>
      </c>
      <c r="I120" s="3387">
        <f>ROUND(0.7965-0.0185*B116,4)</f>
        <v>0.7671</v>
      </c>
      <c r="J120" s="3387">
        <f t="shared" si="36"/>
        <v>0.7671</v>
      </c>
      <c r="K120" s="3387">
        <f t="shared" si="36"/>
        <v>0.7671</v>
      </c>
      <c r="L120" s="3387">
        <f t="shared" si="36"/>
        <v>0.7671</v>
      </c>
      <c r="M120" s="3410">
        <f t="shared" si="36"/>
        <v>0.7671</v>
      </c>
      <c r="N120" s="3397"/>
    </row>
    <row r="121" spans="1:14" ht="13.5" thickBot="1">
      <c r="A121" s="3411" t="s">
        <v>3329</v>
      </c>
      <c r="B121" s="3412">
        <f>ROUND(0.7836-0.012*B116,4)</f>
        <v>0.76449999999999996</v>
      </c>
      <c r="C121" s="3412">
        <f>B121</f>
        <v>0.76449999999999996</v>
      </c>
      <c r="D121" s="3412">
        <f>ROUND(0.753-0.015*B116,4)</f>
        <v>0.72919999999999996</v>
      </c>
      <c r="E121" s="3412">
        <f>D121</f>
        <v>0.72919999999999996</v>
      </c>
      <c r="F121" s="3412">
        <f>E121</f>
        <v>0.72919999999999996</v>
      </c>
      <c r="G121" s="3412">
        <f>ROUND(0.6612-0.018*B116,4)</f>
        <v>0.63260000000000005</v>
      </c>
      <c r="H121" s="3412">
        <f>G121</f>
        <v>0.63260000000000005</v>
      </c>
      <c r="I121" s="3412">
        <f>ROUND(0.5905-0.019*B116,4)</f>
        <v>0.56030000000000002</v>
      </c>
      <c r="J121" s="3412">
        <f t="shared" si="36"/>
        <v>0.56030000000000002</v>
      </c>
      <c r="K121" s="3412">
        <f t="shared" si="36"/>
        <v>0.56030000000000002</v>
      </c>
      <c r="L121" s="3412">
        <f t="shared" si="36"/>
        <v>0.56030000000000002</v>
      </c>
      <c r="M121" s="3413">
        <f t="shared" si="36"/>
        <v>0.56030000000000002</v>
      </c>
      <c r="N121" s="3397"/>
    </row>
    <row r="122" spans="1:14">
      <c r="A122" s="3414" t="s">
        <v>2610</v>
      </c>
      <c r="B122" s="3387">
        <f>ROUND(0.9404-0.0106*B116,4)</f>
        <v>0.92349999999999999</v>
      </c>
      <c r="C122" s="3387">
        <f>B122</f>
        <v>0.92349999999999999</v>
      </c>
      <c r="D122" s="3387">
        <f>ROUND(0.8955-0.0135*B116,4)</f>
        <v>0.874</v>
      </c>
      <c r="E122" s="3387">
        <f t="shared" ref="E122:H122" si="38">D122</f>
        <v>0.874</v>
      </c>
      <c r="F122" s="3387">
        <f t="shared" si="38"/>
        <v>0.874</v>
      </c>
      <c r="G122" s="3387">
        <f t="shared" si="38"/>
        <v>0.874</v>
      </c>
      <c r="H122" s="3387">
        <f t="shared" si="38"/>
        <v>0.874</v>
      </c>
      <c r="I122" s="3387">
        <f>ROUND(0.7632-0.0166*B116,4)</f>
        <v>0.73680000000000001</v>
      </c>
      <c r="J122" s="3387">
        <f t="shared" si="36"/>
        <v>0.73680000000000001</v>
      </c>
      <c r="K122" s="3387">
        <f t="shared" si="36"/>
        <v>0.73680000000000001</v>
      </c>
      <c r="L122" s="3387">
        <f t="shared" si="36"/>
        <v>0.73680000000000001</v>
      </c>
      <c r="M122" s="3410">
        <f t="shared" si="36"/>
        <v>0.73680000000000001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80" zoomScaleNormal="70" zoomScaleSheetLayoutView="80" workbookViewId="0">
      <selection activeCell="D83" sqref="D8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40</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12825</v>
      </c>
      <c r="C2" s="1386" t="s">
        <v>805</v>
      </c>
      <c r="D2" s="1386"/>
      <c r="E2" s="1387"/>
      <c r="F2" s="1388"/>
      <c r="G2" s="2705"/>
      <c r="H2" s="2694"/>
      <c r="I2" s="2694"/>
      <c r="J2" s="2694"/>
      <c r="K2" s="2695"/>
      <c r="L2" s="2694"/>
      <c r="M2" s="2694"/>
    </row>
    <row r="3" spans="1:37" ht="18" customHeight="1" thickBot="1">
      <c r="A3" s="1389" t="s">
        <v>806</v>
      </c>
      <c r="B3" s="1390">
        <f ca="1">IF(ISERROR(B2*10000/F43),0,ROUND(B2*10000/F43,0))</f>
        <v>27259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703</v>
      </c>
      <c r="D5" s="1363" t="s">
        <v>693</v>
      </c>
      <c r="E5" s="1071"/>
      <c r="F5" s="1072"/>
      <c r="G5" s="1383"/>
      <c r="H5" s="299">
        <v>1</v>
      </c>
      <c r="I5" s="300" t="s">
        <v>692</v>
      </c>
      <c r="J5" s="1070">
        <f ca="1">J6+J10+J12</f>
        <v>0</v>
      </c>
      <c r="K5" s="1363" t="s">
        <v>693</v>
      </c>
      <c r="L5" s="1071"/>
      <c r="M5" s="1072"/>
    </row>
    <row r="6" spans="1:37" ht="18" customHeight="1">
      <c r="A6" s="1069" t="s">
        <v>398</v>
      </c>
      <c r="B6" s="3727" t="s">
        <v>694</v>
      </c>
      <c r="C6" s="1074">
        <f ca="1">ROUND(F6*F8*F7*(1-F9)/10000,0)</f>
        <v>702</v>
      </c>
      <c r="D6" s="155" t="s">
        <v>2103</v>
      </c>
      <c r="E6" s="302" t="s">
        <v>696</v>
      </c>
      <c r="F6" s="303">
        <f ca="1">INDIRECT("'数据-取费表'!u"&amp;$G$1)</f>
        <v>4.3</v>
      </c>
      <c r="G6" s="1383"/>
      <c r="H6" s="1069" t="s">
        <v>398</v>
      </c>
      <c r="I6" s="3727" t="s">
        <v>694</v>
      </c>
      <c r="J6" s="301">
        <f ca="1">ROUND(M6*M8*M7*(1-M9)/10000,0)</f>
        <v>0</v>
      </c>
      <c r="K6" s="155" t="s">
        <v>2102</v>
      </c>
      <c r="L6" s="302" t="s">
        <v>696</v>
      </c>
      <c r="M6" s="303">
        <f ca="1">INDIRECT("'数据-取费表'!z"&amp;$G$1)</f>
        <v>0</v>
      </c>
    </row>
    <row r="7" spans="1:37" ht="18" customHeight="1">
      <c r="A7" s="1073"/>
      <c r="B7" s="3728"/>
      <c r="C7" s="1075"/>
      <c r="D7" s="307"/>
      <c r="E7" s="1076" t="s">
        <v>697</v>
      </c>
      <c r="F7" s="303">
        <f ca="1">IF(INDIRECT("'数据-取费表'!ah"&amp;$G$1)="",INDIRECT("'数据-取费表'!k"&amp;$G$1),INDIRECT("'数据-取费表'!ah"&amp;$G$1))</f>
        <v>4704.8599999999997</v>
      </c>
      <c r="G7" s="1383"/>
      <c r="H7" s="304"/>
      <c r="I7" s="3728"/>
      <c r="J7" s="306"/>
      <c r="K7" s="307"/>
      <c r="L7" s="302" t="s">
        <v>697</v>
      </c>
      <c r="M7" s="303">
        <f ca="1">F7</f>
        <v>4704.8599999999997</v>
      </c>
    </row>
    <row r="8" spans="1:37" ht="18" customHeight="1">
      <c r="A8" s="304"/>
      <c r="B8" s="3728"/>
      <c r="C8" s="306"/>
      <c r="D8" s="307"/>
      <c r="E8" s="302" t="s">
        <v>698</v>
      </c>
      <c r="F8" s="303">
        <f ca="1">INDIRECT("'数据-取费表'!ai"&amp;$G$1)</f>
        <v>365</v>
      </c>
      <c r="G8" s="1383"/>
      <c r="H8" s="304"/>
      <c r="I8" s="3728"/>
      <c r="J8" s="306"/>
      <c r="K8" s="307"/>
      <c r="L8" s="302" t="s">
        <v>698</v>
      </c>
      <c r="M8" s="303">
        <f ca="1">INDIRECT("'数据-取费表'!ai"&amp;$G$1)</f>
        <v>365</v>
      </c>
    </row>
    <row r="9" spans="1:37" ht="18" customHeight="1">
      <c r="A9" s="304"/>
      <c r="B9" s="3729"/>
      <c r="C9" s="306"/>
      <c r="D9" s="307"/>
      <c r="E9" s="302" t="s">
        <v>699</v>
      </c>
      <c r="F9" s="312">
        <f ca="1">INDIRECT("'数据-取费表'!w"&amp;$G$1)</f>
        <v>0.05</v>
      </c>
      <c r="G9" s="1383"/>
      <c r="H9" s="304"/>
      <c r="I9" s="3729"/>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2111</v>
      </c>
      <c r="E10" s="313" t="s">
        <v>701</v>
      </c>
      <c r="F10" s="1116" t="s">
        <v>3420</v>
      </c>
      <c r="G10" s="1383"/>
      <c r="H10" s="1069" t="s">
        <v>402</v>
      </c>
      <c r="I10" s="1364" t="s">
        <v>700</v>
      </c>
      <c r="J10" s="301">
        <f ca="1">ROUND(IF(M10="押一",J6/12*M11,IF(M10="押二",J6/12*2*M11,IF(M10="押三",J6/12*3*M11,J11*M11))),0)</f>
        <v>0</v>
      </c>
      <c r="K10" s="1365" t="s">
        <v>2110</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2372</v>
      </c>
      <c r="D13" s="1081" t="s">
        <v>705</v>
      </c>
      <c r="E13" s="1081" t="s">
        <v>706</v>
      </c>
      <c r="F13" s="1082">
        <f ca="1">INDIRECT("'数据-取费表'!y"&amp;$G$1)</f>
        <v>0.72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2117</v>
      </c>
      <c r="D14" s="1344" t="s">
        <v>708</v>
      </c>
      <c r="E14" s="1341"/>
      <c r="F14" s="319"/>
      <c r="G14" s="1383"/>
      <c r="H14" s="982" t="s">
        <v>398</v>
      </c>
      <c r="I14" s="302" t="s">
        <v>709</v>
      </c>
      <c r="J14" s="21">
        <f ca="1">C29</f>
        <v>3294</v>
      </c>
      <c r="K14" s="12"/>
      <c r="L14" s="807"/>
      <c r="M14" s="808"/>
    </row>
    <row r="15" spans="1:37" s="1396" customFormat="1" ht="18" customHeight="1" thickBot="1">
      <c r="A15" s="982" t="s">
        <v>399</v>
      </c>
      <c r="B15" s="302" t="s">
        <v>710</v>
      </c>
      <c r="C15" s="21">
        <f ca="1">ROUND(C14*F15,0)</f>
        <v>106</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17</v>
      </c>
      <c r="K16" s="1087" t="s">
        <v>715</v>
      </c>
      <c r="L16" s="1088"/>
      <c r="M16" s="1072"/>
    </row>
    <row r="17" spans="1:37" s="1396" customFormat="1" ht="18" customHeight="1">
      <c r="A17" s="982" t="s">
        <v>681</v>
      </c>
      <c r="B17" s="302" t="s">
        <v>716</v>
      </c>
      <c r="C17" s="21">
        <f ca="1">ROUND(F17*(F43+INDIRECT("'数据-取费表'!S"&amp;$G$1))/10000,0)</f>
        <v>94</v>
      </c>
      <c r="D17" s="302" t="s">
        <v>717</v>
      </c>
      <c r="E17" s="302" t="s">
        <v>718</v>
      </c>
      <c r="F17" s="23">
        <f>'数据-取费表'!B35</f>
        <v>200</v>
      </c>
      <c r="G17" s="1395"/>
      <c r="H17" s="982" t="s">
        <v>398</v>
      </c>
      <c r="I17" s="302" t="s">
        <v>719</v>
      </c>
      <c r="J17" s="2315">
        <f ca="1">ROUND(IF(AND(项目基本情况!B11="自然人",项目基本情况!B10="北京市"),J6*M17/(1+'数据-取费表'!C42),J18+J19+J20),2)</f>
        <v>0.89</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42</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2359</v>
      </c>
      <c r="D19" s="131" t="s">
        <v>726</v>
      </c>
      <c r="E19" s="1359"/>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71</v>
      </c>
      <c r="D20" s="323" t="s">
        <v>729</v>
      </c>
      <c r="E20" s="302" t="s">
        <v>712</v>
      </c>
      <c r="F20" s="322">
        <f>'数据-取费表'!B37</f>
        <v>0.03</v>
      </c>
      <c r="G20" s="1395"/>
      <c r="H20" s="982" t="s">
        <v>680</v>
      </c>
      <c r="I20" s="155" t="s">
        <v>730</v>
      </c>
      <c r="J20" s="22">
        <f ca="1">ROUND(M20*M21/10000,2)</f>
        <v>0.89</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2957.47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16.47</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81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-17</v>
      </c>
      <c r="K25" s="1095" t="s">
        <v>753</v>
      </c>
      <c r="L25" s="1096"/>
      <c r="M25" s="1097"/>
    </row>
    <row r="26" spans="1:37">
      <c r="A26" s="982" t="s">
        <v>397</v>
      </c>
      <c r="B26" s="302" t="s">
        <v>754</v>
      </c>
      <c r="C26" s="21">
        <f ca="1">ROUND((C19+C20)*F26,0)</f>
        <v>486</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3294</v>
      </c>
      <c r="D29" s="1092"/>
      <c r="E29" s="1090"/>
      <c r="F29" s="1093"/>
      <c r="G29" s="1395"/>
      <c r="H29" s="334" t="s">
        <v>396</v>
      </c>
      <c r="I29" s="335" t="s">
        <v>768</v>
      </c>
      <c r="J29" s="336">
        <f ca="1">ROUND(J26/(1+F40)^F41,0)</f>
        <v>0</v>
      </c>
      <c r="K29" s="337" t="s">
        <v>769</v>
      </c>
      <c r="L29" s="338"/>
      <c r="M29" s="339">
        <f ca="1">INDIRECT("'数据-取费表'!k"&amp;$G$1)</f>
        <v>4704.8599999999997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141</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118.56</v>
      </c>
      <c r="D31" s="1344" t="s">
        <v>720</v>
      </c>
      <c r="E31" s="1343" t="s">
        <v>770</v>
      </c>
      <c r="F31" s="2314" t="str">
        <f>IF(项目基本情况!B11="企业","——",IF(M47="住宅",IF(F6*F7*F8/12/(1+'数据-取费表'!F30)&gt;100000,4%,2.5%),IF(F6*F7*F8/12/(1+'数据-取费表'!F30)&gt;100000,12%,7%)))</f>
        <v>——</v>
      </c>
      <c r="G31" s="1383"/>
      <c r="H31" s="2807" t="s">
        <v>2304</v>
      </c>
      <c r="I31" s="1397"/>
      <c r="J31" s="1398"/>
      <c r="K31" s="2474"/>
      <c r="L31" s="2697"/>
      <c r="M31" s="2698"/>
    </row>
    <row r="32" spans="1:37" ht="18" customHeight="1">
      <c r="A32" s="982" t="s">
        <v>397</v>
      </c>
      <c r="B32" s="302" t="s">
        <v>723</v>
      </c>
      <c r="C32" s="21">
        <f ca="1">IF(项目基本情况!B11="自然人","——",ROUND(C6*F32/(1+'数据-取费表'!C42),2))</f>
        <v>37.44</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80.23</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0.89</v>
      </c>
      <c r="D34" s="324" t="s">
        <v>731</v>
      </c>
      <c r="E34" s="302" t="s">
        <v>732</v>
      </c>
      <c r="F34" s="325">
        <f>'数据-取费表'!B52</f>
        <v>3</v>
      </c>
      <c r="G34" s="1383"/>
      <c r="H34" s="2696"/>
      <c r="I34" s="1397"/>
      <c r="J34" s="1398"/>
      <c r="K34" s="2701"/>
      <c r="L34" s="2702"/>
      <c r="M34" s="2702"/>
    </row>
    <row r="35" spans="1:18" ht="18" customHeight="1">
      <c r="A35" s="1103"/>
      <c r="B35" s="1101"/>
      <c r="C35" s="26"/>
      <c r="D35" s="327"/>
      <c r="E35" s="302" t="s">
        <v>736</v>
      </c>
      <c r="F35" s="303">
        <f ca="1">INDIRECT("'数据-取费表'!r"&amp;$G$1)</f>
        <v>2957.47</v>
      </c>
      <c r="G35" s="1383"/>
      <c r="H35" s="2696"/>
      <c r="I35" s="1397"/>
      <c r="J35" s="1398"/>
      <c r="K35" s="2700"/>
      <c r="L35" s="2699"/>
      <c r="M35" s="2699"/>
    </row>
    <row r="36" spans="1:18" ht="18" customHeight="1">
      <c r="A36" s="1102" t="s">
        <v>402</v>
      </c>
      <c r="B36" s="302" t="s">
        <v>738</v>
      </c>
      <c r="C36" s="21">
        <f ca="1">ROUND(C29*F36,2)</f>
        <v>16.47</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2.37</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3.52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562</v>
      </c>
      <c r="D39" s="1095" t="s">
        <v>773</v>
      </c>
      <c r="E39" s="1096"/>
      <c r="F39" s="1097"/>
      <c r="G39" s="1383"/>
      <c r="H39" s="2699"/>
      <c r="I39" s="1397"/>
      <c r="J39" s="1398"/>
      <c r="K39" s="2703"/>
      <c r="L39" s="2699"/>
      <c r="M39" s="2699"/>
    </row>
    <row r="40" spans="1:18" ht="18" customHeight="1">
      <c r="A40" s="299" t="s">
        <v>395</v>
      </c>
      <c r="B40" s="300" t="s">
        <v>774</v>
      </c>
      <c r="C40" s="301">
        <f ca="1">ROUND(C39*(1-((1+F42)/(1+F40))^F41)/(F40-F42),0)</f>
        <v>12825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470">
        <f ca="1">IF(INDIRECT("'数据-取费表'!af"&amp;$G$1)=0,INDIRECT("'数据-取费表'!ae"&amp;$G$1),INDIRECT("'数据-取费表'!af"&amp;$G$1))</f>
        <v>40</v>
      </c>
      <c r="G41" s="1383"/>
      <c r="H41" s="1190"/>
      <c r="I41" s="1397">
        <f ca="1">C39/C5</f>
        <v>0.79943100995732574</v>
      </c>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27259</v>
      </c>
      <c r="D43" s="337" t="s">
        <v>777</v>
      </c>
      <c r="E43" s="338" t="s">
        <v>778</v>
      </c>
      <c r="F43" s="339">
        <f ca="1">INDIRECT("'数据-取费表'!k"&amp;$G$1)</f>
        <v>4704.8599999999997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-13146</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3416</v>
      </c>
      <c r="K47" s="1415" t="s">
        <v>816</v>
      </c>
      <c r="L47" s="1416">
        <f ca="1">INDIRECT("'数据-取费表'!d"&amp;$G$1)</f>
        <v>40</v>
      </c>
      <c r="M47" s="1379" t="str">
        <f>IF(ISNUMBER(FIND("住宅",C1)),"住宅","非住宅")</f>
        <v>非住宅</v>
      </c>
      <c r="O47" s="1417" t="s">
        <v>403</v>
      </c>
      <c r="P47" s="1418" t="s">
        <v>817</v>
      </c>
      <c r="Q47" s="1419">
        <f ca="1">C40+J29</f>
        <v>12825</v>
      </c>
      <c r="R47" s="1419" t="s">
        <v>818</v>
      </c>
    </row>
    <row r="48" spans="1:18" s="1383" customFormat="1" ht="28.5" thickBot="1">
      <c r="A48" s="1110" t="s">
        <v>438</v>
      </c>
      <c r="B48" s="300" t="s">
        <v>692</v>
      </c>
      <c r="C48" s="1358">
        <f ca="1">C49+C53+C55</f>
        <v>0</v>
      </c>
      <c r="D48" s="1112"/>
      <c r="E48" s="1113"/>
      <c r="F48" s="962"/>
      <c r="G48" s="722"/>
      <c r="H48" s="723"/>
      <c r="I48" s="1420" t="s">
        <v>819</v>
      </c>
      <c r="J48" s="1421" t="s">
        <v>3413</v>
      </c>
      <c r="K48" s="1422" t="s">
        <v>820</v>
      </c>
      <c r="L48" s="1423">
        <f ca="1">INDIRECT("'数据-取费表'!f"&amp;$G$1)</f>
        <v>40</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2104</v>
      </c>
      <c r="E49" s="1371" t="s">
        <v>780</v>
      </c>
      <c r="F49" s="1060"/>
      <c r="G49" s="1424"/>
      <c r="H49" s="723"/>
      <c r="I49" s="1420" t="s">
        <v>823</v>
      </c>
      <c r="J49" s="1425"/>
      <c r="K49" s="1422" t="s">
        <v>824</v>
      </c>
      <c r="L49" s="1426"/>
      <c r="O49" s="1427" t="s">
        <v>405</v>
      </c>
      <c r="P49" s="1418" t="s">
        <v>825</v>
      </c>
      <c r="Q49" s="1419">
        <f ca="1">C29</f>
        <v>3294</v>
      </c>
      <c r="R49" s="1419" t="s">
        <v>818</v>
      </c>
    </row>
    <row r="50" spans="1:18" s="1383" customFormat="1" ht="13.5" thickBot="1">
      <c r="A50" s="976"/>
      <c r="B50" s="979"/>
      <c r="C50" s="1118"/>
      <c r="D50" s="953"/>
      <c r="E50" s="1056" t="s">
        <v>697</v>
      </c>
      <c r="F50" s="1057">
        <f ca="1">F7</f>
        <v>4704.8599999999997</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7495</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'数据-取费表'!J6+0.5%</f>
        <v>7.5000000000000011E-2</v>
      </c>
      <c r="K52" s="1436" t="s">
        <v>833</v>
      </c>
      <c r="L52" s="1437">
        <f>基准地价修正!E44</f>
        <v>5.5E-2</v>
      </c>
      <c r="O52" s="1427" t="s">
        <v>408</v>
      </c>
      <c r="P52" s="1418" t="s">
        <v>834</v>
      </c>
      <c r="Q52" s="1419">
        <f ca="1">J53</f>
        <v>40</v>
      </c>
      <c r="R52" s="1419" t="s">
        <v>835</v>
      </c>
    </row>
    <row r="53" spans="1:18" s="1383" customFormat="1" ht="24.75" thickBot="1">
      <c r="A53" s="1152" t="s">
        <v>440</v>
      </c>
      <c r="B53" s="1372" t="s">
        <v>700</v>
      </c>
      <c r="C53" s="316">
        <f ca="1">ROUND(IF(F53="押一",C49/12*F11,IF(F53="押二",C49/12*2*F11,IF(F53="押三",C49/12*3*F11,C54*F11))),0)</f>
        <v>0</v>
      </c>
      <c r="D53" s="1365" t="s">
        <v>2110</v>
      </c>
      <c r="E53" s="313" t="s">
        <v>701</v>
      </c>
      <c r="F53" s="1116"/>
      <c r="I53" s="1438" t="s">
        <v>836</v>
      </c>
      <c r="J53" s="2167">
        <f ca="1">IF(M47="住宅",IF(D1="——",MAX(J51,L48),MAX(J51,L48-'数据-取费表'!B24)),IF(D1="——",MIN(J51,L48),MIN(J51,L48-'数据-取费表'!B24)))</f>
        <v>40</v>
      </c>
      <c r="K53" s="3725" t="s">
        <v>837</v>
      </c>
      <c r="L53" s="3726"/>
      <c r="O53" s="1417" t="s">
        <v>409</v>
      </c>
      <c r="P53" s="1418" t="s">
        <v>838</v>
      </c>
      <c r="Q53" s="1419">
        <f ca="1">Q47+Q48</f>
        <v>12825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t="s">
        <v>3421</v>
      </c>
      <c r="O55" s="1410" t="s">
        <v>811</v>
      </c>
      <c r="P55" s="1411" t="s">
        <v>812</v>
      </c>
      <c r="Q55" s="1412" t="s">
        <v>813</v>
      </c>
      <c r="R55" s="1412" t="s">
        <v>814</v>
      </c>
    </row>
    <row r="56" spans="1:18" s="1383" customFormat="1" ht="25.5" thickTop="1" thickBot="1">
      <c r="A56" s="957">
        <v>2</v>
      </c>
      <c r="B56" s="958" t="s">
        <v>704</v>
      </c>
      <c r="C56" s="232">
        <f ca="1">C13</f>
        <v>2372</v>
      </c>
      <c r="D56" s="1446"/>
      <c r="E56" s="1447"/>
      <c r="F56" s="1439"/>
      <c r="I56" s="1448" t="s">
        <v>842</v>
      </c>
      <c r="J56" s="1449" t="s">
        <v>3391</v>
      </c>
      <c r="K56" s="1420" t="s">
        <v>843</v>
      </c>
      <c r="L56" s="1423" t="str">
        <f ca="1">IF(L48&lt;J51,"——",L48-J53)</f>
        <v>——</v>
      </c>
      <c r="O56" s="1417" t="s">
        <v>403</v>
      </c>
      <c r="P56" s="1418" t="s">
        <v>817</v>
      </c>
      <c r="Q56" s="1419">
        <f ca="1">C40+J29</f>
        <v>12825</v>
      </c>
      <c r="R56" s="1419" t="s">
        <v>818</v>
      </c>
    </row>
    <row r="57" spans="1:18" s="1383" customFormat="1" ht="24.75" thickBot="1">
      <c r="A57" s="1450"/>
      <c r="B57" s="950" t="s">
        <v>767</v>
      </c>
      <c r="C57" s="238">
        <f ca="1">C29</f>
        <v>3294</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20</v>
      </c>
      <c r="D58" s="960" t="s">
        <v>715</v>
      </c>
      <c r="E58" s="961"/>
      <c r="F58" s="962"/>
      <c r="I58" s="1454" t="s">
        <v>848</v>
      </c>
      <c r="J58" s="1456" t="e">
        <f ca="1">IF(J55&lt;0.4,0.4,J55)</f>
        <v>#VALUE!</v>
      </c>
      <c r="K58" s="1433" t="s">
        <v>849</v>
      </c>
      <c r="L58" s="1423">
        <f ca="1">ROUND(POWER(1+L52,L47-L48)*(POWER(1+L52,L48)-1)/(POWER(1+L52,L47)-1),4)</f>
        <v>1</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f ca="1">ROUND(IF(D1="在建（套用方法）",M59,IF(D1="土地（套用方法）",N59,POWER(1+L52,L47-J51)*(POWER(1+L52,J51)-1)/(POWER(1+L52,L47)-1))),4)</f>
        <v>1.0874999999999999</v>
      </c>
      <c r="M59" s="1379">
        <f ca="1">ROUND(POWER(1+L52,L47-(J51+'数据-取费表'!B24))*(POWER(1+L52,(J51+'数据-取费表'!B24))-1)/(POWER(1+L52,L47)-1),4)</f>
        <v>1.0874999999999999</v>
      </c>
      <c r="N59" s="1379">
        <f ca="1">ROUND(POWER(1+L52,L47-(J51+'数据-取费表'!B20))*(POWER(1+L52,(J51+'数据-取费表'!B20))-1)/(POWER(1+L52,L47)-1),4)</f>
        <v>1.0921000000000001</v>
      </c>
      <c r="O59" s="1427" t="s">
        <v>406</v>
      </c>
      <c r="P59" s="1418" t="s">
        <v>852</v>
      </c>
      <c r="Q59" s="1430">
        <f>L52</f>
        <v>5.5E-2</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f ca="1">L58</f>
        <v>1</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f ca="1">L59</f>
        <v>1.0874999999999999</v>
      </c>
      <c r="R61" s="1419" t="s">
        <v>857</v>
      </c>
    </row>
    <row r="62" spans="1:18" s="1383" customFormat="1" ht="13.5" thickBot="1">
      <c r="A62" s="982" t="s">
        <v>784</v>
      </c>
      <c r="B62" s="949" t="s">
        <v>785</v>
      </c>
      <c r="C62" s="22">
        <f ca="1">IF(项目基本情况!B11="自然人","——",ROUND(F62*F63/10000,2))</f>
        <v>0.89</v>
      </c>
      <c r="D62" s="965" t="s">
        <v>786</v>
      </c>
      <c r="E62" s="950" t="s">
        <v>787</v>
      </c>
      <c r="F62" s="325">
        <f t="shared" si="0"/>
        <v>3</v>
      </c>
      <c r="I62" s="1461" t="s">
        <v>858</v>
      </c>
      <c r="J62" s="1462" t="s">
        <v>859</v>
      </c>
      <c r="K62" s="1462" t="s">
        <v>860</v>
      </c>
      <c r="L62" s="1462" t="s">
        <v>861</v>
      </c>
      <c r="M62" s="1463" t="s">
        <v>862</v>
      </c>
      <c r="O62" s="1417" t="s">
        <v>409</v>
      </c>
      <c r="P62" s="1418" t="s">
        <v>863</v>
      </c>
      <c r="Q62" s="1419">
        <f ca="1">Q56+Q57</f>
        <v>12825</v>
      </c>
      <c r="R62" s="1419" t="s">
        <v>410</v>
      </c>
    </row>
    <row r="63" spans="1:18" s="1383" customFormat="1" ht="13.5" thickBot="1">
      <c r="A63" s="326"/>
      <c r="B63" s="956"/>
      <c r="C63" s="26"/>
      <c r="D63" s="966"/>
      <c r="E63" s="950" t="s">
        <v>788</v>
      </c>
      <c r="F63" s="303">
        <f t="shared" ca="1" si="0"/>
        <v>2957.47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16.47</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2.37</v>
      </c>
      <c r="D65" s="964" t="s">
        <v>743</v>
      </c>
      <c r="E65" s="950" t="s">
        <v>744</v>
      </c>
      <c r="F65" s="330">
        <f t="shared" ca="1" si="0"/>
        <v>1E-3</v>
      </c>
      <c r="I65" s="1461" t="s">
        <v>867</v>
      </c>
      <c r="J65" s="1462">
        <v>40</v>
      </c>
      <c r="K65" s="1462">
        <v>30</v>
      </c>
      <c r="L65" s="1462">
        <v>50</v>
      </c>
      <c r="M65" s="1464">
        <v>0.02</v>
      </c>
      <c r="O65" s="1417" t="s">
        <v>403</v>
      </c>
      <c r="P65" s="1418" t="s">
        <v>868</v>
      </c>
      <c r="Q65" s="1419">
        <f ca="1">C40+J29</f>
        <v>12825</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-20</v>
      </c>
      <c r="D67" s="963" t="s">
        <v>753</v>
      </c>
      <c r="E67" s="968"/>
      <c r="F67" s="969"/>
      <c r="O67" s="1427" t="s">
        <v>405</v>
      </c>
      <c r="P67" s="1418" t="s">
        <v>850</v>
      </c>
      <c r="Q67" s="1465">
        <f ca="1">L51</f>
        <v>7495</v>
      </c>
      <c r="R67" s="1419" t="s">
        <v>870</v>
      </c>
    </row>
    <row r="68" spans="1:18" s="1383" customFormat="1" ht="16.5" thickBot="1">
      <c r="A68" s="947" t="s">
        <v>395</v>
      </c>
      <c r="B68" s="948" t="s">
        <v>774</v>
      </c>
      <c r="C68" s="301">
        <f ca="1">ROUND(C67*(1-((1+F70)/(1+F68))^F69)/(F68-F70),0)</f>
        <v>-321</v>
      </c>
      <c r="D68" s="965" t="s">
        <v>758</v>
      </c>
      <c r="E68" s="950" t="s">
        <v>759</v>
      </c>
      <c r="F68" s="312">
        <f ca="1">F40</f>
        <v>5.5E-2</v>
      </c>
      <c r="O68" s="1427" t="s">
        <v>406</v>
      </c>
      <c r="P68" s="1466" t="s">
        <v>871</v>
      </c>
      <c r="Q68" s="1419">
        <f ca="1">ROUND(Q69-Q70*Q71,0)</f>
        <v>396</v>
      </c>
      <c r="R68" s="1419" t="s">
        <v>414</v>
      </c>
    </row>
    <row r="69" spans="1:18" s="1383" customFormat="1" ht="13.5" thickBot="1">
      <c r="A69" s="951"/>
      <c r="B69" s="952"/>
      <c r="C69" s="306"/>
      <c r="D69" s="970" t="s">
        <v>762</v>
      </c>
      <c r="E69" s="950" t="s">
        <v>763</v>
      </c>
      <c r="F69" s="333">
        <f ca="1">F41</f>
        <v>40</v>
      </c>
      <c r="O69" s="1427" t="s">
        <v>411</v>
      </c>
      <c r="P69" s="1466" t="s">
        <v>872</v>
      </c>
      <c r="Q69" s="1419">
        <f ca="1">C39</f>
        <v>562</v>
      </c>
      <c r="R69" s="1419" t="s">
        <v>818</v>
      </c>
    </row>
    <row r="70" spans="1:18" s="1383" customFormat="1" ht="13.5" thickBot="1">
      <c r="A70" s="954"/>
      <c r="B70" s="955"/>
      <c r="C70" s="310"/>
      <c r="D70" s="966"/>
      <c r="E70" s="950" t="s">
        <v>766</v>
      </c>
      <c r="F70" s="1054"/>
      <c r="O70" s="1427" t="s">
        <v>412</v>
      </c>
      <c r="P70" s="1466" t="s">
        <v>873</v>
      </c>
      <c r="Q70" s="1419">
        <f ca="1">C13</f>
        <v>2372</v>
      </c>
      <c r="R70" s="1419" t="s">
        <v>818</v>
      </c>
    </row>
    <row r="71" spans="1:18" s="1383" customFormat="1" ht="13.5" thickBot="1">
      <c r="A71" s="971" t="s">
        <v>396</v>
      </c>
      <c r="B71" s="972" t="s">
        <v>776</v>
      </c>
      <c r="C71" s="336">
        <f ca="1">ROUND(C68*10000/F71,0)</f>
        <v>-682</v>
      </c>
      <c r="D71" s="973" t="s">
        <v>777</v>
      </c>
      <c r="E71" s="974" t="s">
        <v>778</v>
      </c>
      <c r="F71" s="339">
        <f ca="1">F43</f>
        <v>4704.8599999999997</v>
      </c>
      <c r="O71" s="1427" t="s">
        <v>413</v>
      </c>
      <c r="P71" s="1466" t="s">
        <v>874</v>
      </c>
      <c r="Q71" s="1430">
        <f ca="1">C76</f>
        <v>7.0000000000000007E-2</v>
      </c>
      <c r="R71" s="1419"/>
    </row>
    <row r="72" spans="1:18" s="1383" customFormat="1" ht="13.5" thickBot="1">
      <c r="B72" s="726"/>
      <c r="C72" s="726"/>
      <c r="O72" s="1427" t="s">
        <v>407</v>
      </c>
      <c r="P72" s="1418" t="s">
        <v>852</v>
      </c>
      <c r="Q72" s="1430">
        <f>L52</f>
        <v>5.5E-2</v>
      </c>
      <c r="R72" s="1419"/>
    </row>
    <row r="73" spans="1:18" ht="16.5" thickBot="1">
      <c r="A73" s="1383"/>
      <c r="B73" s="726"/>
      <c r="C73" s="726"/>
      <c r="D73" s="1383"/>
      <c r="E73" s="1383"/>
      <c r="F73" s="1383"/>
      <c r="O73" s="1427" t="s">
        <v>408</v>
      </c>
      <c r="P73" s="1418" t="s">
        <v>855</v>
      </c>
      <c r="Q73" s="1419">
        <f ca="1">L58</f>
        <v>1</v>
      </c>
      <c r="R73" s="1419" t="s">
        <v>856</v>
      </c>
    </row>
    <row r="74" spans="1:18" ht="13.5" thickBot="1">
      <c r="A74" s="1383"/>
      <c r="B74" s="273" t="s">
        <v>875</v>
      </c>
      <c r="C74" s="1468"/>
      <c r="D74" s="1383"/>
      <c r="E74" s="1383"/>
      <c r="F74" s="1383"/>
      <c r="O74" s="1427" t="s">
        <v>415</v>
      </c>
      <c r="P74" s="1418" t="str">
        <f>K59</f>
        <v>建筑物剩余耐用年限下的土地年期修正系数Kn</v>
      </c>
      <c r="Q74" s="1419">
        <f ca="1">L59</f>
        <v>1.0874999999999999</v>
      </c>
      <c r="R74" s="1419" t="s">
        <v>857</v>
      </c>
    </row>
    <row r="75" spans="1:18" ht="13.5" thickBot="1">
      <c r="A75" s="1383"/>
      <c r="B75" s="340" t="s">
        <v>795</v>
      </c>
      <c r="C75" s="341">
        <f ca="1">ROUND(C13*C76,0)</f>
        <v>166</v>
      </c>
      <c r="D75" s="1383"/>
      <c r="E75" s="1383"/>
      <c r="F75" s="1383"/>
      <c r="K75" s="1401"/>
      <c r="L75" s="1383"/>
      <c r="O75" s="1417" t="s">
        <v>409</v>
      </c>
      <c r="P75" s="1418" t="s">
        <v>838</v>
      </c>
      <c r="Q75" s="1419">
        <f ca="1">Q65+Q66</f>
        <v>12825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0.70500000000000007</v>
      </c>
    </row>
    <row r="80" spans="1:18">
      <c r="B80" s="340" t="s">
        <v>800</v>
      </c>
      <c r="C80" s="274">
        <f ca="1">ROUND(C75/C39,3)</f>
        <v>0.29499999999999998</v>
      </c>
    </row>
    <row r="81" spans="2:3">
      <c r="B81" s="270" t="s">
        <v>801</v>
      </c>
      <c r="C81" s="238"/>
    </row>
    <row r="82" spans="2:3">
      <c r="B82" s="273" t="s">
        <v>802</v>
      </c>
      <c r="C82" s="275">
        <f ca="1">1-C83</f>
        <v>0.81499999999999995</v>
      </c>
    </row>
    <row r="83" spans="2:3">
      <c r="B83" s="273" t="s">
        <v>803</v>
      </c>
      <c r="C83" s="274">
        <f ca="1">ROUND(C13/C40,3)</f>
        <v>0.185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27" t="s">
        <v>694</v>
      </c>
      <c r="C6" s="1074">
        <f ca="1">ROUND(F6*F8*F7*(1-F9),0)</f>
        <v>0</v>
      </c>
      <c r="D6" s="155" t="s">
        <v>2100</v>
      </c>
      <c r="E6" s="302" t="s">
        <v>696</v>
      </c>
      <c r="F6" s="303">
        <f ca="1">INDIRECT("'数据-取费表'!u"&amp;$G$1)</f>
        <v>0</v>
      </c>
      <c r="G6" s="1383"/>
      <c r="H6" s="1069" t="s">
        <v>398</v>
      </c>
      <c r="I6" s="3727" t="s">
        <v>694</v>
      </c>
      <c r="J6" s="301">
        <f ca="1">ROUND(M6*M8*M7*(1-M9),0)</f>
        <v>0</v>
      </c>
      <c r="K6" s="1375" t="s">
        <v>2101</v>
      </c>
      <c r="L6" s="302" t="s">
        <v>696</v>
      </c>
      <c r="M6" s="303">
        <f ca="1">INDIRECT("'数据-取费表'!z"&amp;$G$1)</f>
        <v>0</v>
      </c>
    </row>
    <row r="7" spans="1:37" ht="18" customHeight="1">
      <c r="A7" s="1073"/>
      <c r="B7" s="3728"/>
      <c r="C7" s="1075"/>
      <c r="D7" s="307"/>
      <c r="E7" s="1076" t="s">
        <v>697</v>
      </c>
      <c r="F7" s="303">
        <f ca="1">IF(INDIRECT("'数据-取费表'!ah"&amp;$G$1)="",INDIRECT("'数据-取费表'!k"&amp;$G$1),INDIRECT("'数据-取费表'!ah"&amp;$G$1))</f>
        <v>0</v>
      </c>
      <c r="G7" s="1383"/>
      <c r="H7" s="304"/>
      <c r="I7" s="3728"/>
      <c r="J7" s="306"/>
      <c r="K7" s="307"/>
      <c r="L7" s="302" t="s">
        <v>697</v>
      </c>
      <c r="M7" s="303">
        <f ca="1">F7</f>
        <v>0</v>
      </c>
    </row>
    <row r="8" spans="1:37" ht="18" customHeight="1">
      <c r="A8" s="304"/>
      <c r="B8" s="3728"/>
      <c r="C8" s="306"/>
      <c r="D8" s="307"/>
      <c r="E8" s="302" t="s">
        <v>698</v>
      </c>
      <c r="F8" s="303">
        <f ca="1">INDIRECT("'数据-取费表'!ai"&amp;$G$1)</f>
        <v>0</v>
      </c>
      <c r="G8" s="1383"/>
      <c r="H8" s="304"/>
      <c r="I8" s="3728"/>
      <c r="J8" s="306"/>
      <c r="K8" s="307"/>
      <c r="L8" s="302" t="s">
        <v>698</v>
      </c>
      <c r="M8" s="303">
        <f ca="1">INDIRECT("'数据-取费表'!ai"&amp;$G$1)</f>
        <v>0</v>
      </c>
    </row>
    <row r="9" spans="1:37" ht="18" customHeight="1">
      <c r="A9" s="304"/>
      <c r="B9" s="3729"/>
      <c r="C9" s="306"/>
      <c r="D9" s="307"/>
      <c r="E9" s="302" t="s">
        <v>699</v>
      </c>
      <c r="F9" s="312">
        <f ca="1">INDIRECT("'数据-取费表'!w"&amp;$G$1)</f>
        <v>0</v>
      </c>
      <c r="G9" s="1383"/>
      <c r="H9" s="304"/>
      <c r="I9" s="372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2110</v>
      </c>
      <c r="E10" s="313" t="s">
        <v>701</v>
      </c>
      <c r="F10" s="1116"/>
      <c r="G10" s="1383"/>
      <c r="H10" s="1069" t="s">
        <v>402</v>
      </c>
      <c r="I10" s="1364" t="s">
        <v>700</v>
      </c>
      <c r="J10" s="301">
        <f ca="1">ROUND(IF(M10="押一",J6/12*M11,IF(M10="押二",J6/12*2*M11,IF(M10="押三",J6/12*3*M11,J11*M11))),0)</f>
        <v>0</v>
      </c>
      <c r="K10" s="1376" t="s">
        <v>2112</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2304</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3</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t="e">
        <f ca="1">ROUND((C68-C40)/10000,4)</f>
        <v>#DIV/0!</v>
      </c>
      <c r="D45" s="3431" t="s">
        <v>3349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0</v>
      </c>
      <c r="K53" s="3725" t="s">
        <v>837</v>
      </c>
      <c r="L53" s="372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3</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4" t="s">
        <v>2313</v>
      </c>
      <c r="B2" s="2842" t="e">
        <f>IF(D2="——",C40,C40+E2)</f>
        <v>#DIV/0!</v>
      </c>
      <c r="C2" s="2843" t="s">
        <v>2314</v>
      </c>
      <c r="D2" s="3442" t="s">
        <v>3355</v>
      </c>
      <c r="E2" s="3443"/>
      <c r="F2" s="2845"/>
      <c r="G2" s="2846"/>
      <c r="H2" s="2847"/>
      <c r="I2" s="2848"/>
      <c r="J2" s="3730" t="s">
        <v>2315</v>
      </c>
      <c r="K2" s="3731"/>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t="e">
        <f>ROUND(B2*10000/B4,0)</f>
        <v>#DIV/0!</v>
      </c>
      <c r="C3" s="2843" t="s">
        <v>2324</v>
      </c>
      <c r="D3" s="2843"/>
      <c r="E3" s="2844"/>
      <c r="F3" s="2845"/>
      <c r="G3" s="2846"/>
      <c r="H3" s="2847"/>
      <c r="I3" s="2848"/>
      <c r="J3" s="3732" t="s">
        <v>2325</v>
      </c>
      <c r="K3" s="3733"/>
      <c r="L3" s="2855"/>
      <c r="M3" s="2855"/>
      <c r="N3" s="2855"/>
      <c r="O3" s="2855"/>
      <c r="P3" s="2855"/>
      <c r="Q3" s="2856"/>
      <c r="R3" s="2857">
        <f>SUM(L3:Q3)</f>
        <v>0</v>
      </c>
      <c r="S3" s="2840"/>
      <c r="T3" s="2840"/>
      <c r="U3" s="2840"/>
      <c r="V3" s="2848"/>
    </row>
    <row r="4" spans="1:22" s="2852" customFormat="1" ht="13.15" customHeight="1">
      <c r="A4" s="2858" t="s">
        <v>2326</v>
      </c>
      <c r="B4" s="2859"/>
      <c r="C4" s="2843"/>
      <c r="D4" s="2843"/>
      <c r="E4" s="2844"/>
      <c r="F4" s="2845"/>
      <c r="G4" s="2846"/>
      <c r="H4" s="2847"/>
      <c r="I4" s="2848"/>
      <c r="J4" s="3732" t="s">
        <v>2327</v>
      </c>
      <c r="K4" s="3733"/>
      <c r="L4" s="2860"/>
      <c r="M4" s="2860"/>
      <c r="N4" s="2860"/>
      <c r="O4" s="2860"/>
      <c r="P4" s="2860"/>
      <c r="Q4" s="2861"/>
      <c r="R4" s="2862">
        <f>SUM(L4:Q4)</f>
        <v>0</v>
      </c>
      <c r="S4" s="2840"/>
      <c r="T4" s="2840"/>
      <c r="U4" s="2840"/>
      <c r="V4" s="2848"/>
    </row>
    <row r="5" spans="1:22" s="2852" customFormat="1" ht="13.15" customHeight="1" thickBot="1">
      <c r="A5" s="2863" t="s">
        <v>2328</v>
      </c>
      <c r="B5" s="2864"/>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734" t="s">
        <v>2331</v>
      </c>
      <c r="B6" s="3735"/>
      <c r="C6" s="3736"/>
      <c r="D6" s="2869"/>
      <c r="E6" s="2870"/>
      <c r="F6" s="2871"/>
      <c r="G6" s="2872"/>
      <c r="H6" s="2847"/>
      <c r="I6" s="2848"/>
      <c r="J6" s="3737">
        <v>1</v>
      </c>
      <c r="K6" s="3738"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SUM(D9,D10,D11,D17,0)</f>
        <v>0</v>
      </c>
      <c r="E7" s="2879" t="e">
        <f>E9+E10+E11+E17</f>
        <v>#DIV/0!</v>
      </c>
      <c r="F7" s="2880"/>
      <c r="G7" s="2881"/>
      <c r="H7" s="2847"/>
      <c r="I7" s="2848"/>
      <c r="J7" s="3737"/>
      <c r="K7" s="3739"/>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741" t="s">
        <v>2345</v>
      </c>
      <c r="C8" s="3742"/>
      <c r="D8" s="2888" t="s">
        <v>2346</v>
      </c>
      <c r="E8" s="2889" t="s">
        <v>2347</v>
      </c>
      <c r="F8" s="2890" t="s">
        <v>2348</v>
      </c>
      <c r="G8" s="2891"/>
      <c r="H8" s="2847"/>
      <c r="I8" s="2848"/>
      <c r="J8" s="3737"/>
      <c r="K8" s="3739"/>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741" t="s">
        <v>2351</v>
      </c>
      <c r="C9" s="3742"/>
      <c r="D9" s="2888">
        <f>ROUND(D6*E9,0)</f>
        <v>0</v>
      </c>
      <c r="E9" s="2892"/>
      <c r="F9" s="2893" t="s">
        <v>2352</v>
      </c>
      <c r="G9" s="2872"/>
      <c r="H9" s="2847"/>
      <c r="I9" s="2848"/>
      <c r="J9" s="3737"/>
      <c r="K9" s="3739"/>
      <c r="L9" s="2882" t="s">
        <v>2353</v>
      </c>
      <c r="M9" s="2883"/>
      <c r="N9" s="2859"/>
      <c r="O9" s="2884"/>
      <c r="P9" s="2884"/>
      <c r="Q9" s="2885">
        <v>365</v>
      </c>
      <c r="R9" s="2886">
        <f t="shared" si="0"/>
        <v>0</v>
      </c>
      <c r="S9" s="2840"/>
      <c r="T9" s="2840"/>
      <c r="U9" s="2840"/>
      <c r="V9" s="2848"/>
    </row>
    <row r="10" spans="1:22" s="2852" customFormat="1" ht="13.15" customHeight="1">
      <c r="A10" s="2887">
        <v>2</v>
      </c>
      <c r="B10" s="3741" t="s">
        <v>2354</v>
      </c>
      <c r="C10" s="3742"/>
      <c r="D10" s="2888">
        <f>ROUND(D6*E10,0)</f>
        <v>0</v>
      </c>
      <c r="E10" s="2892"/>
      <c r="F10" s="2893" t="s">
        <v>2355</v>
      </c>
      <c r="G10" s="2872"/>
      <c r="H10" s="2847"/>
      <c r="I10" s="2848"/>
      <c r="J10" s="3737"/>
      <c r="K10" s="3739"/>
      <c r="L10" s="2882" t="s">
        <v>2356</v>
      </c>
      <c r="M10" s="2883"/>
      <c r="N10" s="2859"/>
      <c r="O10" s="2884"/>
      <c r="P10" s="2884"/>
      <c r="Q10" s="2885">
        <v>365</v>
      </c>
      <c r="R10" s="2886">
        <f t="shared" si="0"/>
        <v>0</v>
      </c>
      <c r="S10" s="2840"/>
      <c r="T10" s="2840"/>
      <c r="U10" s="2840"/>
      <c r="V10" s="2848"/>
    </row>
    <row r="11" spans="1:22" s="2852" customFormat="1" ht="13.15" customHeight="1">
      <c r="A11" s="2887">
        <v>3</v>
      </c>
      <c r="B11" s="3741" t="s">
        <v>2357</v>
      </c>
      <c r="C11" s="3742"/>
      <c r="D11" s="2888">
        <f>D12+D14+D15+D16</f>
        <v>0</v>
      </c>
      <c r="E11" s="2894" t="e">
        <f>D11/D6</f>
        <v>#DIV/0!</v>
      </c>
      <c r="F11" s="2890"/>
      <c r="G11" s="2891"/>
      <c r="H11" s="2847"/>
      <c r="I11" s="2848"/>
      <c r="J11" s="3737"/>
      <c r="K11" s="3739"/>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743" t="s">
        <v>2360</v>
      </c>
      <c r="C12" s="3744"/>
      <c r="D12" s="2896">
        <f>ROUND(D13*1.2%*(1-30%),0)</f>
        <v>0</v>
      </c>
      <c r="E12" s="2897">
        <v>1.2E-2</v>
      </c>
      <c r="F12" s="2890" t="s">
        <v>2361</v>
      </c>
      <c r="G12" s="2891"/>
      <c r="H12" s="2847"/>
      <c r="I12" s="2848"/>
      <c r="J12" s="3737"/>
      <c r="K12" s="3739"/>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c r="E13" s="2901"/>
      <c r="F13" s="2890"/>
      <c r="G13" s="2891"/>
      <c r="H13" s="2847"/>
      <c r="I13" s="2848"/>
      <c r="J13" s="3737"/>
      <c r="K13" s="3739"/>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743" t="s">
        <v>2366</v>
      </c>
      <c r="C14" s="3744"/>
      <c r="D14" s="2896">
        <f>ROUND(E14*B5/10000,0)</f>
        <v>0</v>
      </c>
      <c r="E14" s="2885"/>
      <c r="F14" s="2890" t="s">
        <v>2367</v>
      </c>
      <c r="G14" s="2891"/>
      <c r="H14" s="2847"/>
      <c r="I14" s="2848"/>
      <c r="J14" s="3737"/>
      <c r="K14" s="3740"/>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743" t="s">
        <v>2370</v>
      </c>
      <c r="C15" s="3744"/>
      <c r="D15" s="2896">
        <f>ROUND(D6*E15,0)</f>
        <v>0</v>
      </c>
      <c r="E15" s="2897">
        <v>5.5E-2</v>
      </c>
      <c r="F15" s="2890" t="s">
        <v>2371</v>
      </c>
      <c r="G15" s="2872"/>
      <c r="H15" s="2847"/>
      <c r="I15" s="2848"/>
      <c r="J15" s="3737">
        <v>2</v>
      </c>
      <c r="K15" s="3738"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743" t="s">
        <v>2379</v>
      </c>
      <c r="C16" s="3744"/>
      <c r="D16" s="2907">
        <f>D6*E16</f>
        <v>0</v>
      </c>
      <c r="E16" s="2908"/>
      <c r="F16" s="2893" t="s">
        <v>2380</v>
      </c>
      <c r="G16" s="2872"/>
      <c r="H16" s="2847"/>
      <c r="I16" s="2848"/>
      <c r="J16" s="3737"/>
      <c r="K16" s="3739"/>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745" t="s">
        <v>2382</v>
      </c>
      <c r="C17" s="3746"/>
      <c r="D17" s="2910">
        <f>ROUND(D6*E17,0)</f>
        <v>0</v>
      </c>
      <c r="E17" s="2911"/>
      <c r="F17" s="2912" t="s">
        <v>2383</v>
      </c>
      <c r="G17" s="2872"/>
      <c r="H17" s="2847"/>
      <c r="I17" s="2848"/>
      <c r="J17" s="3737"/>
      <c r="K17" s="3739"/>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0</v>
      </c>
      <c r="E18" s="2914"/>
      <c r="F18" s="2915" t="s">
        <v>2386</v>
      </c>
      <c r="G18" s="2872"/>
      <c r="H18" s="2847"/>
      <c r="I18" s="2848"/>
      <c r="J18" s="3737"/>
      <c r="K18" s="3739"/>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737"/>
      <c r="K19" s="3740"/>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7">
        <v>3</v>
      </c>
      <c r="K20" s="3738"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737"/>
      <c r="K21" s="3739"/>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737"/>
      <c r="K22" s="3739"/>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0</v>
      </c>
      <c r="D23" s="2933">
        <f>C23*(1+D24)</f>
        <v>0</v>
      </c>
      <c r="E23" s="2934">
        <f>D23*(1+E24)</f>
        <v>0</v>
      </c>
      <c r="F23" s="2935"/>
      <c r="G23" s="2936"/>
      <c r="H23" s="2847"/>
      <c r="I23" s="2848"/>
      <c r="J23" s="3737"/>
      <c r="K23" s="3739"/>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737"/>
      <c r="K24" s="3740"/>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D7</f>
        <v>0</v>
      </c>
      <c r="D26" s="2933">
        <f>D23*D27</f>
        <v>0</v>
      </c>
      <c r="E26" s="2934">
        <f>E23*E27</f>
        <v>0</v>
      </c>
      <c r="F26" s="2935"/>
      <c r="G26" s="2936"/>
      <c r="H26" s="2847"/>
      <c r="I26" s="2848"/>
      <c r="J26" s="3747">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t="e">
        <f>E7</f>
        <v>#DIV/0!</v>
      </c>
      <c r="D27" s="2940"/>
      <c r="E27" s="2941"/>
      <c r="F27" s="2942"/>
      <c r="G27" s="2936"/>
      <c r="H27" s="2957"/>
      <c r="I27" s="2948"/>
      <c r="J27" s="374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C23-C26-C29</f>
        <v>0</v>
      </c>
      <c r="D32" s="2933">
        <f>D23-D26-D29</f>
        <v>0</v>
      </c>
      <c r="E32" s="2934">
        <f>E23-E26-E29</f>
        <v>0</v>
      </c>
      <c r="F32" s="2935"/>
      <c r="G32" s="2929"/>
      <c r="H32" s="2847"/>
      <c r="I32" s="2848"/>
      <c r="J32" s="3730" t="s">
        <v>2315</v>
      </c>
      <c r="K32" s="3731"/>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732" t="s">
        <v>2325</v>
      </c>
      <c r="K33" s="3733"/>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c r="D34" s="2977"/>
      <c r="E34" s="2978"/>
      <c r="F34" s="2935"/>
      <c r="G34" s="2929"/>
      <c r="H34" s="2957"/>
      <c r="I34" s="2948"/>
      <c r="J34" s="3732" t="s">
        <v>2327</v>
      </c>
      <c r="K34" s="373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c r="D36" s="2987"/>
      <c r="E36" s="2988"/>
      <c r="F36" s="2989">
        <f>C36+D36+E36</f>
        <v>0</v>
      </c>
      <c r="G36" s="2929"/>
      <c r="H36" s="2847"/>
      <c r="I36" s="2848"/>
      <c r="J36" s="3737">
        <v>1</v>
      </c>
      <c r="K36" s="3738"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737"/>
      <c r="K37" s="3739"/>
      <c r="L37" s="2882"/>
      <c r="M37" s="2883"/>
      <c r="N37" s="2859"/>
      <c r="O37" s="2884"/>
      <c r="P37" s="2884"/>
      <c r="Q37" s="2885"/>
      <c r="R37" s="2886"/>
      <c r="S37" s="2921"/>
      <c r="T37" s="2840" t="s">
        <v>2343</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7"/>
      <c r="K38" s="3739"/>
      <c r="L38" s="2882"/>
      <c r="M38" s="2883"/>
      <c r="N38" s="2859"/>
      <c r="O38" s="2884"/>
      <c r="P38" s="2884"/>
      <c r="Q38" s="2885"/>
      <c r="R38" s="2886"/>
      <c r="S38" s="2921"/>
      <c r="T38" s="2840" t="s">
        <v>2350</v>
      </c>
      <c r="U38" s="2840"/>
      <c r="V38" s="2848"/>
    </row>
    <row r="39" spans="1:23" s="2852" customFormat="1" ht="13.15" customHeight="1">
      <c r="A39" s="2930">
        <v>9</v>
      </c>
      <c r="B39" s="2931" t="s">
        <v>2428</v>
      </c>
      <c r="C39" s="2896" t="e">
        <f>C38</f>
        <v>#DIV/0!</v>
      </c>
      <c r="D39" s="2931">
        <f>D38/(1+D34)^C36</f>
        <v>0</v>
      </c>
      <c r="E39" s="2931">
        <f>E38/(1+E34)^(C36+D36)</f>
        <v>0</v>
      </c>
      <c r="F39" s="2935"/>
      <c r="G39" s="2990"/>
      <c r="H39" s="2847"/>
      <c r="I39" s="2848"/>
      <c r="J39" s="3737"/>
      <c r="K39" s="3739"/>
      <c r="L39" s="2882"/>
      <c r="M39" s="2883"/>
      <c r="N39" s="2859"/>
      <c r="O39" s="2884"/>
      <c r="P39" s="2884"/>
      <c r="Q39" s="2885"/>
      <c r="R39" s="2886"/>
      <c r="S39" s="2921"/>
      <c r="T39" s="2840"/>
      <c r="U39" s="2840"/>
      <c r="V39" s="2848"/>
    </row>
    <row r="40" spans="1:23" s="2852" customFormat="1" ht="13.15" customHeight="1">
      <c r="A40" s="2991">
        <v>10</v>
      </c>
      <c r="B40" s="2931" t="s">
        <v>2429</v>
      </c>
      <c r="C40" s="2992" t="e">
        <f>C39+D39+E39</f>
        <v>#DIV/0!</v>
      </c>
      <c r="D40" s="2993"/>
      <c r="E40" s="2993"/>
      <c r="F40" s="2994"/>
      <c r="G40" s="2929"/>
      <c r="H40" s="2847"/>
      <c r="I40" s="2848"/>
      <c r="J40" s="3737"/>
      <c r="K40" s="3740"/>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t="e">
        <f>ROUND(C40*10000/B4,0)</f>
        <v>#DIV/0!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7">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74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1654</v>
      </c>
      <c r="B1" s="1867"/>
      <c r="C1" s="1867"/>
      <c r="D1" s="1867"/>
      <c r="E1" s="1868"/>
      <c r="F1" s="2706"/>
      <c r="G1" s="1488"/>
      <c r="H1" s="1488"/>
      <c r="I1" s="1488"/>
      <c r="J1" s="1488"/>
      <c r="K1" s="1488"/>
      <c r="L1" s="1488"/>
      <c r="M1" s="1488"/>
      <c r="N1" s="1488"/>
      <c r="O1" s="1488"/>
      <c r="P1" s="1488"/>
      <c r="Q1" s="1488"/>
      <c r="R1" s="1488"/>
      <c r="S1" s="1488"/>
    </row>
    <row r="2" spans="1:22" ht="15.75">
      <c r="A2" s="1869" t="s">
        <v>1458</v>
      </c>
      <c r="B2" s="1870">
        <f ca="1">SUMIF(B6:B13,"&lt;&gt;#ref!",B6:B13)</f>
        <v>12825</v>
      </c>
      <c r="C2" s="1871" t="s">
        <v>1647</v>
      </c>
      <c r="D2" s="1872" t="s">
        <v>1648</v>
      </c>
      <c r="E2" s="2606">
        <f>SUM(E6:E13)</f>
        <v>4704.8599999999997</v>
      </c>
      <c r="F2" s="2706"/>
      <c r="G2" s="1488"/>
      <c r="H2" s="1488"/>
      <c r="I2" s="1488"/>
      <c r="J2" s="1488"/>
      <c r="K2" s="1488"/>
      <c r="L2" s="1488"/>
      <c r="M2" s="1488"/>
      <c r="N2" s="1488"/>
      <c r="O2" s="1488"/>
      <c r="P2" s="1488"/>
      <c r="Q2" s="1488"/>
      <c r="R2" s="1488"/>
      <c r="S2" s="1488"/>
    </row>
    <row r="3" spans="1:22" ht="15.75">
      <c r="A3" s="1869" t="s">
        <v>686</v>
      </c>
      <c r="B3" s="2600">
        <f ca="1">ROUND(B2*10000/E2,0)</f>
        <v>27259</v>
      </c>
      <c r="C3" s="1871" t="s">
        <v>1655</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1649</v>
      </c>
      <c r="B5" s="3749" t="s">
        <v>1650</v>
      </c>
      <c r="C5" s="3750"/>
      <c r="D5" s="2707"/>
      <c r="E5" s="1873" t="s">
        <v>1651</v>
      </c>
      <c r="F5" s="1874" t="s">
        <v>1652</v>
      </c>
      <c r="G5" s="1488"/>
      <c r="H5" s="1488"/>
      <c r="I5" s="1488"/>
      <c r="J5" s="1488"/>
      <c r="K5" s="1488"/>
      <c r="L5" s="1488"/>
      <c r="M5" s="1488"/>
      <c r="N5" s="1488"/>
      <c r="O5" s="1488"/>
      <c r="P5" s="1488"/>
      <c r="Q5" s="1488"/>
      <c r="R5" s="1488"/>
      <c r="S5" s="1488"/>
    </row>
    <row r="6" spans="1:22">
      <c r="A6" s="2603" t="str">
        <f>'数据-取费表'!AN6</f>
        <v>收益法</v>
      </c>
      <c r="B6" s="2601">
        <f ca="1">IF(F6="是",'数据-取费表'!AO6,0)</f>
        <v>12825</v>
      </c>
      <c r="C6" s="1871" t="s">
        <v>1647</v>
      </c>
      <c r="D6" s="2708"/>
      <c r="E6" s="2605">
        <f>IF(OR(A6=0,F6="否"),0,'数据-取费表'!K6+'数据-取费表'!S6)</f>
        <v>4704.8599999999997</v>
      </c>
      <c r="F6" s="1875" t="s">
        <v>1653</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1647</v>
      </c>
      <c r="D7" s="2708"/>
      <c r="E7" s="2605">
        <f>IF(OR(A7=0,F7="否"),0,'数据-取费表'!K7+'数据-取费表'!S7)</f>
        <v>0</v>
      </c>
      <c r="F7" s="1875" t="s">
        <v>1653</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1647</v>
      </c>
      <c r="D8" s="2708"/>
      <c r="E8" s="2605">
        <f>IF(OR(A8=0,F8="否"),0,'数据-取费表'!K8+'数据-取费表'!S8)</f>
        <v>0</v>
      </c>
      <c r="F8" s="1875" t="s">
        <v>1653</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1647</v>
      </c>
      <c r="D9" s="2708"/>
      <c r="E9" s="2605">
        <f>IF(OR(A9=0,F9="否"),0,'数据-取费表'!K9+'数据-取费表'!S9)</f>
        <v>0</v>
      </c>
      <c r="F9" s="1875" t="s">
        <v>1653</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1647</v>
      </c>
      <c r="D10" s="2708"/>
      <c r="E10" s="2605">
        <f>IF(OR(A10=0,F10="否"),0,'数据-取费表'!K10+'数据-取费表'!S10)</f>
        <v>0</v>
      </c>
      <c r="F10" s="1875" t="s">
        <v>1653</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1647</v>
      </c>
      <c r="D11" s="2708"/>
      <c r="E11" s="2605">
        <f>IF(OR(A11=0,F11="否"),0,'数据-取费表'!K11+'数据-取费表'!S11)</f>
        <v>0</v>
      </c>
      <c r="F11" s="1875" t="s">
        <v>1653</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1647</v>
      </c>
      <c r="D12" s="2708"/>
      <c r="E12" s="2605">
        <f>IF(OR(A12=0,F12="否"),0,'数据-取费表'!K12+'数据-取费表'!S12)</f>
        <v>0</v>
      </c>
      <c r="F12" s="1875" t="s">
        <v>1653</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1647</v>
      </c>
      <c r="D13" s="2709"/>
      <c r="E13" s="2605">
        <f>IF(OR(A13=0,F13="否"),0,'数据-取费表'!K13+'数据-取费表'!S13)</f>
        <v>0</v>
      </c>
      <c r="F13" s="1875" t="s">
        <v>1653</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受贵公司委托，我公司对北京市朝阳区建国路管庄6号其他商服用房房地产抵押价值进行了预评估。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估价对象为北京市朝阳区建国路管庄6号其他商服用房房地产，为所有。根据《国有土地使用证》[]，估价对象（分摊）出让国有建设用地使用权面积为2957.47平方米，建筑面积为4704.86平方米。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管庄6号其他商服用房房地产,属开发建设的综合项目（商业、办公），该项目尚在开发建设中。根据《国有土地使用证》[]，估价对象（分摊）出让国有建设用地使用权面积为2957.47平方米，规划建筑面积为4704.86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朝阳区建国路管庄6号其他商服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2024年7月23日（评估专业人员实地查勘之日）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本次估价的“房地产价值”是指在正常市场情况下，在价值时点2024年7月23日，估价对象规划用途为，土地取得方式为划拨，假定未设立法定优先受偿款下的房地产市场价值。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通热、）、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1656</v>
      </c>
      <c r="B1" s="1877" t="s">
        <v>1657</v>
      </c>
      <c r="C1" s="1237" t="s">
        <v>1658</v>
      </c>
      <c r="D1" s="1224"/>
      <c r="E1" s="3425"/>
      <c r="F1" s="1878"/>
      <c r="G1" s="1234" t="s">
        <v>1659</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1660</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1661</v>
      </c>
      <c r="D3" s="353">
        <f>IF(D1="",'数据-汇总表'!E3,SUMIF('数据-汇总表'!$C19:$C33,D1,'数据-汇总表'!$E19:$E33))</f>
        <v>4704.8599999999997</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1662</v>
      </c>
      <c r="B4" s="356"/>
      <c r="C4" s="3682" t="s">
        <v>1663</v>
      </c>
      <c r="D4" s="3683"/>
      <c r="E4" s="3684" t="s">
        <v>1664</v>
      </c>
      <c r="F4" s="3685"/>
      <c r="G4" s="3682" t="s">
        <v>1665</v>
      </c>
      <c r="H4" s="3683"/>
      <c r="I4" s="3682" t="s">
        <v>1666</v>
      </c>
      <c r="J4" s="3683"/>
      <c r="K4" s="1888" t="s">
        <v>1667</v>
      </c>
      <c r="L4" s="2714"/>
      <c r="M4" s="2715"/>
      <c r="N4" s="2715"/>
      <c r="O4" s="2715"/>
      <c r="P4" s="3686" t="s">
        <v>1668</v>
      </c>
      <c r="Q4" s="3687"/>
      <c r="R4" s="3669" t="s">
        <v>1664</v>
      </c>
      <c r="S4" s="3670"/>
      <c r="T4" s="3669" t="s">
        <v>1665</v>
      </c>
      <c r="U4" s="3670"/>
      <c r="V4" s="3694" t="s">
        <v>1666</v>
      </c>
      <c r="W4" s="3694"/>
      <c r="X4" s="1354"/>
      <c r="Y4" s="3669" t="s">
        <v>1668</v>
      </c>
      <c r="Z4" s="3670"/>
      <c r="AA4" s="3664" t="s">
        <v>1664</v>
      </c>
      <c r="AB4" s="3664" t="s">
        <v>1665</v>
      </c>
      <c r="AC4" s="3664" t="s">
        <v>1666</v>
      </c>
    </row>
    <row r="5" spans="1:29" ht="15">
      <c r="A5" s="358"/>
      <c r="B5" s="359"/>
      <c r="C5" s="3675" t="s">
        <v>1669</v>
      </c>
      <c r="D5" s="3676"/>
      <c r="E5" s="3673" t="s">
        <v>1670</v>
      </c>
      <c r="F5" s="3674"/>
      <c r="G5" s="3675" t="s">
        <v>1671</v>
      </c>
      <c r="H5" s="3676"/>
      <c r="I5" s="3675" t="s">
        <v>1672</v>
      </c>
      <c r="J5" s="3676"/>
      <c r="K5" s="1889"/>
      <c r="L5" s="2714"/>
      <c r="M5" s="2715"/>
      <c r="N5" s="2715"/>
      <c r="O5" s="2715"/>
      <c r="P5" s="3688"/>
      <c r="Q5" s="3689"/>
      <c r="R5" s="3671"/>
      <c r="S5" s="3672"/>
      <c r="T5" s="3671"/>
      <c r="U5" s="3672"/>
      <c r="V5" s="3694"/>
      <c r="W5" s="3694"/>
      <c r="X5" s="1354"/>
      <c r="Y5" s="3671"/>
      <c r="Z5" s="3672"/>
      <c r="AA5" s="3665"/>
      <c r="AB5" s="3665"/>
      <c r="AC5" s="3665"/>
    </row>
    <row r="6" spans="1:29" ht="15.75" thickBot="1">
      <c r="A6" s="360"/>
      <c r="B6" s="361"/>
      <c r="C6" s="3677" t="s">
        <v>1673</v>
      </c>
      <c r="D6" s="3678"/>
      <c r="E6" s="3679" t="s">
        <v>1673</v>
      </c>
      <c r="F6" s="3680"/>
      <c r="G6" s="3677" t="s">
        <v>1673</v>
      </c>
      <c r="H6" s="3678"/>
      <c r="I6" s="3677" t="s">
        <v>1673</v>
      </c>
      <c r="J6" s="3678"/>
      <c r="K6" s="1889" t="s">
        <v>1674</v>
      </c>
      <c r="L6" s="2714"/>
      <c r="M6" s="2715"/>
      <c r="N6" s="2715"/>
      <c r="O6" s="2715"/>
      <c r="P6" s="3690"/>
      <c r="Q6" s="3691"/>
      <c r="R6" s="3671"/>
      <c r="S6" s="3672"/>
      <c r="T6" s="3692"/>
      <c r="U6" s="3693"/>
      <c r="V6" s="3694"/>
      <c r="W6" s="3694"/>
      <c r="X6" s="1354"/>
      <c r="Y6" s="3692"/>
      <c r="Z6" s="3693"/>
      <c r="AA6" s="3666"/>
      <c r="AB6" s="3666"/>
      <c r="AC6" s="3666"/>
    </row>
    <row r="7" spans="1:29" s="108" customFormat="1" ht="15.75" thickBot="1">
      <c r="A7" s="362" t="s">
        <v>1675</v>
      </c>
      <c r="B7" s="363"/>
      <c r="C7" s="364">
        <f>'数据-取费表'!B2</f>
        <v>45496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7" t="s">
        <v>1676</v>
      </c>
      <c r="Q7" s="3695"/>
      <c r="R7" s="701" t="s">
        <v>20</v>
      </c>
      <c r="S7" s="702">
        <f t="shared" ref="S7:S15" si="0">F7</f>
        <v>0</v>
      </c>
      <c r="T7" s="701" t="s">
        <v>20</v>
      </c>
      <c r="U7" s="702">
        <f t="shared" ref="U7:U15" si="1">H7</f>
        <v>0</v>
      </c>
      <c r="V7" s="701" t="s">
        <v>20</v>
      </c>
      <c r="W7" s="702">
        <f t="shared" ref="W7:W15" si="2">J7</f>
        <v>0</v>
      </c>
      <c r="X7" s="703"/>
      <c r="Y7" s="3667" t="s">
        <v>1676</v>
      </c>
      <c r="Z7" s="3668"/>
      <c r="AA7" s="704" t="e">
        <f>D7/F7</f>
        <v>#DIV/0!</v>
      </c>
      <c r="AB7" s="704" t="e">
        <f>D7/H7</f>
        <v>#DIV/0!</v>
      </c>
      <c r="AC7" s="704" t="e">
        <f>D7/J7</f>
        <v>#DIV/0!</v>
      </c>
    </row>
    <row r="8" spans="1:29" s="108" customFormat="1" ht="15.75" thickBot="1">
      <c r="A8" s="362" t="s">
        <v>1677</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7" t="s">
        <v>1679</v>
      </c>
      <c r="Q8" s="3668"/>
      <c r="R8" s="701" t="s">
        <v>20</v>
      </c>
      <c r="S8" s="702">
        <f t="shared" si="0"/>
        <v>100</v>
      </c>
      <c r="T8" s="701" t="s">
        <v>20</v>
      </c>
      <c r="U8" s="702">
        <f t="shared" si="1"/>
        <v>100</v>
      </c>
      <c r="V8" s="701" t="s">
        <v>20</v>
      </c>
      <c r="W8" s="702">
        <f t="shared" si="2"/>
        <v>100</v>
      </c>
      <c r="X8" s="703"/>
      <c r="Y8" s="3667" t="s">
        <v>1679</v>
      </c>
      <c r="Z8" s="3668"/>
      <c r="AA8" s="704">
        <f t="shared" ref="AA8:AA19" si="3">D8/F8</f>
        <v>1</v>
      </c>
      <c r="AB8" s="704">
        <f t="shared" ref="AB8:AB19" si="4">D8/H8</f>
        <v>1</v>
      </c>
      <c r="AC8" s="704">
        <f t="shared" ref="AC8:AC19" si="5">D8/J8</f>
        <v>1</v>
      </c>
    </row>
    <row r="9" spans="1:29" s="108" customFormat="1">
      <c r="A9" s="369" t="s">
        <v>1680</v>
      </c>
      <c r="B9" s="63" t="s">
        <v>1681</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5" t="s">
        <v>1682</v>
      </c>
      <c r="Q9" s="1342" t="str">
        <f t="shared" ref="Q9:Q15" si="6">B9</f>
        <v>用途</v>
      </c>
      <c r="R9" s="701" t="s">
        <v>14</v>
      </c>
      <c r="S9" s="702">
        <f t="shared" si="0"/>
        <v>100</v>
      </c>
      <c r="T9" s="701" t="s">
        <v>14</v>
      </c>
      <c r="U9" s="702">
        <f t="shared" si="1"/>
        <v>100</v>
      </c>
      <c r="V9" s="701" t="s">
        <v>14</v>
      </c>
      <c r="W9" s="702">
        <f t="shared" si="2"/>
        <v>100</v>
      </c>
      <c r="X9" s="703"/>
      <c r="Y9" s="3637" t="s">
        <v>1683</v>
      </c>
      <c r="Z9" s="52" t="str">
        <f t="shared" ref="Z9:Z15" si="7">Q9</f>
        <v>用途</v>
      </c>
      <c r="AA9" s="704">
        <f t="shared" si="3"/>
        <v>1</v>
      </c>
      <c r="AB9" s="704">
        <f t="shared" si="4"/>
        <v>1</v>
      </c>
      <c r="AC9" s="704">
        <f t="shared" si="5"/>
        <v>1</v>
      </c>
    </row>
    <row r="10" spans="1:29" s="378" customFormat="1" ht="27">
      <c r="A10" s="374"/>
      <c r="B10" s="375" t="s">
        <v>1684</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1685</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5"/>
      <c r="Q11" s="1342"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5"/>
      <c r="Q12" s="1342">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5"/>
      <c r="Q13" s="1342">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5"/>
      <c r="Q14" s="1342">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85.5">
      <c r="A15" s="391" t="s">
        <v>1686</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57" t="s">
        <v>1687</v>
      </c>
      <c r="Q15" s="1351" t="str">
        <f t="shared" si="6"/>
        <v>居住社区成熟度</v>
      </c>
      <c r="R15" s="705" t="s">
        <v>18</v>
      </c>
      <c r="S15" s="706">
        <f t="shared" si="0"/>
        <v>100</v>
      </c>
      <c r="T15" s="705" t="s">
        <v>18</v>
      </c>
      <c r="U15" s="706">
        <f t="shared" si="1"/>
        <v>100</v>
      </c>
      <c r="V15" s="705" t="s">
        <v>18</v>
      </c>
      <c r="W15" s="706">
        <f t="shared" si="2"/>
        <v>100</v>
      </c>
      <c r="X15" s="1354"/>
      <c r="Y15" s="3696" t="s">
        <v>1687</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58"/>
      <c r="Q16" s="1351"/>
      <c r="R16" s="705"/>
      <c r="S16" s="706"/>
      <c r="T16" s="705"/>
      <c r="U16" s="706"/>
      <c r="V16" s="705"/>
      <c r="W16" s="706"/>
      <c r="X16" s="1354"/>
      <c r="Y16" s="369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58"/>
      <c r="Q17" s="1351" t="str">
        <f>B17</f>
        <v>交通便捷度</v>
      </c>
      <c r="R17" s="705" t="s">
        <v>18</v>
      </c>
      <c r="S17" s="706">
        <f>F17</f>
        <v>100</v>
      </c>
      <c r="T17" s="705" t="s">
        <v>18</v>
      </c>
      <c r="U17" s="706">
        <f>H17</f>
        <v>100</v>
      </c>
      <c r="V17" s="705" t="s">
        <v>18</v>
      </c>
      <c r="W17" s="706">
        <f>J17</f>
        <v>100</v>
      </c>
      <c r="X17" s="1354"/>
      <c r="Y17" s="369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58"/>
      <c r="Q18" s="1351"/>
      <c r="R18" s="705"/>
      <c r="S18" s="706"/>
      <c r="T18" s="705"/>
      <c r="U18" s="706"/>
      <c r="V18" s="705"/>
      <c r="W18" s="706"/>
      <c r="X18" s="1354"/>
      <c r="Y18" s="369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58"/>
      <c r="Q19" s="1351" t="str">
        <f>B19</f>
        <v>公共配套设施</v>
      </c>
      <c r="R19" s="705" t="s">
        <v>18</v>
      </c>
      <c r="S19" s="706">
        <f>F19</f>
        <v>100</v>
      </c>
      <c r="T19" s="705" t="s">
        <v>18</v>
      </c>
      <c r="U19" s="706">
        <f>H19</f>
        <v>100</v>
      </c>
      <c r="V19" s="705" t="s">
        <v>18</v>
      </c>
      <c r="W19" s="706">
        <f>J19</f>
        <v>100</v>
      </c>
      <c r="X19" s="1354"/>
      <c r="Y19" s="369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58"/>
      <c r="Q20" s="1351"/>
      <c r="R20" s="705"/>
      <c r="S20" s="706"/>
      <c r="T20" s="705"/>
      <c r="U20" s="706"/>
      <c r="V20" s="705"/>
      <c r="W20" s="706"/>
      <c r="X20" s="1354"/>
      <c r="Y20" s="3697"/>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58"/>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58"/>
      <c r="Q22" s="1351"/>
      <c r="R22" s="705"/>
      <c r="S22" s="706"/>
      <c r="T22" s="705"/>
      <c r="U22" s="706"/>
      <c r="V22" s="705"/>
      <c r="W22" s="706"/>
      <c r="X22" s="1354"/>
      <c r="Y22" s="369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58"/>
      <c r="Q23" s="1351" t="str">
        <f>B23</f>
        <v>自然及人文环境</v>
      </c>
      <c r="R23" s="705" t="s">
        <v>18</v>
      </c>
      <c r="S23" s="706">
        <f>F23</f>
        <v>100</v>
      </c>
      <c r="T23" s="705" t="s">
        <v>18</v>
      </c>
      <c r="U23" s="706">
        <f>H23</f>
        <v>100</v>
      </c>
      <c r="V23" s="705" t="s">
        <v>18</v>
      </c>
      <c r="W23" s="706">
        <f>J23</f>
        <v>100</v>
      </c>
      <c r="X23" s="1354"/>
      <c r="Y23" s="369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58"/>
      <c r="Q24" s="1351"/>
      <c r="R24" s="705"/>
      <c r="S24" s="706"/>
      <c r="T24" s="705"/>
      <c r="U24" s="706"/>
      <c r="V24" s="705"/>
      <c r="W24" s="706"/>
      <c r="X24" s="1354"/>
      <c r="Y24" s="3697"/>
      <c r="Z24" s="1355"/>
      <c r="AA24" s="1352">
        <v>1</v>
      </c>
      <c r="AB24" s="1352">
        <v>1</v>
      </c>
      <c r="AC24" s="1352">
        <v>1</v>
      </c>
    </row>
    <row r="25" spans="1:29" ht="15">
      <c r="A25" s="379"/>
      <c r="B25" s="375" t="s">
        <v>1688</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5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7"/>
      <c r="Z25" s="1355" t="str">
        <f>Q25</f>
        <v>楼层-1</v>
      </c>
      <c r="AA25" s="1352">
        <f t="shared" ref="AA25:AA46" si="15">D25/F25</f>
        <v>1</v>
      </c>
      <c r="AB25" s="1352">
        <f t="shared" ref="AB25:AB46" si="16">D25/H25</f>
        <v>1</v>
      </c>
      <c r="AC25" s="1352">
        <f t="shared" ref="AC25:AC46" si="17">D25/J25</f>
        <v>1</v>
      </c>
    </row>
    <row r="26" spans="1:29" ht="15">
      <c r="A26" s="379"/>
      <c r="B26" s="375" t="s">
        <v>1689</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58"/>
      <c r="Q26" s="1351" t="str">
        <f t="shared" si="11"/>
        <v>朝向</v>
      </c>
      <c r="R26" s="705" t="s">
        <v>18</v>
      </c>
      <c r="S26" s="706">
        <f t="shared" si="12"/>
        <v>100</v>
      </c>
      <c r="T26" s="705" t="s">
        <v>18</v>
      </c>
      <c r="U26" s="706">
        <f t="shared" si="13"/>
        <v>100</v>
      </c>
      <c r="V26" s="705" t="s">
        <v>18</v>
      </c>
      <c r="W26" s="706">
        <f t="shared" si="14"/>
        <v>100</v>
      </c>
      <c r="X26" s="1354"/>
      <c r="Y26" s="369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58"/>
      <c r="Q27" s="1342">
        <f t="shared" si="11"/>
        <v>111</v>
      </c>
      <c r="R27" s="701" t="s">
        <v>18</v>
      </c>
      <c r="S27" s="702">
        <f t="shared" si="12"/>
        <v>100</v>
      </c>
      <c r="T27" s="701" t="s">
        <v>18</v>
      </c>
      <c r="U27" s="702">
        <f t="shared" si="13"/>
        <v>100</v>
      </c>
      <c r="V27" s="701" t="s">
        <v>18</v>
      </c>
      <c r="W27" s="702">
        <f t="shared" si="14"/>
        <v>100</v>
      </c>
      <c r="X27" s="703"/>
      <c r="Y27" s="369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58"/>
      <c r="Q28" s="1351">
        <f t="shared" si="11"/>
        <v>111</v>
      </c>
      <c r="R28" s="705" t="s">
        <v>18</v>
      </c>
      <c r="S28" s="706">
        <f t="shared" si="12"/>
        <v>100</v>
      </c>
      <c r="T28" s="705" t="s">
        <v>18</v>
      </c>
      <c r="U28" s="706">
        <f t="shared" si="13"/>
        <v>100</v>
      </c>
      <c r="V28" s="705" t="s">
        <v>18</v>
      </c>
      <c r="W28" s="706">
        <f t="shared" si="14"/>
        <v>100</v>
      </c>
      <c r="X28" s="1354"/>
      <c r="Y28" s="369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58"/>
      <c r="Q29" s="1351">
        <f t="shared" si="11"/>
        <v>111</v>
      </c>
      <c r="R29" s="705" t="s">
        <v>18</v>
      </c>
      <c r="S29" s="706">
        <f t="shared" si="12"/>
        <v>100</v>
      </c>
      <c r="T29" s="705" t="s">
        <v>18</v>
      </c>
      <c r="U29" s="706">
        <f t="shared" si="13"/>
        <v>100</v>
      </c>
      <c r="V29" s="705" t="s">
        <v>18</v>
      </c>
      <c r="W29" s="706">
        <f t="shared" si="14"/>
        <v>100</v>
      </c>
      <c r="X29" s="1354"/>
      <c r="Y29" s="369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58"/>
      <c r="Q30" s="1351">
        <f t="shared" si="11"/>
        <v>111</v>
      </c>
      <c r="R30" s="705" t="s">
        <v>18</v>
      </c>
      <c r="S30" s="706">
        <f t="shared" si="12"/>
        <v>100</v>
      </c>
      <c r="T30" s="705" t="s">
        <v>18</v>
      </c>
      <c r="U30" s="706">
        <f t="shared" si="13"/>
        <v>100</v>
      </c>
      <c r="V30" s="705" t="s">
        <v>18</v>
      </c>
      <c r="W30" s="706">
        <f t="shared" si="14"/>
        <v>100</v>
      </c>
      <c r="X30" s="1354"/>
      <c r="Y30" s="369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58"/>
      <c r="Q31" s="1351">
        <f t="shared" si="11"/>
        <v>111</v>
      </c>
      <c r="R31" s="705" t="s">
        <v>18</v>
      </c>
      <c r="S31" s="706">
        <f t="shared" si="12"/>
        <v>100</v>
      </c>
      <c r="T31" s="705" t="s">
        <v>18</v>
      </c>
      <c r="U31" s="706">
        <f t="shared" si="13"/>
        <v>100</v>
      </c>
      <c r="V31" s="705" t="s">
        <v>18</v>
      </c>
      <c r="W31" s="706">
        <f t="shared" si="14"/>
        <v>100</v>
      </c>
      <c r="X31" s="1354"/>
      <c r="Y31" s="3697"/>
      <c r="Z31" s="1355">
        <f t="shared" si="18"/>
        <v>111</v>
      </c>
      <c r="AA31" s="1352">
        <f t="shared" si="15"/>
        <v>1</v>
      </c>
      <c r="AB31" s="1352">
        <f t="shared" si="16"/>
        <v>1</v>
      </c>
      <c r="AC31" s="1352">
        <f t="shared" si="17"/>
        <v>1</v>
      </c>
    </row>
    <row r="32" spans="1:29" ht="15">
      <c r="A32" s="391" t="s">
        <v>1690</v>
      </c>
      <c r="B32" s="63" t="s">
        <v>1691</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53" t="s">
        <v>1692</v>
      </c>
      <c r="Q32" s="1351" t="str">
        <f t="shared" si="11"/>
        <v>建筑类型</v>
      </c>
      <c r="R32" s="705" t="s">
        <v>18</v>
      </c>
      <c r="S32" s="706">
        <f t="shared" si="12"/>
        <v>100</v>
      </c>
      <c r="T32" s="705" t="s">
        <v>18</v>
      </c>
      <c r="U32" s="706">
        <f t="shared" si="13"/>
        <v>100</v>
      </c>
      <c r="V32" s="705" t="s">
        <v>18</v>
      </c>
      <c r="W32" s="706">
        <f t="shared" si="14"/>
        <v>100</v>
      </c>
      <c r="X32" s="1354"/>
      <c r="Y32" s="3699" t="s">
        <v>1692</v>
      </c>
      <c r="Z32" s="1355" t="str">
        <f t="shared" si="18"/>
        <v>建筑类型</v>
      </c>
      <c r="AA32" s="1352">
        <f t="shared" si="15"/>
        <v>1</v>
      </c>
      <c r="AB32" s="1352">
        <f t="shared" si="16"/>
        <v>1</v>
      </c>
      <c r="AC32" s="1352">
        <f t="shared" si="17"/>
        <v>1</v>
      </c>
    </row>
    <row r="33" spans="1:29" s="422" customFormat="1" ht="15">
      <c r="A33" s="419"/>
      <c r="B33" s="375" t="s">
        <v>1693</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54"/>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2" t="e">
        <f t="shared" si="15"/>
        <v>#N/A</v>
      </c>
      <c r="AB33" s="1352" t="e">
        <f t="shared" si="16"/>
        <v>#N/A</v>
      </c>
      <c r="AC33" s="1352" t="e">
        <f t="shared" si="17"/>
        <v>#N/A</v>
      </c>
    </row>
    <row r="34" spans="1:29" ht="15">
      <c r="A34" s="423"/>
      <c r="B34" s="375" t="s">
        <v>1694</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54"/>
      <c r="Q34" s="1351" t="str">
        <f t="shared" si="11"/>
        <v>建筑结构</v>
      </c>
      <c r="R34" s="705" t="s">
        <v>18</v>
      </c>
      <c r="S34" s="706">
        <f t="shared" si="12"/>
        <v>100</v>
      </c>
      <c r="T34" s="705" t="s">
        <v>18</v>
      </c>
      <c r="U34" s="706">
        <f t="shared" si="13"/>
        <v>100</v>
      </c>
      <c r="V34" s="705" t="s">
        <v>18</v>
      </c>
      <c r="W34" s="706">
        <f t="shared" si="14"/>
        <v>100</v>
      </c>
      <c r="X34" s="1354"/>
      <c r="Y34" s="3699"/>
      <c r="Z34" s="1355" t="str">
        <f t="shared" si="18"/>
        <v>建筑结构</v>
      </c>
      <c r="AA34" s="1352">
        <f t="shared" si="15"/>
        <v>1</v>
      </c>
      <c r="AB34" s="1352">
        <f t="shared" si="16"/>
        <v>1</v>
      </c>
      <c r="AC34" s="1352">
        <f t="shared" si="17"/>
        <v>1</v>
      </c>
    </row>
    <row r="35" spans="1:29" ht="15">
      <c r="A35" s="423"/>
      <c r="B35" s="375" t="s">
        <v>1695</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54"/>
      <c r="Q35" s="1351" t="str">
        <f t="shared" si="11"/>
        <v>建筑品质</v>
      </c>
      <c r="R35" s="705" t="s">
        <v>18</v>
      </c>
      <c r="S35" s="706">
        <f t="shared" si="12"/>
        <v>100</v>
      </c>
      <c r="T35" s="705" t="s">
        <v>18</v>
      </c>
      <c r="U35" s="706">
        <f t="shared" si="13"/>
        <v>100</v>
      </c>
      <c r="V35" s="705" t="s">
        <v>18</v>
      </c>
      <c r="W35" s="706">
        <f t="shared" si="14"/>
        <v>100</v>
      </c>
      <c r="X35" s="1354"/>
      <c r="Y35" s="3699"/>
      <c r="Z35" s="1355" t="str">
        <f t="shared" si="18"/>
        <v>建筑品质</v>
      </c>
      <c r="AA35" s="1352">
        <f t="shared" si="15"/>
        <v>1</v>
      </c>
      <c r="AB35" s="1352">
        <f t="shared" si="16"/>
        <v>1</v>
      </c>
      <c r="AC35" s="1352">
        <f t="shared" si="17"/>
        <v>1</v>
      </c>
    </row>
    <row r="36" spans="1:29" ht="15">
      <c r="A36" s="423"/>
      <c r="B36" s="375" t="s">
        <v>1696</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54"/>
      <c r="Q36" s="1351" t="str">
        <f t="shared" si="11"/>
        <v>公共部分装修</v>
      </c>
      <c r="R36" s="705" t="s">
        <v>18</v>
      </c>
      <c r="S36" s="706">
        <f t="shared" si="12"/>
        <v>100</v>
      </c>
      <c r="T36" s="705" t="s">
        <v>18</v>
      </c>
      <c r="U36" s="706">
        <f t="shared" si="13"/>
        <v>100</v>
      </c>
      <c r="V36" s="705" t="s">
        <v>18</v>
      </c>
      <c r="W36" s="706">
        <f t="shared" si="14"/>
        <v>100</v>
      </c>
      <c r="X36" s="1354"/>
      <c r="Y36" s="3699"/>
      <c r="Z36" s="1355" t="str">
        <f t="shared" si="18"/>
        <v>公共部分装修</v>
      </c>
      <c r="AA36" s="1352">
        <f t="shared" si="15"/>
        <v>1</v>
      </c>
      <c r="AB36" s="1352">
        <f t="shared" si="16"/>
        <v>1</v>
      </c>
      <c r="AC36" s="1352">
        <f t="shared" si="17"/>
        <v>1</v>
      </c>
    </row>
    <row r="37" spans="1:29" s="108" customFormat="1" ht="15">
      <c r="A37" s="424"/>
      <c r="B37" s="375" t="s">
        <v>1697</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54"/>
      <c r="Q37" s="1342"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1698</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54" t="s">
        <v>1692</v>
      </c>
      <c r="Q38" s="1351" t="str">
        <f t="shared" si="11"/>
        <v>物业管理</v>
      </c>
      <c r="R38" s="705" t="s">
        <v>18</v>
      </c>
      <c r="S38" s="706">
        <f t="shared" si="12"/>
        <v>100</v>
      </c>
      <c r="T38" s="705" t="s">
        <v>18</v>
      </c>
      <c r="U38" s="706">
        <f t="shared" si="13"/>
        <v>100</v>
      </c>
      <c r="V38" s="705" t="s">
        <v>18</v>
      </c>
      <c r="W38" s="706">
        <f t="shared" si="14"/>
        <v>100</v>
      </c>
      <c r="X38" s="1354"/>
      <c r="Y38" s="3699" t="s">
        <v>1692</v>
      </c>
      <c r="Z38" s="1355" t="str">
        <f t="shared" si="18"/>
        <v>物业管理</v>
      </c>
      <c r="AA38" s="1352">
        <f t="shared" si="15"/>
        <v>1</v>
      </c>
      <c r="AB38" s="1352">
        <f t="shared" si="16"/>
        <v>1</v>
      </c>
      <c r="AC38" s="1352">
        <f t="shared" si="17"/>
        <v>1</v>
      </c>
    </row>
    <row r="39" spans="1:29" ht="15">
      <c r="A39" s="423"/>
      <c r="B39" s="375" t="s">
        <v>1699</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54"/>
      <c r="Q39" s="1351" t="str">
        <f t="shared" si="11"/>
        <v>市政基础设施</v>
      </c>
      <c r="R39" s="705" t="s">
        <v>18</v>
      </c>
      <c r="S39" s="706">
        <f t="shared" si="12"/>
        <v>100</v>
      </c>
      <c r="T39" s="705" t="s">
        <v>18</v>
      </c>
      <c r="U39" s="706">
        <f t="shared" si="13"/>
        <v>100</v>
      </c>
      <c r="V39" s="705" t="s">
        <v>18</v>
      </c>
      <c r="W39" s="706">
        <f t="shared" si="14"/>
        <v>100</v>
      </c>
      <c r="X39" s="1354"/>
      <c r="Y39" s="3699"/>
      <c r="Z39" s="1355" t="str">
        <f t="shared" si="18"/>
        <v>市政基础设施</v>
      </c>
      <c r="AA39" s="1352">
        <f t="shared" si="15"/>
        <v>1</v>
      </c>
      <c r="AB39" s="1352">
        <f t="shared" si="16"/>
        <v>1</v>
      </c>
      <c r="AC39" s="1352">
        <f t="shared" si="17"/>
        <v>1</v>
      </c>
    </row>
    <row r="40" spans="1:29" ht="15">
      <c r="A40" s="423"/>
      <c r="B40" s="375" t="s">
        <v>1700</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54"/>
      <c r="Q40" s="1351" t="str">
        <f t="shared" si="11"/>
        <v>房型</v>
      </c>
      <c r="R40" s="705" t="s">
        <v>18</v>
      </c>
      <c r="S40" s="706">
        <f t="shared" si="12"/>
        <v>100</v>
      </c>
      <c r="T40" s="705" t="s">
        <v>18</v>
      </c>
      <c r="U40" s="706">
        <f t="shared" si="13"/>
        <v>100</v>
      </c>
      <c r="V40" s="705" t="s">
        <v>18</v>
      </c>
      <c r="W40" s="706">
        <f t="shared" si="14"/>
        <v>100</v>
      </c>
      <c r="X40" s="1354"/>
      <c r="Y40" s="3699"/>
      <c r="Z40" s="1355" t="str">
        <f t="shared" si="18"/>
        <v>房型</v>
      </c>
      <c r="AA40" s="1352">
        <f t="shared" si="15"/>
        <v>1</v>
      </c>
      <c r="AB40" s="1352">
        <f t="shared" si="16"/>
        <v>1</v>
      </c>
      <c r="AC40" s="1352">
        <f t="shared" si="17"/>
        <v>1</v>
      </c>
    </row>
    <row r="41" spans="1:29" s="422" customFormat="1" ht="28.5">
      <c r="A41" s="419"/>
      <c r="B41" s="375" t="s">
        <v>1701</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54"/>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2">
        <f t="shared" si="15"/>
        <v>1</v>
      </c>
      <c r="AB41" s="1352">
        <f t="shared" si="16"/>
        <v>1</v>
      </c>
      <c r="AC41" s="1352">
        <f t="shared" si="17"/>
        <v>1</v>
      </c>
    </row>
    <row r="42" spans="1:29" ht="15">
      <c r="A42" s="423"/>
      <c r="B42" s="375" t="s">
        <v>1702</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54"/>
      <c r="Q42" s="1351" t="str">
        <f t="shared" si="11"/>
        <v>内部装修</v>
      </c>
      <c r="R42" s="705" t="s">
        <v>18</v>
      </c>
      <c r="S42" s="706">
        <f t="shared" si="12"/>
        <v>100</v>
      </c>
      <c r="T42" s="705" t="s">
        <v>18</v>
      </c>
      <c r="U42" s="706">
        <f t="shared" si="13"/>
        <v>100</v>
      </c>
      <c r="V42" s="705" t="s">
        <v>18</v>
      </c>
      <c r="W42" s="706">
        <f t="shared" si="14"/>
        <v>100</v>
      </c>
      <c r="X42" s="1354"/>
      <c r="Y42" s="3699"/>
      <c r="Z42" s="1355" t="str">
        <f t="shared" si="18"/>
        <v>内部装修</v>
      </c>
      <c r="AA42" s="1352">
        <f t="shared" si="15"/>
        <v>1</v>
      </c>
      <c r="AB42" s="1352">
        <f t="shared" si="16"/>
        <v>1</v>
      </c>
      <c r="AC42" s="1352">
        <f t="shared" si="17"/>
        <v>1</v>
      </c>
    </row>
    <row r="43" spans="1:29" ht="15">
      <c r="A43" s="423"/>
      <c r="B43" s="375" t="s">
        <v>1703</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54"/>
      <c r="Q43" s="1351" t="str">
        <f t="shared" si="11"/>
        <v>内部装修维护情况</v>
      </c>
      <c r="R43" s="705" t="s">
        <v>18</v>
      </c>
      <c r="S43" s="706">
        <f t="shared" si="12"/>
        <v>100</v>
      </c>
      <c r="T43" s="705" t="s">
        <v>18</v>
      </c>
      <c r="U43" s="706">
        <f t="shared" si="13"/>
        <v>100</v>
      </c>
      <c r="V43" s="705" t="s">
        <v>18</v>
      </c>
      <c r="W43" s="706">
        <f t="shared" si="14"/>
        <v>100</v>
      </c>
      <c r="X43" s="1354"/>
      <c r="Y43" s="369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54"/>
      <c r="Q44" s="1342">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54"/>
      <c r="Q45" s="1351">
        <f t="shared" si="11"/>
        <v>111</v>
      </c>
      <c r="R45" s="705" t="s">
        <v>18</v>
      </c>
      <c r="S45" s="706">
        <f t="shared" si="12"/>
        <v>100</v>
      </c>
      <c r="T45" s="705" t="s">
        <v>18</v>
      </c>
      <c r="U45" s="706">
        <f t="shared" si="13"/>
        <v>100</v>
      </c>
      <c r="V45" s="705" t="s">
        <v>18</v>
      </c>
      <c r="W45" s="706">
        <f t="shared" si="14"/>
        <v>100</v>
      </c>
      <c r="X45" s="1354"/>
      <c r="Y45" s="369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55"/>
      <c r="Q46" s="1351">
        <f t="shared" si="11"/>
        <v>111</v>
      </c>
      <c r="R46" s="705" t="s">
        <v>17</v>
      </c>
      <c r="S46" s="706">
        <f t="shared" si="12"/>
        <v>100</v>
      </c>
      <c r="T46" s="705" t="s">
        <v>17</v>
      </c>
      <c r="U46" s="706">
        <f t="shared" si="13"/>
        <v>100</v>
      </c>
      <c r="V46" s="705" t="s">
        <v>17</v>
      </c>
      <c r="W46" s="706">
        <f t="shared" si="14"/>
        <v>100</v>
      </c>
      <c r="X46" s="1354"/>
      <c r="Y46" s="3756"/>
      <c r="Z46" s="1355">
        <f t="shared" si="18"/>
        <v>111</v>
      </c>
      <c r="AA46" s="1352">
        <f t="shared" si="15"/>
        <v>1</v>
      </c>
      <c r="AB46" s="1352">
        <f t="shared" si="16"/>
        <v>1</v>
      </c>
      <c r="AC46" s="1352">
        <f t="shared" si="17"/>
        <v>1</v>
      </c>
    </row>
    <row r="47" spans="1:29" ht="15">
      <c r="A47" s="430" t="s">
        <v>1704</v>
      </c>
      <c r="B47" s="431"/>
      <c r="C47" s="1154" t="s">
        <v>16</v>
      </c>
      <c r="D47" s="1155"/>
      <c r="E47" s="1156"/>
      <c r="F47" s="1157"/>
      <c r="G47" s="1158"/>
      <c r="H47" s="1159"/>
      <c r="I47" s="1156"/>
      <c r="J47" s="1159"/>
      <c r="K47" s="1913"/>
      <c r="L47" s="2723"/>
      <c r="M47" s="2724"/>
      <c r="N47" s="2715"/>
      <c r="O47" s="2724"/>
      <c r="P47" s="3681" t="str">
        <f>A47</f>
        <v>成交单价（元/平方米）</v>
      </c>
      <c r="Q47" s="3681"/>
      <c r="R47" s="3752">
        <f>E47</f>
        <v>0</v>
      </c>
      <c r="S47" s="3752"/>
      <c r="T47" s="3752">
        <f>G47</f>
        <v>0</v>
      </c>
      <c r="U47" s="3752"/>
      <c r="V47" s="3752">
        <f>I47</f>
        <v>0</v>
      </c>
      <c r="W47" s="3752"/>
      <c r="X47" s="690"/>
      <c r="Y47" s="712"/>
      <c r="Z47" s="690"/>
      <c r="AA47" s="690"/>
      <c r="AB47" s="690"/>
      <c r="AC47" s="690"/>
    </row>
    <row r="48" spans="1:29" ht="15.75" thickBot="1">
      <c r="A48" s="437" t="s">
        <v>1705</v>
      </c>
      <c r="B48" s="438"/>
      <c r="C48" s="1160" t="e">
        <f>R49</f>
        <v>#DIV/0!</v>
      </c>
      <c r="D48" s="2316" t="s">
        <v>2132</v>
      </c>
      <c r="E48" s="1161" t="e">
        <f>R48</f>
        <v>#DIV/0!</v>
      </c>
      <c r="F48" s="2317"/>
      <c r="G48" s="1160" t="e">
        <f>T48</f>
        <v>#DIV/0!</v>
      </c>
      <c r="H48" s="2317"/>
      <c r="I48" s="1161" t="e">
        <f>V48</f>
        <v>#DIV/0!</v>
      </c>
      <c r="J48" s="2317"/>
      <c r="K48" s="2318">
        <f>F48+H48+J48</f>
        <v>0</v>
      </c>
      <c r="L48" s="2723"/>
      <c r="M48" s="2724"/>
      <c r="N48" s="2724"/>
      <c r="O48" s="2724"/>
      <c r="P48" s="3681" t="str">
        <f>A48</f>
        <v>比较价值（元/平方米）</v>
      </c>
      <c r="Q48" s="368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690"/>
      <c r="Y48" s="690"/>
      <c r="Z48" s="690"/>
      <c r="AA48" s="690"/>
      <c r="AB48" s="690"/>
      <c r="AC48" s="690"/>
    </row>
    <row r="49" spans="1:29" ht="15.75" thickBot="1">
      <c r="A49" s="441" t="s">
        <v>1706</v>
      </c>
      <c r="B49" s="442"/>
      <c r="C49" s="1162" t="e">
        <f>R49</f>
        <v>#DIV/0!</v>
      </c>
      <c r="D49" s="1163"/>
      <c r="E49" s="1163"/>
      <c r="F49" s="1163"/>
      <c r="G49" s="1163"/>
      <c r="H49" s="1163"/>
      <c r="I49" s="1163"/>
      <c r="J49" s="1163"/>
      <c r="K49" s="1914"/>
      <c r="L49" s="2723"/>
      <c r="M49" s="2724"/>
      <c r="N49" s="2724"/>
      <c r="O49" s="2724"/>
      <c r="P49" s="3701" t="str">
        <f>A49</f>
        <v>估价对象XX用房的比较价值（楼面单价，元/平方米）</v>
      </c>
      <c r="Q49" s="3702"/>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1709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1710</v>
      </c>
      <c r="B57" s="690"/>
      <c r="C57" s="695"/>
      <c r="D57" s="695"/>
      <c r="E57" s="695"/>
      <c r="F57" s="696"/>
      <c r="G57" s="696"/>
      <c r="H57" s="695"/>
      <c r="I57" s="695"/>
      <c r="J57" s="695"/>
      <c r="K57" s="941"/>
      <c r="L57" s="942"/>
      <c r="M57" s="940"/>
      <c r="N57" s="940"/>
      <c r="O57" s="940"/>
      <c r="P57" s="1917"/>
      <c r="Q57" s="453"/>
    </row>
    <row r="58" spans="1:29" s="457" customFormat="1" ht="15">
      <c r="A58" s="454" t="s">
        <v>1711</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1712</v>
      </c>
      <c r="B60" s="465"/>
      <c r="C60" s="466"/>
      <c r="D60" s="467"/>
      <c r="E60" s="467"/>
      <c r="F60" s="467"/>
      <c r="G60" s="467"/>
      <c r="H60" s="467"/>
      <c r="I60" s="467"/>
      <c r="J60" s="467"/>
      <c r="K60" s="467"/>
      <c r="L60" s="467"/>
      <c r="M60" s="468"/>
      <c r="N60" s="467"/>
      <c r="O60" s="468"/>
      <c r="P60" s="1919"/>
      <c r="Q60" s="453"/>
    </row>
    <row r="61" spans="1:29" s="108" customFormat="1" ht="15">
      <c r="A61" s="470" t="s">
        <v>1713</v>
      </c>
      <c r="B61" s="459"/>
      <c r="C61" s="471" t="s">
        <v>1714</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1715</v>
      </c>
      <c r="B63" s="477" t="s">
        <v>1681</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1684</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1685</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1686</v>
      </c>
      <c r="B76" s="477" t="s">
        <v>1716</v>
      </c>
      <c r="C76" s="522" t="s">
        <v>1717</v>
      </c>
      <c r="D76" s="522" t="s">
        <v>1718</v>
      </c>
      <c r="E76" s="522" t="s">
        <v>1719</v>
      </c>
      <c r="F76" s="522" t="s">
        <v>1720</v>
      </c>
      <c r="G76" s="522" t="s">
        <v>1721</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1722</v>
      </c>
      <c r="C78" s="527" t="s">
        <v>1717</v>
      </c>
      <c r="D78" s="527" t="s">
        <v>1718</v>
      </c>
      <c r="E78" s="527" t="s">
        <v>1719</v>
      </c>
      <c r="F78" s="527" t="s">
        <v>1720</v>
      </c>
      <c r="G78" s="527" t="s">
        <v>1721</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1723</v>
      </c>
      <c r="C80" s="527" t="s">
        <v>1717</v>
      </c>
      <c r="D80" s="527" t="s">
        <v>1718</v>
      </c>
      <c r="E80" s="527" t="s">
        <v>1719</v>
      </c>
      <c r="F80" s="527" t="s">
        <v>1720</v>
      </c>
      <c r="G80" s="527" t="s">
        <v>1721</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1724</v>
      </c>
      <c r="D82" s="488" t="s">
        <v>1725</v>
      </c>
      <c r="E82" s="488" t="s">
        <v>1726</v>
      </c>
      <c r="F82" s="488" t="s">
        <v>1727</v>
      </c>
      <c r="G82" s="488" t="s">
        <v>1728</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1729</v>
      </c>
      <c r="C84" s="527" t="s">
        <v>1717</v>
      </c>
      <c r="D84" s="527" t="s">
        <v>1718</v>
      </c>
      <c r="E84" s="527" t="s">
        <v>1719</v>
      </c>
      <c r="F84" s="527" t="s">
        <v>1720</v>
      </c>
      <c r="G84" s="527" t="s">
        <v>1721</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1730</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1731</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1690</v>
      </c>
      <c r="B100" s="477" t="s">
        <v>1732</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1733</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1734</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1735</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1736</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1737</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1738</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1739</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1701</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1740</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1741</v>
      </c>
      <c r="C124" s="527" t="s">
        <v>1717</v>
      </c>
      <c r="D124" s="527" t="s">
        <v>1718</v>
      </c>
      <c r="E124" s="527" t="s">
        <v>1719</v>
      </c>
      <c r="F124" s="527" t="s">
        <v>1720</v>
      </c>
      <c r="G124" s="527" t="s">
        <v>1721</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1742</v>
      </c>
    </row>
    <row r="137" spans="1:17" ht="15">
      <c r="B137" s="1929" t="s">
        <v>1743</v>
      </c>
      <c r="C137" s="1930"/>
      <c r="D137" s="1930"/>
      <c r="E137" s="1930"/>
      <c r="F137" s="1930"/>
      <c r="G137" s="1931"/>
      <c r="H137" s="1932"/>
      <c r="I137" s="1933" t="s">
        <v>1744</v>
      </c>
      <c r="J137" s="1930"/>
      <c r="K137" s="1934"/>
    </row>
    <row r="138" spans="1:17" ht="15">
      <c r="B138" s="1935"/>
      <c r="C138" s="137" t="s">
        <v>1745</v>
      </c>
      <c r="D138" s="137" t="s">
        <v>1746</v>
      </c>
      <c r="E138" s="1936" t="s">
        <v>1747</v>
      </c>
      <c r="F138" s="1937" t="s">
        <v>1748</v>
      </c>
      <c r="G138" s="137" t="s">
        <v>1746</v>
      </c>
      <c r="H138" s="138" t="s">
        <v>1747</v>
      </c>
      <c r="I138" s="1938"/>
      <c r="J138" s="137" t="s">
        <v>1749</v>
      </c>
      <c r="K138" s="138" t="s">
        <v>1750</v>
      </c>
    </row>
    <row r="139" spans="1:17" ht="15">
      <c r="B139" s="867">
        <v>6</v>
      </c>
      <c r="C139" s="868">
        <v>96</v>
      </c>
      <c r="D139" s="1939" t="s">
        <v>1751</v>
      </c>
      <c r="E139" s="869">
        <v>100</v>
      </c>
      <c r="F139" s="870">
        <v>102.5</v>
      </c>
      <c r="G139" s="1939" t="s">
        <v>1751</v>
      </c>
      <c r="H139" s="871">
        <v>105</v>
      </c>
      <c r="I139" s="1940" t="s">
        <v>1752</v>
      </c>
      <c r="J139" s="868">
        <v>20</v>
      </c>
      <c r="K139" s="872">
        <f>C145/(J139-2)</f>
        <v>4.0555555555555553E-3</v>
      </c>
    </row>
    <row r="140" spans="1:17" ht="15">
      <c r="B140" s="873">
        <v>5</v>
      </c>
      <c r="C140" s="874">
        <v>100</v>
      </c>
      <c r="D140" s="874"/>
      <c r="E140" s="875"/>
      <c r="F140" s="876">
        <v>102</v>
      </c>
      <c r="G140" s="874"/>
      <c r="H140" s="877"/>
      <c r="I140" s="1941" t="s">
        <v>1753</v>
      </c>
      <c r="J140" s="271">
        <f>ROUNDUP((J139-1)/2,0)</f>
        <v>10</v>
      </c>
      <c r="K140" s="878">
        <v>100</v>
      </c>
    </row>
    <row r="141" spans="1:17" ht="15">
      <c r="B141" s="873">
        <v>4</v>
      </c>
      <c r="C141" s="874">
        <v>102</v>
      </c>
      <c r="D141" s="874"/>
      <c r="E141" s="875"/>
      <c r="F141" s="876">
        <v>101.5</v>
      </c>
      <c r="G141" s="874"/>
      <c r="H141" s="877"/>
      <c r="I141" s="1941" t="s">
        <v>1754</v>
      </c>
      <c r="J141" s="271">
        <v>1</v>
      </c>
      <c r="K141" s="879">
        <f>ROUND(100+(J141-J140)*K139*100,1)</f>
        <v>96.4</v>
      </c>
    </row>
    <row r="142" spans="1:17" ht="15">
      <c r="B142" s="873">
        <v>3</v>
      </c>
      <c r="C142" s="874">
        <v>103</v>
      </c>
      <c r="D142" s="874"/>
      <c r="E142" s="875"/>
      <c r="F142" s="876">
        <v>101</v>
      </c>
      <c r="G142" s="874"/>
      <c r="H142" s="877"/>
      <c r="I142" s="1941" t="s">
        <v>1755</v>
      </c>
      <c r="J142" s="271">
        <f>J139</f>
        <v>20</v>
      </c>
      <c r="K142" s="880">
        <v>95</v>
      </c>
    </row>
    <row r="143" spans="1:17" ht="15">
      <c r="B143" s="873">
        <v>2</v>
      </c>
      <c r="C143" s="874">
        <v>100</v>
      </c>
      <c r="D143" s="874"/>
      <c r="E143" s="875"/>
      <c r="F143" s="876">
        <v>100.5</v>
      </c>
      <c r="G143" s="874"/>
      <c r="H143" s="877"/>
      <c r="I143" s="1941" t="s">
        <v>1756</v>
      </c>
      <c r="J143" s="874">
        <v>15</v>
      </c>
      <c r="K143" s="879">
        <f>ROUND(100+(J143-J140)*K139*100,1)</f>
        <v>102</v>
      </c>
    </row>
    <row r="144" spans="1:17" ht="15">
      <c r="B144" s="873">
        <v>1</v>
      </c>
      <c r="C144" s="874">
        <v>98</v>
      </c>
      <c r="D144" s="1942" t="s">
        <v>1757</v>
      </c>
      <c r="E144" s="875">
        <v>102</v>
      </c>
      <c r="F144" s="881">
        <v>100</v>
      </c>
      <c r="G144" s="1942" t="s">
        <v>1757</v>
      </c>
      <c r="H144" s="877">
        <v>105</v>
      </c>
      <c r="I144" s="1941" t="s">
        <v>1756</v>
      </c>
      <c r="J144" s="874">
        <v>18</v>
      </c>
      <c r="K144" s="879">
        <f>ROUND(100+(J144-J140)*K139*100,1)</f>
        <v>103.2</v>
      </c>
    </row>
    <row r="145" spans="2:11" ht="15.75" thickBot="1">
      <c r="B145" s="1943" t="s">
        <v>1758</v>
      </c>
      <c r="C145" s="882">
        <f>ROUND(MAX(C139:C144)/MIN(C139:C144)-1,3)</f>
        <v>7.2999999999999995E-2</v>
      </c>
      <c r="D145" s="883"/>
      <c r="E145" s="883"/>
      <c r="F145" s="1944" t="s">
        <v>1759</v>
      </c>
      <c r="G145" s="1945"/>
      <c r="H145" s="1946"/>
      <c r="I145" s="1947" t="s">
        <v>1756</v>
      </c>
      <c r="J145" s="884">
        <v>8</v>
      </c>
      <c r="K145" s="885">
        <f>ROUND(100+(J145-J140)*K139*100,1)</f>
        <v>99.2</v>
      </c>
    </row>
    <row r="147" spans="2:11">
      <c r="B147" s="1928" t="s">
        <v>1760</v>
      </c>
    </row>
    <row r="148" spans="2:11">
      <c r="B148" s="1928"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zoomScaleSheetLayoutView="9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1656</v>
      </c>
      <c r="B1" s="1877" t="s">
        <v>1762</v>
      </c>
      <c r="C1" s="1237" t="s">
        <v>1658</v>
      </c>
      <c r="D1" s="1224"/>
      <c r="E1" s="3425"/>
      <c r="F1" s="1878"/>
      <c r="G1" s="1234" t="s">
        <v>1763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1458</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1459</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1460</v>
      </c>
      <c r="B3" s="558">
        <f>IF(C2="——",C49,ROUND(B2*10000/D3,0))</f>
        <v>0</v>
      </c>
      <c r="C3" s="354" t="s">
        <v>1764</v>
      </c>
      <c r="D3" s="353">
        <f>IF(D1="",'数据-汇总表'!E3,SUMIF('数据-汇总表'!$C19:$C33,D1,'数据-汇总表'!$E19:$E33))</f>
        <v>4704.8599999999997</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1765</v>
      </c>
      <c r="B4" s="356"/>
      <c r="C4" s="3682" t="s">
        <v>1766</v>
      </c>
      <c r="D4" s="3683"/>
      <c r="E4" s="3684" t="s">
        <v>1767</v>
      </c>
      <c r="F4" s="3685"/>
      <c r="G4" s="3682" t="s">
        <v>1768</v>
      </c>
      <c r="H4" s="3683"/>
      <c r="I4" s="3682" t="s">
        <v>1769</v>
      </c>
      <c r="J4" s="3683"/>
      <c r="K4" s="559" t="s">
        <v>1770</v>
      </c>
      <c r="L4" s="2714"/>
      <c r="M4" s="2715"/>
      <c r="N4" s="2715"/>
      <c r="O4" s="2715"/>
      <c r="P4" s="3686" t="s">
        <v>1771</v>
      </c>
      <c r="Q4" s="3687"/>
      <c r="R4" s="3669" t="s">
        <v>1767</v>
      </c>
      <c r="S4" s="3670"/>
      <c r="T4" s="3669" t="s">
        <v>1768</v>
      </c>
      <c r="U4" s="3670"/>
      <c r="V4" s="3694" t="s">
        <v>1769</v>
      </c>
      <c r="W4" s="3694"/>
      <c r="X4" s="1354"/>
      <c r="Y4" s="3669" t="s">
        <v>1771</v>
      </c>
      <c r="Z4" s="3670"/>
      <c r="AA4" s="3664" t="s">
        <v>1767</v>
      </c>
      <c r="AB4" s="3694" t="s">
        <v>1768</v>
      </c>
      <c r="AC4" s="3664" t="s">
        <v>1769</v>
      </c>
    </row>
    <row r="5" spans="1:29" ht="15">
      <c r="A5" s="358"/>
      <c r="B5" s="359"/>
      <c r="C5" s="3675" t="s">
        <v>1669</v>
      </c>
      <c r="D5" s="3676"/>
      <c r="E5" s="3673" t="s">
        <v>1670</v>
      </c>
      <c r="F5" s="3674"/>
      <c r="G5" s="3675" t="s">
        <v>1671</v>
      </c>
      <c r="H5" s="3676"/>
      <c r="I5" s="3675" t="s">
        <v>1672</v>
      </c>
      <c r="J5" s="3676"/>
      <c r="K5" s="559"/>
      <c r="L5" s="2714"/>
      <c r="M5" s="2715"/>
      <c r="N5" s="2715"/>
      <c r="O5" s="2715"/>
      <c r="P5" s="3688"/>
      <c r="Q5" s="3689"/>
      <c r="R5" s="3671"/>
      <c r="S5" s="3672"/>
      <c r="T5" s="3671"/>
      <c r="U5" s="3672"/>
      <c r="V5" s="3694"/>
      <c r="W5" s="3694"/>
      <c r="X5" s="1354"/>
      <c r="Y5" s="3671"/>
      <c r="Z5" s="3672"/>
      <c r="AA5" s="3665"/>
      <c r="AB5" s="3694"/>
      <c r="AC5" s="3665"/>
    </row>
    <row r="6" spans="1:29" ht="15.75" thickBot="1">
      <c r="A6" s="360"/>
      <c r="B6" s="361"/>
      <c r="C6" s="3677" t="s">
        <v>1673</v>
      </c>
      <c r="D6" s="3678"/>
      <c r="E6" s="3679" t="s">
        <v>1673</v>
      </c>
      <c r="F6" s="3680"/>
      <c r="G6" s="3677" t="s">
        <v>1673</v>
      </c>
      <c r="H6" s="3678"/>
      <c r="I6" s="3677" t="s">
        <v>1673</v>
      </c>
      <c r="J6" s="3678"/>
      <c r="K6" s="559" t="s">
        <v>1674</v>
      </c>
      <c r="L6" s="2714"/>
      <c r="M6" s="2715"/>
      <c r="N6" s="2715"/>
      <c r="O6" s="2715"/>
      <c r="P6" s="3690"/>
      <c r="Q6" s="3691"/>
      <c r="R6" s="3671"/>
      <c r="S6" s="3672"/>
      <c r="T6" s="3692"/>
      <c r="U6" s="3693"/>
      <c r="V6" s="3694"/>
      <c r="W6" s="3694"/>
      <c r="X6" s="1354"/>
      <c r="Y6" s="3692"/>
      <c r="Z6" s="3693"/>
      <c r="AA6" s="3666"/>
      <c r="AB6" s="3694"/>
      <c r="AC6" s="3666"/>
    </row>
    <row r="7" spans="1:29" s="108" customFormat="1" ht="15.75" thickBot="1">
      <c r="A7" s="362" t="s">
        <v>1675</v>
      </c>
      <c r="B7" s="363"/>
      <c r="C7" s="364">
        <f>'数据-取费表'!B2</f>
        <v>45496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7" t="s">
        <v>1676</v>
      </c>
      <c r="Q7" s="3695"/>
      <c r="R7" s="701" t="s">
        <v>14</v>
      </c>
      <c r="S7" s="702">
        <f t="shared" ref="S7:S15" si="0">F7</f>
        <v>0</v>
      </c>
      <c r="T7" s="701" t="s">
        <v>14</v>
      </c>
      <c r="U7" s="702">
        <f t="shared" ref="U7:U15" si="1">H7</f>
        <v>0</v>
      </c>
      <c r="V7" s="701" t="s">
        <v>14</v>
      </c>
      <c r="W7" s="702">
        <f t="shared" ref="W7:W15" si="2">J7</f>
        <v>0</v>
      </c>
      <c r="X7" s="703"/>
      <c r="Y7" s="3667" t="s">
        <v>1676</v>
      </c>
      <c r="Z7" s="3668"/>
      <c r="AA7" s="704" t="e">
        <f>D7/F7</f>
        <v>#DIV/0!</v>
      </c>
      <c r="AB7" s="704" t="e">
        <f>D7/H7</f>
        <v>#DIV/0!</v>
      </c>
      <c r="AC7" s="704" t="e">
        <f>D7/J7</f>
        <v>#DIV/0!</v>
      </c>
    </row>
    <row r="8" spans="1:29" s="108" customFormat="1" ht="15.75" thickBot="1">
      <c r="A8" s="362" t="s">
        <v>1677</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7" t="s">
        <v>1679</v>
      </c>
      <c r="Q8" s="3668"/>
      <c r="R8" s="701" t="s">
        <v>14</v>
      </c>
      <c r="S8" s="702">
        <f t="shared" si="0"/>
        <v>100</v>
      </c>
      <c r="T8" s="701" t="s">
        <v>14</v>
      </c>
      <c r="U8" s="702">
        <f t="shared" si="1"/>
        <v>100</v>
      </c>
      <c r="V8" s="701" t="s">
        <v>14</v>
      </c>
      <c r="W8" s="702">
        <f t="shared" si="2"/>
        <v>100</v>
      </c>
      <c r="X8" s="703"/>
      <c r="Y8" s="3667" t="s">
        <v>1679</v>
      </c>
      <c r="Z8" s="3668"/>
      <c r="AA8" s="704">
        <f t="shared" ref="AA8:AA46" si="3">D8/F8</f>
        <v>1</v>
      </c>
      <c r="AB8" s="704">
        <f t="shared" ref="AB8:AB46" si="4">D8/H8</f>
        <v>1</v>
      </c>
      <c r="AC8" s="704">
        <f t="shared" ref="AC8:AC46" si="5">D8/J8</f>
        <v>1</v>
      </c>
    </row>
    <row r="9" spans="1:29" s="108" customFormat="1">
      <c r="A9" s="369" t="s">
        <v>1680</v>
      </c>
      <c r="B9" s="63" t="s">
        <v>1681</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5" t="s">
        <v>1682</v>
      </c>
      <c r="Q9" s="1342" t="str">
        <f t="shared" ref="Q9:Q15" si="6">B9</f>
        <v>用途</v>
      </c>
      <c r="R9" s="701" t="s">
        <v>14</v>
      </c>
      <c r="S9" s="702">
        <f t="shared" si="0"/>
        <v>100</v>
      </c>
      <c r="T9" s="701" t="s">
        <v>14</v>
      </c>
      <c r="U9" s="702">
        <f t="shared" si="1"/>
        <v>100</v>
      </c>
      <c r="V9" s="701" t="s">
        <v>14</v>
      </c>
      <c r="W9" s="702">
        <f t="shared" si="2"/>
        <v>100</v>
      </c>
      <c r="X9" s="703"/>
      <c r="Y9" s="3637" t="s">
        <v>1683</v>
      </c>
      <c r="Z9" s="52" t="str">
        <f t="shared" ref="Z9:Z15" si="7">Q9</f>
        <v>用途</v>
      </c>
      <c r="AA9" s="704">
        <f t="shared" si="3"/>
        <v>1</v>
      </c>
      <c r="AB9" s="704">
        <f t="shared" si="4"/>
        <v>1</v>
      </c>
      <c r="AC9" s="704">
        <f t="shared" si="5"/>
        <v>1</v>
      </c>
    </row>
    <row r="10" spans="1:29" s="378" customFormat="1" ht="27">
      <c r="A10" s="374"/>
      <c r="B10" s="375" t="s">
        <v>1684</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1685</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5"/>
      <c r="Q11" s="1342"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5"/>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5"/>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5"/>
      <c r="Q14" s="1342">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71.25">
      <c r="A15" s="391" t="s">
        <v>1686</v>
      </c>
      <c r="B15" s="61" t="s">
        <v>1773</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57" t="s">
        <v>1687</v>
      </c>
      <c r="Q15" s="1351" t="str">
        <f t="shared" si="6"/>
        <v>商业繁华度</v>
      </c>
      <c r="R15" s="705" t="s">
        <v>14</v>
      </c>
      <c r="S15" s="706">
        <f t="shared" si="0"/>
        <v>100</v>
      </c>
      <c r="T15" s="705" t="s">
        <v>14</v>
      </c>
      <c r="U15" s="706">
        <f t="shared" si="1"/>
        <v>100</v>
      </c>
      <c r="V15" s="705" t="s">
        <v>14</v>
      </c>
      <c r="W15" s="706">
        <f t="shared" si="2"/>
        <v>100</v>
      </c>
      <c r="X15" s="1354"/>
      <c r="Y15" s="3696" t="s">
        <v>1687</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58"/>
      <c r="Q16" s="1351"/>
      <c r="R16" s="705"/>
      <c r="S16" s="706"/>
      <c r="T16" s="705"/>
      <c r="U16" s="706"/>
      <c r="V16" s="705"/>
      <c r="W16" s="706"/>
      <c r="X16" s="1354"/>
      <c r="Y16" s="369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58"/>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58"/>
      <c r="Q18" s="1351"/>
      <c r="R18" s="705"/>
      <c r="S18" s="706"/>
      <c r="T18" s="705"/>
      <c r="U18" s="706"/>
      <c r="V18" s="705"/>
      <c r="W18" s="706"/>
      <c r="X18" s="1354"/>
      <c r="Y18" s="3697"/>
      <c r="Z18" s="1355"/>
      <c r="AA18" s="1352">
        <v>1</v>
      </c>
      <c r="AB18" s="1352">
        <v>1</v>
      </c>
      <c r="AC18" s="1352">
        <v>1</v>
      </c>
    </row>
    <row r="19" spans="1:29" ht="42.75">
      <c r="A19" s="379"/>
      <c r="B19" s="402" t="s">
        <v>1774</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58"/>
      <c r="Q19" s="1351" t="str">
        <f>B19</f>
        <v>公共配套设施</v>
      </c>
      <c r="R19" s="705" t="s">
        <v>14</v>
      </c>
      <c r="S19" s="706">
        <f>F19</f>
        <v>100</v>
      </c>
      <c r="T19" s="705" t="s">
        <v>14</v>
      </c>
      <c r="U19" s="706">
        <f>H19</f>
        <v>100</v>
      </c>
      <c r="V19" s="705" t="s">
        <v>14</v>
      </c>
      <c r="W19" s="706">
        <f>J19</f>
        <v>100</v>
      </c>
      <c r="X19" s="1354"/>
      <c r="Y19" s="369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58"/>
      <c r="Q20" s="1351"/>
      <c r="R20" s="705"/>
      <c r="S20" s="706"/>
      <c r="T20" s="705"/>
      <c r="U20" s="706"/>
      <c r="V20" s="705"/>
      <c r="W20" s="706"/>
      <c r="X20" s="1354"/>
      <c r="Y20" s="3697"/>
      <c r="Z20" s="1355"/>
      <c r="AA20" s="1352">
        <v>1</v>
      </c>
      <c r="AB20" s="1352">
        <v>1</v>
      </c>
      <c r="AC20" s="1352">
        <v>1</v>
      </c>
    </row>
    <row r="21" spans="1:29" ht="28.5">
      <c r="A21" s="379"/>
      <c r="B21" s="1131" t="s">
        <v>1775</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58"/>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58"/>
      <c r="Q22" s="1351"/>
      <c r="R22" s="705"/>
      <c r="S22" s="706"/>
      <c r="T22" s="705"/>
      <c r="U22" s="706"/>
      <c r="V22" s="705"/>
      <c r="W22" s="706"/>
      <c r="X22" s="1354"/>
      <c r="Y22" s="369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58"/>
      <c r="Q23" s="1351" t="str">
        <f>B23</f>
        <v>自然及人文环境</v>
      </c>
      <c r="R23" s="705" t="s">
        <v>14</v>
      </c>
      <c r="S23" s="706">
        <f>F23</f>
        <v>100</v>
      </c>
      <c r="T23" s="705" t="s">
        <v>14</v>
      </c>
      <c r="U23" s="706">
        <f>H23</f>
        <v>100</v>
      </c>
      <c r="V23" s="705" t="s">
        <v>14</v>
      </c>
      <c r="W23" s="706">
        <f>J23</f>
        <v>100</v>
      </c>
      <c r="X23" s="1354"/>
      <c r="Y23" s="369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58"/>
      <c r="Q24" s="1351"/>
      <c r="R24" s="705"/>
      <c r="S24" s="706"/>
      <c r="T24" s="705"/>
      <c r="U24" s="706"/>
      <c r="V24" s="705"/>
      <c r="W24" s="706"/>
      <c r="X24" s="1354"/>
      <c r="Y24" s="3697"/>
      <c r="Z24" s="1355"/>
      <c r="AA24" s="1352">
        <v>1</v>
      </c>
      <c r="AB24" s="1352">
        <v>1</v>
      </c>
      <c r="AC24" s="1352">
        <v>1</v>
      </c>
    </row>
    <row r="25" spans="1:29" ht="15">
      <c r="A25" s="379"/>
      <c r="B25" s="375" t="s">
        <v>1776</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58"/>
      <c r="Q25" s="1351" t="str">
        <f t="shared" ref="Q25:Q46" si="11">B25</f>
        <v>临街状况</v>
      </c>
      <c r="R25" s="705" t="s">
        <v>14</v>
      </c>
      <c r="S25" s="706">
        <f>F25</f>
        <v>100</v>
      </c>
      <c r="T25" s="705" t="s">
        <v>14</v>
      </c>
      <c r="U25" s="706">
        <f>H25</f>
        <v>100</v>
      </c>
      <c r="V25" s="705" t="s">
        <v>14</v>
      </c>
      <c r="W25" s="706">
        <f>J25</f>
        <v>100</v>
      </c>
      <c r="X25" s="1354"/>
      <c r="Y25" s="3697"/>
      <c r="Z25" s="1355" t="str">
        <f>Q25</f>
        <v>临街状况</v>
      </c>
      <c r="AA25" s="1352">
        <f t="shared" si="3"/>
        <v>1</v>
      </c>
      <c r="AB25" s="1352">
        <f t="shared" si="4"/>
        <v>1</v>
      </c>
      <c r="AC25" s="1352">
        <f t="shared" si="5"/>
        <v>1</v>
      </c>
    </row>
    <row r="26" spans="1:29" ht="15">
      <c r="A26" s="379"/>
      <c r="B26" s="1133" t="s">
        <v>1777</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58"/>
      <c r="Q26" s="1351" t="str">
        <f t="shared" si="11"/>
        <v>平面位置/可视性</v>
      </c>
      <c r="R26" s="705" t="s">
        <v>14</v>
      </c>
      <c r="S26" s="706">
        <f>F26</f>
        <v>100</v>
      </c>
      <c r="T26" s="705" t="s">
        <v>14</v>
      </c>
      <c r="U26" s="706">
        <f>H26</f>
        <v>100</v>
      </c>
      <c r="V26" s="705" t="s">
        <v>14</v>
      </c>
      <c r="W26" s="706">
        <f>J26</f>
        <v>100</v>
      </c>
      <c r="X26" s="1354"/>
      <c r="Y26" s="3697"/>
      <c r="Z26" s="1355" t="str">
        <f>Q26</f>
        <v>平面位置/可视性</v>
      </c>
      <c r="AA26" s="1352">
        <f t="shared" si="3"/>
        <v>1</v>
      </c>
      <c r="AB26" s="1352">
        <f t="shared" si="4"/>
        <v>1</v>
      </c>
      <c r="AC26" s="1352">
        <f t="shared" si="5"/>
        <v>1</v>
      </c>
    </row>
    <row r="27" spans="1:29" s="108" customFormat="1" ht="15">
      <c r="A27" s="382"/>
      <c r="B27" s="402" t="s">
        <v>1778</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58"/>
      <c r="Q27" s="1342" t="str">
        <f t="shared" si="11"/>
        <v>人流量</v>
      </c>
      <c r="R27" s="701" t="s">
        <v>14</v>
      </c>
      <c r="S27" s="702">
        <f>F27</f>
        <v>100</v>
      </c>
      <c r="T27" s="701" t="s">
        <v>14</v>
      </c>
      <c r="U27" s="702">
        <f>H27</f>
        <v>100</v>
      </c>
      <c r="V27" s="701" t="s">
        <v>14</v>
      </c>
      <c r="W27" s="702">
        <f>J27</f>
        <v>100</v>
      </c>
      <c r="X27" s="703"/>
      <c r="Y27" s="3697"/>
      <c r="Z27" s="52" t="str">
        <f>Q27</f>
        <v>人流量</v>
      </c>
      <c r="AA27" s="1352">
        <f>D27/F27</f>
        <v>1</v>
      </c>
      <c r="AB27" s="1352">
        <f>D27/H27</f>
        <v>1</v>
      </c>
      <c r="AC27" s="1352">
        <f>D27/J27</f>
        <v>1</v>
      </c>
    </row>
    <row r="28" spans="1:29" ht="15">
      <c r="A28" s="379"/>
      <c r="B28" s="375" t="s">
        <v>1779</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5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8"/>
      <c r="Q29" s="1351">
        <f t="shared" si="11"/>
        <v>111</v>
      </c>
      <c r="R29" s="705" t="s">
        <v>14</v>
      </c>
      <c r="S29" s="706">
        <f t="shared" si="12"/>
        <v>100</v>
      </c>
      <c r="T29" s="705" t="s">
        <v>14</v>
      </c>
      <c r="U29" s="706">
        <f t="shared" si="13"/>
        <v>100</v>
      </c>
      <c r="V29" s="705" t="s">
        <v>14</v>
      </c>
      <c r="W29" s="706">
        <f t="shared" si="14"/>
        <v>100</v>
      </c>
      <c r="X29" s="1354"/>
      <c r="Y29" s="369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8"/>
      <c r="Q30" s="1351">
        <f t="shared" si="11"/>
        <v>111</v>
      </c>
      <c r="R30" s="705" t="s">
        <v>14</v>
      </c>
      <c r="S30" s="706">
        <f t="shared" si="12"/>
        <v>100</v>
      </c>
      <c r="T30" s="705" t="s">
        <v>14</v>
      </c>
      <c r="U30" s="706">
        <f t="shared" si="13"/>
        <v>100</v>
      </c>
      <c r="V30" s="705" t="s">
        <v>14</v>
      </c>
      <c r="W30" s="706">
        <f t="shared" si="14"/>
        <v>100</v>
      </c>
      <c r="X30" s="1354"/>
      <c r="Y30" s="369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8"/>
      <c r="Q31" s="1351">
        <f t="shared" si="11"/>
        <v>111</v>
      </c>
      <c r="R31" s="705" t="s">
        <v>14</v>
      </c>
      <c r="S31" s="706">
        <f t="shared" si="12"/>
        <v>100</v>
      </c>
      <c r="T31" s="705" t="s">
        <v>14</v>
      </c>
      <c r="U31" s="706">
        <f t="shared" si="13"/>
        <v>100</v>
      </c>
      <c r="V31" s="705" t="s">
        <v>14</v>
      </c>
      <c r="W31" s="706">
        <f t="shared" si="14"/>
        <v>100</v>
      </c>
      <c r="X31" s="1354"/>
      <c r="Y31" s="3697"/>
      <c r="Z31" s="1355">
        <f t="shared" si="15"/>
        <v>111</v>
      </c>
      <c r="AA31" s="1352">
        <f t="shared" si="3"/>
        <v>1</v>
      </c>
      <c r="AB31" s="1352">
        <f t="shared" si="4"/>
        <v>1</v>
      </c>
      <c r="AC31" s="1352">
        <f t="shared" si="5"/>
        <v>1</v>
      </c>
    </row>
    <row r="32" spans="1:29" ht="15">
      <c r="A32" s="391" t="s">
        <v>1690</v>
      </c>
      <c r="B32" s="63" t="s">
        <v>1780</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3" t="s">
        <v>1692</v>
      </c>
      <c r="Q32" s="1351" t="str">
        <f t="shared" si="11"/>
        <v>商业类型</v>
      </c>
      <c r="R32" s="705" t="s">
        <v>14</v>
      </c>
      <c r="S32" s="706">
        <f t="shared" si="12"/>
        <v>100</v>
      </c>
      <c r="T32" s="705" t="s">
        <v>14</v>
      </c>
      <c r="U32" s="706">
        <f t="shared" si="13"/>
        <v>100</v>
      </c>
      <c r="V32" s="705" t="s">
        <v>14</v>
      </c>
      <c r="W32" s="706">
        <f t="shared" si="14"/>
        <v>100</v>
      </c>
      <c r="X32" s="1354"/>
      <c r="Y32" s="3699" t="s">
        <v>1692</v>
      </c>
      <c r="Z32" s="1355" t="str">
        <f t="shared" si="15"/>
        <v>商业类型</v>
      </c>
      <c r="AA32" s="1352">
        <f t="shared" si="3"/>
        <v>1</v>
      </c>
      <c r="AB32" s="1352">
        <f t="shared" si="4"/>
        <v>1</v>
      </c>
      <c r="AC32" s="1352">
        <f t="shared" si="5"/>
        <v>1</v>
      </c>
    </row>
    <row r="33" spans="1:29" s="422" customFormat="1" ht="15">
      <c r="A33" s="419"/>
      <c r="B33" s="375" t="s">
        <v>1693</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54"/>
      <c r="Q33" s="707" t="str">
        <f t="shared" si="11"/>
        <v>项目建筑规模</v>
      </c>
      <c r="R33" s="708" t="s">
        <v>14</v>
      </c>
      <c r="S33" s="709" t="e">
        <f t="shared" si="12"/>
        <v>#N/A</v>
      </c>
      <c r="T33" s="708" t="s">
        <v>14</v>
      </c>
      <c r="U33" s="709" t="e">
        <f t="shared" si="13"/>
        <v>#N/A</v>
      </c>
      <c r="V33" s="708" t="s">
        <v>14</v>
      </c>
      <c r="W33" s="709" t="e">
        <f t="shared" si="14"/>
        <v>#N/A</v>
      </c>
      <c r="X33" s="710"/>
      <c r="Y33" s="3699"/>
      <c r="Z33" s="711" t="str">
        <f t="shared" si="15"/>
        <v>项目建筑规模</v>
      </c>
      <c r="AA33" s="1352" t="e">
        <f t="shared" si="3"/>
        <v>#N/A</v>
      </c>
      <c r="AB33" s="1352" t="e">
        <f t="shared" si="4"/>
        <v>#N/A</v>
      </c>
      <c r="AC33" s="1352" t="e">
        <f t="shared" si="5"/>
        <v>#N/A</v>
      </c>
    </row>
    <row r="34" spans="1:29" ht="15">
      <c r="A34" s="423"/>
      <c r="B34" s="375" t="s">
        <v>1694</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54"/>
      <c r="Q34" s="1351" t="str">
        <f t="shared" si="11"/>
        <v>建筑结构</v>
      </c>
      <c r="R34" s="705" t="s">
        <v>14</v>
      </c>
      <c r="S34" s="706">
        <f t="shared" si="12"/>
        <v>100</v>
      </c>
      <c r="T34" s="705" t="s">
        <v>14</v>
      </c>
      <c r="U34" s="706">
        <f t="shared" si="13"/>
        <v>100</v>
      </c>
      <c r="V34" s="705" t="s">
        <v>14</v>
      </c>
      <c r="W34" s="706">
        <f t="shared" si="14"/>
        <v>100</v>
      </c>
      <c r="X34" s="1354"/>
      <c r="Y34" s="3699"/>
      <c r="Z34" s="1355" t="str">
        <f t="shared" si="15"/>
        <v>建筑结构</v>
      </c>
      <c r="AA34" s="1352">
        <f t="shared" si="3"/>
        <v>1</v>
      </c>
      <c r="AB34" s="1352">
        <f t="shared" si="4"/>
        <v>1</v>
      </c>
      <c r="AC34" s="1352">
        <f t="shared" si="5"/>
        <v>1</v>
      </c>
    </row>
    <row r="35" spans="1:29" ht="15">
      <c r="A35" s="423"/>
      <c r="B35" s="375" t="s">
        <v>1781</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54"/>
      <c r="Q35" s="1351" t="str">
        <f t="shared" si="11"/>
        <v>公共部分装修</v>
      </c>
      <c r="R35" s="705" t="s">
        <v>14</v>
      </c>
      <c r="S35" s="706">
        <f t="shared" si="12"/>
        <v>100</v>
      </c>
      <c r="T35" s="705" t="s">
        <v>14</v>
      </c>
      <c r="U35" s="706">
        <f t="shared" si="13"/>
        <v>100</v>
      </c>
      <c r="V35" s="705" t="s">
        <v>14</v>
      </c>
      <c r="W35" s="706">
        <f t="shared" si="14"/>
        <v>100</v>
      </c>
      <c r="X35" s="1354"/>
      <c r="Y35" s="3699"/>
      <c r="Z35" s="1355" t="str">
        <f t="shared" si="15"/>
        <v>公共部分装修</v>
      </c>
      <c r="AA35" s="1352">
        <f t="shared" si="3"/>
        <v>1</v>
      </c>
      <c r="AB35" s="1352">
        <f t="shared" si="4"/>
        <v>1</v>
      </c>
      <c r="AC35" s="1352">
        <f t="shared" si="5"/>
        <v>1</v>
      </c>
    </row>
    <row r="36" spans="1:29" ht="15">
      <c r="A36" s="423"/>
      <c r="B36" s="375" t="s">
        <v>1782</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54"/>
      <c r="Q36" s="1351" t="str">
        <f t="shared" si="11"/>
        <v>成新度</v>
      </c>
      <c r="R36" s="705" t="s">
        <v>14</v>
      </c>
      <c r="S36" s="706" t="e">
        <f t="shared" si="12"/>
        <v>#N/A</v>
      </c>
      <c r="T36" s="705" t="s">
        <v>14</v>
      </c>
      <c r="U36" s="706" t="e">
        <f t="shared" si="13"/>
        <v>#N/A</v>
      </c>
      <c r="V36" s="705" t="s">
        <v>14</v>
      </c>
      <c r="W36" s="706" t="e">
        <f t="shared" si="14"/>
        <v>#N/A</v>
      </c>
      <c r="X36" s="1354"/>
      <c r="Y36" s="3699"/>
      <c r="Z36" s="1355" t="str">
        <f t="shared" si="15"/>
        <v>成新度</v>
      </c>
      <c r="AA36" s="1352" t="e">
        <f t="shared" si="3"/>
        <v>#N/A</v>
      </c>
      <c r="AB36" s="1352" t="e">
        <f t="shared" si="4"/>
        <v>#N/A</v>
      </c>
      <c r="AC36" s="1352" t="e">
        <f t="shared" si="5"/>
        <v>#N/A</v>
      </c>
    </row>
    <row r="37" spans="1:29" s="108" customFormat="1" ht="15">
      <c r="A37" s="424"/>
      <c r="B37" s="375" t="s">
        <v>1783</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54"/>
      <c r="Q37" s="1342" t="str">
        <f t="shared" si="11"/>
        <v>市政基础设施</v>
      </c>
      <c r="R37" s="701" t="s">
        <v>14</v>
      </c>
      <c r="S37" s="702">
        <f t="shared" si="12"/>
        <v>100</v>
      </c>
      <c r="T37" s="701" t="s">
        <v>14</v>
      </c>
      <c r="U37" s="702">
        <f t="shared" si="13"/>
        <v>100</v>
      </c>
      <c r="V37" s="701" t="s">
        <v>14</v>
      </c>
      <c r="W37" s="702">
        <f t="shared" si="14"/>
        <v>100</v>
      </c>
      <c r="X37" s="703"/>
      <c r="Y37" s="3699"/>
      <c r="Z37" s="52" t="str">
        <f t="shared" si="15"/>
        <v>市政基础设施</v>
      </c>
      <c r="AA37" s="704">
        <f t="shared" si="3"/>
        <v>1</v>
      </c>
      <c r="AB37" s="704">
        <f t="shared" si="4"/>
        <v>1</v>
      </c>
      <c r="AC37" s="704">
        <f t="shared" si="5"/>
        <v>1</v>
      </c>
    </row>
    <row r="38" spans="1:29" ht="15">
      <c r="A38" s="423"/>
      <c r="B38" s="375" t="s">
        <v>1784</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54" t="s">
        <v>1692</v>
      </c>
      <c r="Q38" s="1351" t="str">
        <f t="shared" si="11"/>
        <v>业态</v>
      </c>
      <c r="R38" s="705" t="s">
        <v>14</v>
      </c>
      <c r="S38" s="706">
        <f t="shared" si="12"/>
        <v>100</v>
      </c>
      <c r="T38" s="705" t="s">
        <v>14</v>
      </c>
      <c r="U38" s="706">
        <f t="shared" si="13"/>
        <v>100</v>
      </c>
      <c r="V38" s="705" t="s">
        <v>14</v>
      </c>
      <c r="W38" s="706">
        <f t="shared" si="14"/>
        <v>100</v>
      </c>
      <c r="X38" s="1354"/>
      <c r="Y38" s="3699" t="s">
        <v>1692</v>
      </c>
      <c r="Z38" s="1355" t="str">
        <f t="shared" si="15"/>
        <v>业态</v>
      </c>
      <c r="AA38" s="1352">
        <f t="shared" si="3"/>
        <v>1</v>
      </c>
      <c r="AB38" s="1352">
        <f t="shared" si="4"/>
        <v>1</v>
      </c>
      <c r="AC38" s="1352">
        <f t="shared" si="5"/>
        <v>1</v>
      </c>
    </row>
    <row r="39" spans="1:29" ht="15">
      <c r="A39" s="423"/>
      <c r="B39" s="375" t="s">
        <v>1785</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54"/>
      <c r="Q39" s="1351" t="str">
        <f t="shared" si="11"/>
        <v>层高</v>
      </c>
      <c r="R39" s="705" t="s">
        <v>14</v>
      </c>
      <c r="S39" s="706">
        <f t="shared" si="12"/>
        <v>100</v>
      </c>
      <c r="T39" s="705" t="s">
        <v>14</v>
      </c>
      <c r="U39" s="706">
        <f t="shared" si="13"/>
        <v>100</v>
      </c>
      <c r="V39" s="705" t="s">
        <v>14</v>
      </c>
      <c r="W39" s="706">
        <f t="shared" si="14"/>
        <v>100</v>
      </c>
      <c r="X39" s="1354"/>
      <c r="Y39" s="3699"/>
      <c r="Z39" s="1355" t="str">
        <f t="shared" si="15"/>
        <v>层高</v>
      </c>
      <c r="AA39" s="1352">
        <f t="shared" si="3"/>
        <v>1</v>
      </c>
      <c r="AB39" s="1352">
        <f t="shared" si="4"/>
        <v>1</v>
      </c>
      <c r="AC39" s="1352">
        <f t="shared" si="5"/>
        <v>1</v>
      </c>
    </row>
    <row r="40" spans="1:29" ht="15">
      <c r="A40" s="423"/>
      <c r="B40" s="375" t="s">
        <v>1786</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54"/>
      <c r="Q40" s="1351" t="str">
        <f t="shared" si="11"/>
        <v>单套建筑面积</v>
      </c>
      <c r="R40" s="705" t="s">
        <v>14</v>
      </c>
      <c r="S40" s="706">
        <f t="shared" si="12"/>
        <v>100</v>
      </c>
      <c r="T40" s="705" t="s">
        <v>14</v>
      </c>
      <c r="U40" s="706">
        <f t="shared" si="13"/>
        <v>100</v>
      </c>
      <c r="V40" s="705" t="s">
        <v>14</v>
      </c>
      <c r="W40" s="706">
        <f t="shared" si="14"/>
        <v>100</v>
      </c>
      <c r="X40" s="1354"/>
      <c r="Y40" s="3699"/>
      <c r="Z40" s="1355" t="str">
        <f t="shared" si="15"/>
        <v>单套建筑面积</v>
      </c>
      <c r="AA40" s="1352">
        <f t="shared" si="3"/>
        <v>1</v>
      </c>
      <c r="AB40" s="1352">
        <f t="shared" si="4"/>
        <v>1</v>
      </c>
      <c r="AC40" s="1352">
        <f t="shared" si="5"/>
        <v>1</v>
      </c>
    </row>
    <row r="41" spans="1:29" s="422" customFormat="1" ht="15">
      <c r="A41" s="419"/>
      <c r="B41" s="1353" t="s">
        <v>1787</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54"/>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1352">
        <f t="shared" si="3"/>
        <v>1</v>
      </c>
      <c r="AB41" s="1352">
        <f t="shared" si="4"/>
        <v>1</v>
      </c>
      <c r="AC41" s="1352">
        <f t="shared" si="5"/>
        <v>1</v>
      </c>
    </row>
    <row r="42" spans="1:29" ht="15">
      <c r="A42" s="423"/>
      <c r="B42" s="375" t="s">
        <v>1788</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54"/>
      <c r="Q42" s="1351" t="str">
        <f t="shared" si="11"/>
        <v>内部装修</v>
      </c>
      <c r="R42" s="705" t="s">
        <v>14</v>
      </c>
      <c r="S42" s="706">
        <f t="shared" si="12"/>
        <v>100</v>
      </c>
      <c r="T42" s="705" t="s">
        <v>14</v>
      </c>
      <c r="U42" s="706">
        <f t="shared" si="13"/>
        <v>100</v>
      </c>
      <c r="V42" s="705" t="s">
        <v>14</v>
      </c>
      <c r="W42" s="706">
        <f t="shared" si="14"/>
        <v>100</v>
      </c>
      <c r="X42" s="1354"/>
      <c r="Y42" s="3699"/>
      <c r="Z42" s="1355" t="str">
        <f t="shared" si="15"/>
        <v>内部装修</v>
      </c>
      <c r="AA42" s="1352">
        <f t="shared" si="3"/>
        <v>1</v>
      </c>
      <c r="AB42" s="1352">
        <f t="shared" si="4"/>
        <v>1</v>
      </c>
      <c r="AC42" s="1352">
        <f t="shared" si="5"/>
        <v>1</v>
      </c>
    </row>
    <row r="43" spans="1:29" ht="15">
      <c r="A43" s="423"/>
      <c r="B43" s="375" t="s">
        <v>1703</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54"/>
      <c r="Q43" s="1351" t="str">
        <f t="shared" si="11"/>
        <v>内部装修维护情况</v>
      </c>
      <c r="R43" s="705" t="s">
        <v>14</v>
      </c>
      <c r="S43" s="706">
        <f t="shared" si="12"/>
        <v>100</v>
      </c>
      <c r="T43" s="705" t="s">
        <v>14</v>
      </c>
      <c r="U43" s="706">
        <f t="shared" si="13"/>
        <v>100</v>
      </c>
      <c r="V43" s="705" t="s">
        <v>14</v>
      </c>
      <c r="W43" s="706">
        <f t="shared" si="14"/>
        <v>100</v>
      </c>
      <c r="X43" s="1354"/>
      <c r="Y43" s="369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54"/>
      <c r="Q44" s="1342">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54"/>
      <c r="Q45" s="1351">
        <f t="shared" si="11"/>
        <v>111</v>
      </c>
      <c r="R45" s="705" t="s">
        <v>14</v>
      </c>
      <c r="S45" s="706">
        <f t="shared" si="12"/>
        <v>100</v>
      </c>
      <c r="T45" s="705" t="s">
        <v>14</v>
      </c>
      <c r="U45" s="706">
        <f t="shared" si="13"/>
        <v>100</v>
      </c>
      <c r="V45" s="705" t="s">
        <v>14</v>
      </c>
      <c r="W45" s="706">
        <f t="shared" si="14"/>
        <v>100</v>
      </c>
      <c r="X45" s="1354"/>
      <c r="Y45" s="369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55"/>
      <c r="Q46" s="1351">
        <f t="shared" si="11"/>
        <v>111</v>
      </c>
      <c r="R46" s="705" t="s">
        <v>14</v>
      </c>
      <c r="S46" s="706">
        <f t="shared" si="12"/>
        <v>100</v>
      </c>
      <c r="T46" s="705" t="s">
        <v>14</v>
      </c>
      <c r="U46" s="706">
        <f t="shared" si="13"/>
        <v>100</v>
      </c>
      <c r="V46" s="705" t="s">
        <v>14</v>
      </c>
      <c r="W46" s="706">
        <f t="shared" si="14"/>
        <v>100</v>
      </c>
      <c r="X46" s="1354"/>
      <c r="Y46" s="3756"/>
      <c r="Z46" s="1355">
        <f t="shared" si="15"/>
        <v>111</v>
      </c>
      <c r="AA46" s="1352">
        <f t="shared" si="3"/>
        <v>1</v>
      </c>
      <c r="AB46" s="1352">
        <f t="shared" si="4"/>
        <v>1</v>
      </c>
      <c r="AC46" s="1352">
        <f t="shared" si="5"/>
        <v>1</v>
      </c>
    </row>
    <row r="47" spans="1:29" ht="15">
      <c r="A47" s="430" t="s">
        <v>1704</v>
      </c>
      <c r="B47" s="431"/>
      <c r="C47" s="1154" t="s">
        <v>0</v>
      </c>
      <c r="D47" s="1155"/>
      <c r="E47" s="1156"/>
      <c r="F47" s="1157"/>
      <c r="G47" s="1158"/>
      <c r="H47" s="1159"/>
      <c r="I47" s="1156"/>
      <c r="J47" s="1159"/>
      <c r="K47" s="714"/>
      <c r="L47" s="2723"/>
      <c r="M47" s="2724"/>
      <c r="N47" s="2715"/>
      <c r="O47" s="2724"/>
      <c r="P47" s="3681" t="str">
        <f>A47</f>
        <v>成交单价（元/平方米）</v>
      </c>
      <c r="Q47" s="3681"/>
      <c r="R47" s="3694">
        <f>E47</f>
        <v>0</v>
      </c>
      <c r="S47" s="3694"/>
      <c r="T47" s="3694">
        <f>G47</f>
        <v>0</v>
      </c>
      <c r="U47" s="3694"/>
      <c r="V47" s="3694">
        <f>I47</f>
        <v>0</v>
      </c>
      <c r="W47" s="3694"/>
      <c r="X47" s="690"/>
      <c r="Y47" s="712"/>
      <c r="Z47" s="690"/>
      <c r="AA47" s="690"/>
      <c r="AB47" s="690"/>
      <c r="AC47" s="690"/>
    </row>
    <row r="48" spans="1:29" ht="15.75" thickBot="1">
      <c r="A48" s="437" t="s">
        <v>1789</v>
      </c>
      <c r="B48" s="438"/>
      <c r="C48" s="1160" t="e">
        <f>R49</f>
        <v>#DIV/0!</v>
      </c>
      <c r="D48" s="2316" t="s">
        <v>2132</v>
      </c>
      <c r="E48" s="1161" t="e">
        <f>R48</f>
        <v>#DIV/0!</v>
      </c>
      <c r="F48" s="2317"/>
      <c r="G48" s="1160" t="e">
        <f>T48</f>
        <v>#DIV/0!</v>
      </c>
      <c r="H48" s="2317"/>
      <c r="I48" s="1161" t="e">
        <f>V48</f>
        <v>#DIV/0!</v>
      </c>
      <c r="J48" s="2317"/>
      <c r="K48" s="2319">
        <f>F48+H48+J48</f>
        <v>0</v>
      </c>
      <c r="L48" s="2723"/>
      <c r="M48" s="2724"/>
      <c r="N48" s="2715"/>
      <c r="O48" s="2724"/>
      <c r="P48" s="3681" t="str">
        <f>A48</f>
        <v>比较价值（元/平方米）</v>
      </c>
      <c r="Q48" s="368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690"/>
      <c r="Y48" s="690"/>
      <c r="Z48" s="690"/>
      <c r="AA48" s="690"/>
      <c r="AB48" s="690"/>
      <c r="AC48" s="690"/>
    </row>
    <row r="49" spans="1:29" ht="15.75" thickBot="1">
      <c r="A49" s="441" t="s">
        <v>1790</v>
      </c>
      <c r="B49" s="442"/>
      <c r="C49" s="1163" t="e">
        <f>R49</f>
        <v>#DIV/0!</v>
      </c>
      <c r="D49" s="1163"/>
      <c r="E49" s="1163"/>
      <c r="F49" s="1163"/>
      <c r="G49" s="1163"/>
      <c r="H49" s="1163"/>
      <c r="I49" s="1163"/>
      <c r="J49" s="1163"/>
      <c r="K49" s="715"/>
      <c r="L49" s="2723"/>
      <c r="M49" s="2724"/>
      <c r="N49" s="2715"/>
      <c r="O49" s="2724"/>
      <c r="P49" s="3701" t="str">
        <f>A49</f>
        <v>估价对象XX用房的比较价值（楼面单价，元/平方米）</v>
      </c>
      <c r="Q49" s="3702"/>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1794</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1675</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1712</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1677</v>
      </c>
      <c r="B61" s="459"/>
      <c r="C61" s="471" t="s">
        <v>1772</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1715</v>
      </c>
      <c r="B63" s="477" t="s">
        <v>1681</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1684</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1685</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1686</v>
      </c>
      <c r="B76" s="477" t="s">
        <v>1716</v>
      </c>
      <c r="C76" s="522" t="s">
        <v>1717</v>
      </c>
      <c r="D76" s="522" t="s">
        <v>1718</v>
      </c>
      <c r="E76" s="522" t="s">
        <v>1719</v>
      </c>
      <c r="F76" s="522" t="s">
        <v>1720</v>
      </c>
      <c r="G76" s="522" t="s">
        <v>1721</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1722</v>
      </c>
      <c r="C78" s="527" t="s">
        <v>1717</v>
      </c>
      <c r="D78" s="527" t="s">
        <v>1718</v>
      </c>
      <c r="E78" s="527" t="s">
        <v>1719</v>
      </c>
      <c r="F78" s="527" t="s">
        <v>1720</v>
      </c>
      <c r="G78" s="527" t="s">
        <v>1721</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1723</v>
      </c>
      <c r="C80" s="527" t="s">
        <v>1717</v>
      </c>
      <c r="D80" s="527" t="s">
        <v>1718</v>
      </c>
      <c r="E80" s="527" t="s">
        <v>1719</v>
      </c>
      <c r="F80" s="527" t="s">
        <v>1720</v>
      </c>
      <c r="G80" s="527" t="s">
        <v>1721</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1775</v>
      </c>
      <c r="C82" s="608" t="s">
        <v>1795</v>
      </c>
      <c r="D82" s="608" t="s">
        <v>1796</v>
      </c>
      <c r="E82" s="608" t="s">
        <v>1797</v>
      </c>
      <c r="F82" s="608" t="s">
        <v>1798</v>
      </c>
      <c r="G82" s="608" t="s">
        <v>1799</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1729</v>
      </c>
      <c r="C84" s="527" t="s">
        <v>1717</v>
      </c>
      <c r="D84" s="527" t="s">
        <v>1718</v>
      </c>
      <c r="E84" s="527" t="s">
        <v>1719</v>
      </c>
      <c r="F84" s="527" t="s">
        <v>1720</v>
      </c>
      <c r="G84" s="527" t="s">
        <v>1721</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1800</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1690</v>
      </c>
      <c r="B100" s="477" t="s">
        <v>1801</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1733</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1734</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1736</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1738</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1802</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1803</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1804</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1805</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1740</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1741</v>
      </c>
      <c r="C124" s="527" t="s">
        <v>1717</v>
      </c>
      <c r="D124" s="527" t="s">
        <v>1718</v>
      </c>
      <c r="E124" s="527" t="s">
        <v>1719</v>
      </c>
      <c r="F124" s="527" t="s">
        <v>1720</v>
      </c>
      <c r="G124" s="527" t="s">
        <v>1721</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zoomScaleSheetLayoutView="90" workbookViewId="0">
      <selection activeCell="K42" sqref="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1656</v>
      </c>
      <c r="B1" s="1956" t="s">
        <v>1806</v>
      </c>
      <c r="C1" s="1223" t="s">
        <v>1658</v>
      </c>
      <c r="D1" s="1224" t="s">
        <v>21</v>
      </c>
      <c r="E1" s="3432" t="s">
        <v>3436</v>
      </c>
      <c r="F1" s="1878" t="s">
        <v>3437</v>
      </c>
      <c r="G1" s="1234" t="s">
        <v>1763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1458</v>
      </c>
      <c r="B2" s="1164">
        <f>IF(E1="项目模式",IF(C2="——",ROUND(C50*D3/10000,0),ROUND(C50*D3/10000,0)-D2),IF(E1="单套模式",IF(C2="——",ROUND(C50*D3/10000,4),ROUND(C50*D3/10000,4)-D2)))</f>
        <v>2</v>
      </c>
      <c r="C2" s="1880" t="s">
        <v>43</v>
      </c>
      <c r="D2" s="1115" t="e">
        <f ca="1">IF(E1="项目模式",SUMIF(INDIRECT("'"&amp;F2&amp;"'"&amp;"!A:A"),"承租人权益价值",INDIRECT("'"&amp;F2&amp;"'"&amp;"!c:c")),SUMIF(INDIRECT("'"&amp;F2&amp;"'"&amp;"!A:A"),"承租人权益价值（单套）",INDIRECT("'"&amp;F2&amp;"'"&amp;"!c:c")))</f>
        <v>#REF!</v>
      </c>
      <c r="E2" s="1881" t="s">
        <v>1459</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4.3</v>
      </c>
      <c r="C3" s="354" t="s">
        <v>1764</v>
      </c>
      <c r="D3" s="353">
        <f>IF(D1="",'数据-汇总表'!E3,SUMIF('数据-汇总表'!$C19:$C33,D1,'数据-汇总表'!$E19:$E33))</f>
        <v>4704.8599999999997</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1765</v>
      </c>
      <c r="B4" s="356"/>
      <c r="C4" s="3682" t="s">
        <v>1766</v>
      </c>
      <c r="D4" s="3683"/>
      <c r="E4" s="3684" t="s">
        <v>1767</v>
      </c>
      <c r="F4" s="3685"/>
      <c r="G4" s="3682" t="s">
        <v>1768</v>
      </c>
      <c r="H4" s="3683"/>
      <c r="I4" s="3682" t="s">
        <v>1769</v>
      </c>
      <c r="J4" s="3683"/>
      <c r="K4" s="559" t="s">
        <v>1770</v>
      </c>
      <c r="L4" s="2714"/>
      <c r="M4" s="2715"/>
      <c r="N4" s="2715"/>
      <c r="O4" s="2715"/>
      <c r="P4" s="3767" t="s">
        <v>1771</v>
      </c>
      <c r="Q4" s="3768"/>
      <c r="R4" s="3760" t="s">
        <v>1767</v>
      </c>
      <c r="S4" s="3761"/>
      <c r="T4" s="3760" t="s">
        <v>1768</v>
      </c>
      <c r="U4" s="3761"/>
      <c r="V4" s="3771" t="s">
        <v>1769</v>
      </c>
      <c r="W4" s="3771"/>
      <c r="X4" s="1957"/>
      <c r="Y4" s="3760" t="s">
        <v>1771</v>
      </c>
      <c r="Z4" s="3761"/>
      <c r="AA4" s="3759" t="s">
        <v>1767</v>
      </c>
      <c r="AB4" s="3759" t="s">
        <v>1768</v>
      </c>
      <c r="AC4" s="3764" t="s">
        <v>1769</v>
      </c>
    </row>
    <row r="5" spans="1:29" ht="15">
      <c r="A5" s="358"/>
      <c r="B5" s="359"/>
      <c r="C5" s="3763" t="s">
        <v>3455</v>
      </c>
      <c r="D5" s="3676"/>
      <c r="E5" s="3762" t="s">
        <v>3453</v>
      </c>
      <c r="F5" s="3674"/>
      <c r="G5" s="3763" t="s">
        <v>3454</v>
      </c>
      <c r="H5" s="3676"/>
      <c r="I5" s="3763" t="s">
        <v>3454</v>
      </c>
      <c r="J5" s="3676"/>
      <c r="K5" s="559"/>
      <c r="L5" s="2714"/>
      <c r="M5" s="2715"/>
      <c r="N5" s="2715"/>
      <c r="O5" s="2715"/>
      <c r="P5" s="3769"/>
      <c r="Q5" s="3689"/>
      <c r="R5" s="3671"/>
      <c r="S5" s="3672"/>
      <c r="T5" s="3671"/>
      <c r="U5" s="3672"/>
      <c r="V5" s="3694"/>
      <c r="W5" s="3694"/>
      <c r="X5" s="1354"/>
      <c r="Y5" s="3671"/>
      <c r="Z5" s="3672"/>
      <c r="AA5" s="3665"/>
      <c r="AB5" s="3665"/>
      <c r="AC5" s="3765"/>
    </row>
    <row r="6" spans="1:29" ht="15.75" thickBot="1">
      <c r="A6" s="360"/>
      <c r="B6" s="361"/>
      <c r="C6" s="3677" t="s">
        <v>1673</v>
      </c>
      <c r="D6" s="3678"/>
      <c r="E6" s="3679" t="s">
        <v>1673</v>
      </c>
      <c r="F6" s="3680"/>
      <c r="G6" s="3677" t="s">
        <v>1673</v>
      </c>
      <c r="H6" s="3678"/>
      <c r="I6" s="3677" t="s">
        <v>1673</v>
      </c>
      <c r="J6" s="3678"/>
      <c r="K6" s="559" t="s">
        <v>1674</v>
      </c>
      <c r="L6" s="2714"/>
      <c r="M6" s="2715"/>
      <c r="N6" s="2715"/>
      <c r="O6" s="2715"/>
      <c r="P6" s="3770"/>
      <c r="Q6" s="3691"/>
      <c r="R6" s="3671"/>
      <c r="S6" s="3672"/>
      <c r="T6" s="3692"/>
      <c r="U6" s="3693"/>
      <c r="V6" s="3694"/>
      <c r="W6" s="3694"/>
      <c r="X6" s="1354"/>
      <c r="Y6" s="3692"/>
      <c r="Z6" s="3693"/>
      <c r="AA6" s="3666"/>
      <c r="AB6" s="3666"/>
      <c r="AC6" s="3766"/>
    </row>
    <row r="7" spans="1:29" s="108" customFormat="1" ht="15.75" thickBot="1">
      <c r="A7" s="362" t="s">
        <v>1675</v>
      </c>
      <c r="B7" s="363"/>
      <c r="C7" s="364">
        <f>'数据-取费表'!B2</f>
        <v>45496</v>
      </c>
      <c r="D7" s="365">
        <v>100</v>
      </c>
      <c r="E7" s="366">
        <f>C7</f>
        <v>45496</v>
      </c>
      <c r="F7" s="367">
        <f>SUMIF(59:59,YEAR(E7)&amp;"-"&amp;MONTH(E7),60:60)</f>
        <v>100</v>
      </c>
      <c r="G7" s="366">
        <f>C7</f>
        <v>45496</v>
      </c>
      <c r="H7" s="365">
        <f>SUMIF(59:59,YEAR(G7)&amp;"-"&amp;MONTH(G7),60:60)</f>
        <v>100</v>
      </c>
      <c r="I7" s="366">
        <f>C7</f>
        <v>45496</v>
      </c>
      <c r="J7" s="365">
        <f>SUMIF(59:59,YEAR(I7)&amp;"-"&amp;MONTH(I7),60:60)</f>
        <v>100</v>
      </c>
      <c r="K7" s="560"/>
      <c r="L7" s="2716"/>
      <c r="M7" s="2717"/>
      <c r="N7" s="2717"/>
      <c r="O7" s="2717"/>
      <c r="P7" s="3772" t="s">
        <v>1676</v>
      </c>
      <c r="Q7" s="3695"/>
      <c r="R7" s="701" t="s">
        <v>14</v>
      </c>
      <c r="S7" s="702">
        <f t="shared" ref="S7:S15" si="0">F7</f>
        <v>100</v>
      </c>
      <c r="T7" s="701" t="s">
        <v>14</v>
      </c>
      <c r="U7" s="702">
        <f t="shared" ref="U7:U15" si="1">H7</f>
        <v>100</v>
      </c>
      <c r="V7" s="701" t="s">
        <v>14</v>
      </c>
      <c r="W7" s="702">
        <f t="shared" ref="W7:W15" si="2">J7</f>
        <v>100</v>
      </c>
      <c r="X7" s="703"/>
      <c r="Y7" s="3667" t="s">
        <v>1676</v>
      </c>
      <c r="Z7" s="3668"/>
      <c r="AA7" s="704">
        <f>D7/F7</f>
        <v>1</v>
      </c>
      <c r="AB7" s="704">
        <f>D7/H7</f>
        <v>1</v>
      </c>
      <c r="AC7" s="1958">
        <f>D7/J7</f>
        <v>1</v>
      </c>
    </row>
    <row r="8" spans="1:29" s="108" customFormat="1" ht="15.75" thickBot="1">
      <c r="A8" s="362" t="s">
        <v>1677</v>
      </c>
      <c r="B8" s="363"/>
      <c r="C8" s="368" t="s">
        <v>3438</v>
      </c>
      <c r="D8" s="365">
        <v>100</v>
      </c>
      <c r="E8" s="368" t="s">
        <v>3440</v>
      </c>
      <c r="F8" s="367">
        <f>SUMIF(62:62,E8,63:63)-SUMIF(62:62,C8,63:63)+100</f>
        <v>102</v>
      </c>
      <c r="G8" s="368" t="s">
        <v>3440</v>
      </c>
      <c r="H8" s="365">
        <f>SUMIF(62:62,G8,63:63)-SUMIF(62:62,C8,63:63)+100</f>
        <v>102</v>
      </c>
      <c r="I8" s="368" t="s">
        <v>3440</v>
      </c>
      <c r="J8" s="365">
        <f>SUMIF(62:62,I8,63:63)-SUMIF(62:62,C8,63:63)+100</f>
        <v>102</v>
      </c>
      <c r="K8" s="560"/>
      <c r="L8" s="2716"/>
      <c r="M8" s="2717"/>
      <c r="N8" s="2717"/>
      <c r="O8" s="2717"/>
      <c r="P8" s="3772" t="s">
        <v>1679</v>
      </c>
      <c r="Q8" s="3668"/>
      <c r="R8" s="701" t="s">
        <v>14</v>
      </c>
      <c r="S8" s="702">
        <f t="shared" si="0"/>
        <v>102</v>
      </c>
      <c r="T8" s="701" t="s">
        <v>14</v>
      </c>
      <c r="U8" s="702">
        <f t="shared" si="1"/>
        <v>102</v>
      </c>
      <c r="V8" s="701" t="s">
        <v>14</v>
      </c>
      <c r="W8" s="702">
        <f t="shared" si="2"/>
        <v>102</v>
      </c>
      <c r="X8" s="703"/>
      <c r="Y8" s="3667" t="s">
        <v>1679</v>
      </c>
      <c r="Z8" s="3668"/>
      <c r="AA8" s="704">
        <f t="shared" ref="AA8:AA47" si="3">D8/F8</f>
        <v>0.98039215686274506</v>
      </c>
      <c r="AB8" s="704">
        <f t="shared" ref="AB8:AB47" si="4">D8/H8</f>
        <v>0.98039215686274506</v>
      </c>
      <c r="AC8" s="1958">
        <f t="shared" ref="AC8:AC47" si="5">D8/J8</f>
        <v>0.98039215686274506</v>
      </c>
    </row>
    <row r="9" spans="1:29" s="108" customFormat="1">
      <c r="A9" s="369" t="s">
        <v>1680</v>
      </c>
      <c r="B9" s="63" t="s">
        <v>1681</v>
      </c>
      <c r="C9" s="3453" t="s">
        <v>3439</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05" t="s">
        <v>1682</v>
      </c>
      <c r="Q9" s="1342" t="str">
        <f t="shared" ref="Q9:Q15" si="6">B9</f>
        <v>用途</v>
      </c>
      <c r="R9" s="701" t="s">
        <v>14</v>
      </c>
      <c r="S9" s="702">
        <f t="shared" si="0"/>
        <v>100</v>
      </c>
      <c r="T9" s="701" t="s">
        <v>14</v>
      </c>
      <c r="U9" s="702">
        <f t="shared" si="1"/>
        <v>100</v>
      </c>
      <c r="V9" s="701" t="s">
        <v>14</v>
      </c>
      <c r="W9" s="702">
        <f t="shared" si="2"/>
        <v>100</v>
      </c>
      <c r="X9" s="703"/>
      <c r="Y9" s="3637" t="s">
        <v>1683</v>
      </c>
      <c r="Z9" s="52" t="str">
        <f t="shared" ref="Z9:Z15" si="7">Q9</f>
        <v>用途</v>
      </c>
      <c r="AA9" s="704">
        <f t="shared" si="3"/>
        <v>1</v>
      </c>
      <c r="AB9" s="704">
        <f t="shared" si="4"/>
        <v>1</v>
      </c>
      <c r="AC9" s="1958">
        <f t="shared" si="5"/>
        <v>1</v>
      </c>
    </row>
    <row r="10" spans="1:29" s="378" customFormat="1" ht="27">
      <c r="A10" s="374"/>
      <c r="B10" s="375" t="s">
        <v>1684</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8">
        <f t="shared" si="5"/>
        <v>1</v>
      </c>
    </row>
    <row r="11" spans="1:29" ht="15">
      <c r="A11" s="379"/>
      <c r="B11" s="375" t="s">
        <v>1685</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5"/>
      <c r="Q11" s="1342"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5"/>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5"/>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5"/>
      <c r="Q14" s="1342">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8">
        <f t="shared" si="5"/>
        <v>1</v>
      </c>
    </row>
    <row r="15" spans="1:29" ht="71.25">
      <c r="A15" s="391" t="s">
        <v>1686</v>
      </c>
      <c r="B15" s="577" t="s">
        <v>1807</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1"/>
      <c r="M15" s="2715"/>
      <c r="N15" s="2715"/>
      <c r="O15" s="2715"/>
      <c r="P15" s="3757" t="s">
        <v>1687</v>
      </c>
      <c r="Q15" s="1351" t="str">
        <f t="shared" si="6"/>
        <v>办公集聚程度</v>
      </c>
      <c r="R15" s="705" t="s">
        <v>14</v>
      </c>
      <c r="S15" s="706">
        <f t="shared" si="0"/>
        <v>100</v>
      </c>
      <c r="T15" s="705" t="s">
        <v>14</v>
      </c>
      <c r="U15" s="706">
        <f t="shared" si="1"/>
        <v>100</v>
      </c>
      <c r="V15" s="705" t="s">
        <v>14</v>
      </c>
      <c r="W15" s="706">
        <f t="shared" si="2"/>
        <v>100</v>
      </c>
      <c r="X15" s="1354"/>
      <c r="Y15" s="3696" t="s">
        <v>1687</v>
      </c>
      <c r="Z15" s="1355" t="str">
        <f t="shared" si="7"/>
        <v>办公集聚程度</v>
      </c>
      <c r="AA15" s="1352">
        <f t="shared" si="3"/>
        <v>1</v>
      </c>
      <c r="AB15" s="1352">
        <f t="shared" si="4"/>
        <v>1</v>
      </c>
      <c r="AC15" s="1961">
        <f t="shared" si="5"/>
        <v>1</v>
      </c>
    </row>
    <row r="16" spans="1:29" ht="15">
      <c r="A16" s="379"/>
      <c r="B16" s="578"/>
      <c r="C16" s="1903" t="s">
        <v>3428</v>
      </c>
      <c r="D16" s="399"/>
      <c r="E16" s="1903" t="s">
        <v>3428</v>
      </c>
      <c r="F16" s="399"/>
      <c r="G16" s="1903" t="s">
        <v>3428</v>
      </c>
      <c r="H16" s="401"/>
      <c r="I16" s="1903" t="s">
        <v>3428</v>
      </c>
      <c r="J16" s="399"/>
      <c r="K16" s="564"/>
      <c r="L16" s="2721"/>
      <c r="M16" s="2715"/>
      <c r="N16" s="2715"/>
      <c r="O16" s="2715"/>
      <c r="P16" s="3758"/>
      <c r="Q16" s="1351"/>
      <c r="R16" s="705"/>
      <c r="S16" s="706"/>
      <c r="T16" s="705"/>
      <c r="U16" s="706"/>
      <c r="V16" s="705"/>
      <c r="W16" s="706"/>
      <c r="X16" s="1354"/>
      <c r="Y16" s="369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58"/>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961">
        <f t="shared" si="5"/>
        <v>1</v>
      </c>
    </row>
    <row r="18" spans="1:29" ht="15">
      <c r="A18" s="379"/>
      <c r="B18" s="580"/>
      <c r="C18" s="1963" t="s">
        <v>3428</v>
      </c>
      <c r="D18" s="401"/>
      <c r="E18" s="1963" t="s">
        <v>3428</v>
      </c>
      <c r="F18" s="401"/>
      <c r="G18" s="1963" t="s">
        <v>3428</v>
      </c>
      <c r="H18" s="399"/>
      <c r="I18" s="1963" t="s">
        <v>3428</v>
      </c>
      <c r="J18" s="399"/>
      <c r="K18" s="564"/>
      <c r="L18" s="2721"/>
      <c r="M18" s="2715"/>
      <c r="N18" s="2715"/>
      <c r="O18" s="2715"/>
      <c r="P18" s="3758"/>
      <c r="Q18" s="1351"/>
      <c r="R18" s="705"/>
      <c r="S18" s="706"/>
      <c r="T18" s="705"/>
      <c r="U18" s="706"/>
      <c r="V18" s="705"/>
      <c r="W18" s="706"/>
      <c r="X18" s="1354"/>
      <c r="Y18" s="3697"/>
      <c r="Z18" s="1355"/>
      <c r="AA18" s="1352">
        <v>1</v>
      </c>
      <c r="AB18" s="1352">
        <v>1</v>
      </c>
      <c r="AC18" s="1961">
        <v>1</v>
      </c>
    </row>
    <row r="19" spans="1:29" ht="42.75">
      <c r="A19" s="379"/>
      <c r="B19" s="579" t="s">
        <v>1808</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758"/>
      <c r="Q19" s="1351" t="str">
        <f>B19</f>
        <v>公共配套设施</v>
      </c>
      <c r="R19" s="705" t="s">
        <v>14</v>
      </c>
      <c r="S19" s="706">
        <f>F19</f>
        <v>100</v>
      </c>
      <c r="T19" s="705" t="s">
        <v>14</v>
      </c>
      <c r="U19" s="706">
        <f>H19</f>
        <v>100</v>
      </c>
      <c r="V19" s="705" t="s">
        <v>14</v>
      </c>
      <c r="W19" s="706">
        <f>J19</f>
        <v>100</v>
      </c>
      <c r="X19" s="1354"/>
      <c r="Y19" s="3697"/>
      <c r="Z19" s="1355" t="str">
        <f>Q19</f>
        <v>公共配套设施</v>
      </c>
      <c r="AA19" s="1352">
        <f t="shared" si="3"/>
        <v>1</v>
      </c>
      <c r="AB19" s="1352">
        <f t="shared" si="4"/>
        <v>1</v>
      </c>
      <c r="AC19" s="1961">
        <f t="shared" si="5"/>
        <v>1</v>
      </c>
    </row>
    <row r="20" spans="1:29" ht="15">
      <c r="A20" s="379"/>
      <c r="B20" s="580"/>
      <c r="C20" s="1903" t="s">
        <v>3428</v>
      </c>
      <c r="D20" s="399"/>
      <c r="E20" s="1903" t="s">
        <v>3428</v>
      </c>
      <c r="F20" s="399"/>
      <c r="G20" s="1903" t="s">
        <v>3428</v>
      </c>
      <c r="H20" s="399"/>
      <c r="I20" s="1903" t="s">
        <v>3428</v>
      </c>
      <c r="J20" s="399"/>
      <c r="K20" s="564"/>
      <c r="L20" s="2721"/>
      <c r="M20" s="2715"/>
      <c r="N20" s="2715"/>
      <c r="O20" s="2715"/>
      <c r="P20" s="3758"/>
      <c r="Q20" s="1351"/>
      <c r="R20" s="705"/>
      <c r="S20" s="706"/>
      <c r="T20" s="705"/>
      <c r="U20" s="706"/>
      <c r="V20" s="705"/>
      <c r="W20" s="706"/>
      <c r="X20" s="1354"/>
      <c r="Y20" s="3697"/>
      <c r="Z20" s="1355"/>
      <c r="AA20" s="1352">
        <v>1</v>
      </c>
      <c r="AB20" s="1352">
        <v>1</v>
      </c>
      <c r="AC20" s="1961">
        <v>1</v>
      </c>
    </row>
    <row r="21" spans="1:29" ht="28.5">
      <c r="A21" s="379"/>
      <c r="B21" s="581" t="s">
        <v>1809</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58"/>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961">
        <f t="shared" ref="AC21" si="10">D21/J21</f>
        <v>1</v>
      </c>
    </row>
    <row r="22" spans="1:29" ht="15">
      <c r="A22" s="379"/>
      <c r="B22" s="581"/>
      <c r="C22" s="1963" t="s">
        <v>3442</v>
      </c>
      <c r="D22" s="399"/>
      <c r="E22" s="1963" t="s">
        <v>3442</v>
      </c>
      <c r="F22" s="399"/>
      <c r="G22" s="1963" t="s">
        <v>3442</v>
      </c>
      <c r="H22" s="399"/>
      <c r="I22" s="1963" t="s">
        <v>3442</v>
      </c>
      <c r="J22" s="399"/>
      <c r="K22" s="1130"/>
      <c r="L22" s="2721"/>
      <c r="M22" s="2715"/>
      <c r="N22" s="2715"/>
      <c r="O22" s="2715"/>
      <c r="P22" s="3758"/>
      <c r="Q22" s="1351"/>
      <c r="R22" s="705"/>
      <c r="S22" s="706"/>
      <c r="T22" s="705"/>
      <c r="U22" s="706"/>
      <c r="V22" s="705"/>
      <c r="W22" s="706"/>
      <c r="X22" s="1354"/>
      <c r="Y22" s="3697"/>
      <c r="Z22" s="1355"/>
      <c r="AA22" s="1352">
        <v>1</v>
      </c>
      <c r="AB22" s="1352">
        <v>1</v>
      </c>
      <c r="AC22" s="1961">
        <v>1</v>
      </c>
    </row>
    <row r="23" spans="1:29" ht="42.75">
      <c r="A23" s="379"/>
      <c r="B23" s="579" t="s">
        <v>1810</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58"/>
      <c r="Q23" s="1351" t="str">
        <f>B23</f>
        <v>环境质量</v>
      </c>
      <c r="R23" s="705" t="s">
        <v>14</v>
      </c>
      <c r="S23" s="706">
        <f>F23</f>
        <v>100</v>
      </c>
      <c r="T23" s="705" t="s">
        <v>14</v>
      </c>
      <c r="U23" s="706">
        <f>H23</f>
        <v>100</v>
      </c>
      <c r="V23" s="705" t="s">
        <v>14</v>
      </c>
      <c r="W23" s="706">
        <f>J23</f>
        <v>100</v>
      </c>
      <c r="X23" s="1354"/>
      <c r="Y23" s="3697"/>
      <c r="Z23" s="1355" t="str">
        <f>Q23</f>
        <v>环境质量</v>
      </c>
      <c r="AA23" s="1352">
        <f t="shared" si="3"/>
        <v>1</v>
      </c>
      <c r="AB23" s="1352">
        <f t="shared" si="4"/>
        <v>1</v>
      </c>
      <c r="AC23" s="1961">
        <f t="shared" si="5"/>
        <v>1</v>
      </c>
    </row>
    <row r="24" spans="1:29" ht="15">
      <c r="A24" s="379"/>
      <c r="B24" s="581"/>
      <c r="C24" s="1903" t="s">
        <v>3428</v>
      </c>
      <c r="D24" s="399"/>
      <c r="E24" s="1903" t="s">
        <v>3428</v>
      </c>
      <c r="F24" s="399"/>
      <c r="G24" s="1903" t="s">
        <v>3428</v>
      </c>
      <c r="H24" s="399"/>
      <c r="I24" s="1903" t="s">
        <v>3428</v>
      </c>
      <c r="J24" s="399"/>
      <c r="K24" s="564"/>
      <c r="L24" s="2721"/>
      <c r="M24" s="2715"/>
      <c r="N24" s="2715"/>
      <c r="O24" s="2715"/>
      <c r="P24" s="3758"/>
      <c r="Q24" s="1351"/>
      <c r="R24" s="705"/>
      <c r="S24" s="706"/>
      <c r="T24" s="705"/>
      <c r="U24" s="706"/>
      <c r="V24" s="705"/>
      <c r="W24" s="706"/>
      <c r="X24" s="1354"/>
      <c r="Y24" s="3697"/>
      <c r="Z24" s="1355"/>
      <c r="AA24" s="1352">
        <v>1</v>
      </c>
      <c r="AB24" s="1352">
        <v>1</v>
      </c>
      <c r="AC24" s="1961">
        <v>1</v>
      </c>
    </row>
    <row r="25" spans="1:29" ht="27">
      <c r="A25" s="358"/>
      <c r="B25" s="579" t="s">
        <v>1811</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58"/>
      <c r="Q25" s="1351" t="str">
        <f>B25</f>
        <v>毗邻道路的类型与等级</v>
      </c>
      <c r="R25" s="705" t="s">
        <v>14</v>
      </c>
      <c r="S25" s="706">
        <f>F25</f>
        <v>100</v>
      </c>
      <c r="T25" s="705" t="s">
        <v>14</v>
      </c>
      <c r="U25" s="706">
        <f>H25</f>
        <v>100</v>
      </c>
      <c r="V25" s="705" t="s">
        <v>14</v>
      </c>
      <c r="W25" s="706">
        <f>J25</f>
        <v>100</v>
      </c>
      <c r="X25" s="1354"/>
      <c r="Y25" s="369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58"/>
      <c r="Q26" s="1351"/>
      <c r="R26" s="705"/>
      <c r="S26" s="706"/>
      <c r="T26" s="705"/>
      <c r="U26" s="706"/>
      <c r="V26" s="705"/>
      <c r="W26" s="706"/>
      <c r="X26" s="1354"/>
      <c r="Y26" s="3697"/>
      <c r="Z26" s="1355"/>
      <c r="AA26" s="1352">
        <v>1</v>
      </c>
      <c r="AB26" s="1352">
        <v>1</v>
      </c>
      <c r="AC26" s="1961">
        <v>1</v>
      </c>
    </row>
    <row r="27" spans="1:29" ht="15">
      <c r="A27" s="379"/>
      <c r="B27" s="580" t="s">
        <v>1779</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58"/>
      <c r="Q27" s="1351" t="str">
        <f t="shared" ref="Q27:Q47" si="11">B27</f>
        <v>楼层</v>
      </c>
      <c r="R27" s="705" t="s">
        <v>14</v>
      </c>
      <c r="S27" s="706">
        <f>F27</f>
        <v>100</v>
      </c>
      <c r="T27" s="705" t="s">
        <v>14</v>
      </c>
      <c r="U27" s="706">
        <f>H27</f>
        <v>100</v>
      </c>
      <c r="V27" s="705" t="s">
        <v>14</v>
      </c>
      <c r="W27" s="706">
        <f>J27</f>
        <v>100</v>
      </c>
      <c r="X27" s="1354"/>
      <c r="Y27" s="3697"/>
      <c r="Z27" s="1355" t="str">
        <f>Q27</f>
        <v>楼层</v>
      </c>
      <c r="AA27" s="1352">
        <f t="shared" si="3"/>
        <v>1</v>
      </c>
      <c r="AB27" s="1352">
        <f t="shared" si="4"/>
        <v>1</v>
      </c>
      <c r="AC27" s="1961">
        <f t="shared" si="5"/>
        <v>1</v>
      </c>
    </row>
    <row r="28" spans="1:29" s="108" customFormat="1" ht="15">
      <c r="A28" s="382"/>
      <c r="B28" s="579" t="s">
        <v>1812</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58"/>
      <c r="Q28" s="1342" t="str">
        <f t="shared" si="11"/>
        <v>朝向</v>
      </c>
      <c r="R28" s="701" t="s">
        <v>14</v>
      </c>
      <c r="S28" s="702">
        <f>F28</f>
        <v>100</v>
      </c>
      <c r="T28" s="701" t="s">
        <v>14</v>
      </c>
      <c r="U28" s="702">
        <f>H28</f>
        <v>100</v>
      </c>
      <c r="V28" s="701" t="s">
        <v>14</v>
      </c>
      <c r="W28" s="702">
        <f>J28</f>
        <v>100</v>
      </c>
      <c r="X28" s="703"/>
      <c r="Y28" s="369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58"/>
      <c r="Q29" s="1351">
        <f t="shared" si="11"/>
        <v>111</v>
      </c>
      <c r="R29" s="705" t="s">
        <v>14</v>
      </c>
      <c r="S29" s="706">
        <f t="shared" ref="S29:S47" si="12">F29</f>
        <v>100</v>
      </c>
      <c r="T29" s="705" t="s">
        <v>14</v>
      </c>
      <c r="U29" s="706">
        <f t="shared" ref="U29:U47" si="13">H29</f>
        <v>100</v>
      </c>
      <c r="V29" s="705" t="s">
        <v>14</v>
      </c>
      <c r="W29" s="706">
        <f t="shared" ref="W29:W47" si="14">J29</f>
        <v>100</v>
      </c>
      <c r="X29" s="1354"/>
      <c r="Y29" s="369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58"/>
      <c r="Q30" s="1351">
        <f t="shared" si="11"/>
        <v>111</v>
      </c>
      <c r="R30" s="705" t="s">
        <v>14</v>
      </c>
      <c r="S30" s="706">
        <f t="shared" si="12"/>
        <v>100</v>
      </c>
      <c r="T30" s="705" t="s">
        <v>14</v>
      </c>
      <c r="U30" s="706">
        <f t="shared" si="13"/>
        <v>100</v>
      </c>
      <c r="V30" s="705" t="s">
        <v>14</v>
      </c>
      <c r="W30" s="706">
        <f t="shared" si="14"/>
        <v>100</v>
      </c>
      <c r="X30" s="1354"/>
      <c r="Y30" s="369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58"/>
      <c r="Q31" s="1351">
        <f t="shared" si="11"/>
        <v>111</v>
      </c>
      <c r="R31" s="705" t="s">
        <v>14</v>
      </c>
      <c r="S31" s="706">
        <f t="shared" si="12"/>
        <v>100</v>
      </c>
      <c r="T31" s="705" t="s">
        <v>14</v>
      </c>
      <c r="U31" s="706">
        <f t="shared" si="13"/>
        <v>100</v>
      </c>
      <c r="V31" s="705" t="s">
        <v>14</v>
      </c>
      <c r="W31" s="706">
        <f t="shared" si="14"/>
        <v>100</v>
      </c>
      <c r="X31" s="1354"/>
      <c r="Y31" s="369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58"/>
      <c r="Q32" s="1351">
        <f t="shared" si="11"/>
        <v>111</v>
      </c>
      <c r="R32" s="705" t="s">
        <v>14</v>
      </c>
      <c r="S32" s="706">
        <f t="shared" si="12"/>
        <v>100</v>
      </c>
      <c r="T32" s="705" t="s">
        <v>14</v>
      </c>
      <c r="U32" s="706">
        <f t="shared" si="13"/>
        <v>100</v>
      </c>
      <c r="V32" s="705" t="s">
        <v>14</v>
      </c>
      <c r="W32" s="706">
        <f t="shared" si="14"/>
        <v>100</v>
      </c>
      <c r="X32" s="1354"/>
      <c r="Y32" s="3697"/>
      <c r="Z32" s="1355">
        <f t="shared" si="15"/>
        <v>111</v>
      </c>
      <c r="AA32" s="1352">
        <f t="shared" si="3"/>
        <v>1</v>
      </c>
      <c r="AB32" s="1352">
        <f t="shared" si="4"/>
        <v>1</v>
      </c>
      <c r="AC32" s="1961">
        <f t="shared" si="5"/>
        <v>1</v>
      </c>
    </row>
    <row r="33" spans="1:29" ht="15">
      <c r="A33" s="391" t="s">
        <v>1690</v>
      </c>
      <c r="B33" s="63" t="s">
        <v>1813</v>
      </c>
      <c r="C33" s="1966" t="s">
        <v>3397</v>
      </c>
      <c r="D33" s="418">
        <v>100</v>
      </c>
      <c r="E33" s="1966" t="s">
        <v>3397</v>
      </c>
      <c r="F33" s="412">
        <f>SUMIF(101:101,E33,102:102)-SUMIF(101:101,C33,102:102)+100</f>
        <v>100</v>
      </c>
      <c r="G33" s="1966" t="s">
        <v>3397</v>
      </c>
      <c r="H33" s="386">
        <f>SUMIF(101:101,G33,102:102)-SUMIF(101:101,C33,102:102)+100</f>
        <v>100</v>
      </c>
      <c r="I33" s="1966" t="s">
        <v>3397</v>
      </c>
      <c r="J33" s="418">
        <f>SUMIF(101:101,I33,102:102)-SUMIF(101:101,C33,102:102)+100</f>
        <v>100</v>
      </c>
      <c r="K33" s="561">
        <v>3</v>
      </c>
      <c r="L33" s="2721"/>
      <c r="M33" s="2715"/>
      <c r="N33" s="2715"/>
      <c r="O33" s="2715"/>
      <c r="P33" s="3753" t="s">
        <v>1692</v>
      </c>
      <c r="Q33" s="1351" t="str">
        <f t="shared" si="11"/>
        <v>建筑类型</v>
      </c>
      <c r="R33" s="705" t="s">
        <v>14</v>
      </c>
      <c r="S33" s="706">
        <f t="shared" si="12"/>
        <v>100</v>
      </c>
      <c r="T33" s="705" t="s">
        <v>14</v>
      </c>
      <c r="U33" s="706">
        <f t="shared" si="13"/>
        <v>100</v>
      </c>
      <c r="V33" s="705" t="s">
        <v>14</v>
      </c>
      <c r="W33" s="706">
        <f t="shared" si="14"/>
        <v>100</v>
      </c>
      <c r="X33" s="1354"/>
      <c r="Y33" s="3699" t="s">
        <v>1692</v>
      </c>
      <c r="Z33" s="1355" t="str">
        <f t="shared" si="15"/>
        <v>建筑类型</v>
      </c>
      <c r="AA33" s="1352">
        <f t="shared" si="3"/>
        <v>1</v>
      </c>
      <c r="AB33" s="1352">
        <f t="shared" si="4"/>
        <v>1</v>
      </c>
      <c r="AC33" s="1961">
        <f t="shared" si="5"/>
        <v>1</v>
      </c>
    </row>
    <row r="34" spans="1:29" s="422" customFormat="1" ht="15">
      <c r="A34" s="419"/>
      <c r="B34" s="375" t="s">
        <v>1693</v>
      </c>
      <c r="C34" s="420">
        <f>Sheet1!E3+Sheet1!E4+Sheet1!E5+Sheet1!E6</f>
        <v>3990.64</v>
      </c>
      <c r="D34" s="127">
        <v>100</v>
      </c>
      <c r="E34" s="381">
        <v>469</v>
      </c>
      <c r="F34" s="376">
        <f>LOOKUP(E34,104:104,105:105)-LOOKUP(C34,104:104,105:105)+100</f>
        <v>104</v>
      </c>
      <c r="G34" s="380">
        <v>238</v>
      </c>
      <c r="H34" s="127">
        <f>LOOKUP(G34,104:104,105:105)-LOOKUP(C34,104:104,105:105)+100</f>
        <v>104</v>
      </c>
      <c r="I34" s="380">
        <v>774</v>
      </c>
      <c r="J34" s="127">
        <f>LOOKUP(I34,104:104,105:105)-LOOKUP(C34,104:104,105:105)+100</f>
        <v>103</v>
      </c>
      <c r="K34" s="562"/>
      <c r="L34" s="2720"/>
      <c r="M34" s="2722"/>
      <c r="N34" s="2722"/>
      <c r="O34" s="2722"/>
      <c r="P34" s="3754"/>
      <c r="Q34" s="707" t="str">
        <f t="shared" si="11"/>
        <v>项目建筑规模</v>
      </c>
      <c r="R34" s="708" t="s">
        <v>14</v>
      </c>
      <c r="S34" s="709">
        <f t="shared" si="12"/>
        <v>104</v>
      </c>
      <c r="T34" s="708" t="s">
        <v>14</v>
      </c>
      <c r="U34" s="709">
        <f t="shared" si="13"/>
        <v>104</v>
      </c>
      <c r="V34" s="708" t="s">
        <v>14</v>
      </c>
      <c r="W34" s="709">
        <f t="shared" si="14"/>
        <v>103</v>
      </c>
      <c r="X34" s="710"/>
      <c r="Y34" s="3699"/>
      <c r="Z34" s="711" t="str">
        <f t="shared" si="15"/>
        <v>项目建筑规模</v>
      </c>
      <c r="AA34" s="1352">
        <f t="shared" si="3"/>
        <v>0.96153846153846156</v>
      </c>
      <c r="AB34" s="1352">
        <f t="shared" si="4"/>
        <v>0.96153846153846156</v>
      </c>
      <c r="AC34" s="1961">
        <f t="shared" si="5"/>
        <v>0.970873786407767</v>
      </c>
    </row>
    <row r="35" spans="1:29" ht="15">
      <c r="A35" s="423"/>
      <c r="B35" s="375" t="s">
        <v>1694</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1</v>
      </c>
      <c r="L35" s="2721"/>
      <c r="M35" s="2715"/>
      <c r="N35" s="2715"/>
      <c r="O35" s="2715"/>
      <c r="P35" s="3754"/>
      <c r="Q35" s="1351" t="str">
        <f t="shared" si="11"/>
        <v>建筑结构</v>
      </c>
      <c r="R35" s="705" t="s">
        <v>14</v>
      </c>
      <c r="S35" s="706">
        <f t="shared" si="12"/>
        <v>100</v>
      </c>
      <c r="T35" s="705" t="s">
        <v>14</v>
      </c>
      <c r="U35" s="706">
        <f t="shared" si="13"/>
        <v>100</v>
      </c>
      <c r="V35" s="705" t="s">
        <v>14</v>
      </c>
      <c r="W35" s="706">
        <f t="shared" si="14"/>
        <v>100</v>
      </c>
      <c r="X35" s="1354"/>
      <c r="Y35" s="3699"/>
      <c r="Z35" s="1355" t="str">
        <f t="shared" si="15"/>
        <v>建筑结构</v>
      </c>
      <c r="AA35" s="1352">
        <f t="shared" si="3"/>
        <v>1</v>
      </c>
      <c r="AB35" s="1352">
        <f t="shared" si="4"/>
        <v>1</v>
      </c>
      <c r="AC35" s="1961">
        <f t="shared" si="5"/>
        <v>1</v>
      </c>
    </row>
    <row r="36" spans="1:29" ht="15">
      <c r="A36" s="423"/>
      <c r="B36" s="375" t="s">
        <v>1781</v>
      </c>
      <c r="C36" s="411" t="s">
        <v>3445</v>
      </c>
      <c r="D36" s="386">
        <v>100</v>
      </c>
      <c r="E36" s="411" t="s">
        <v>3445</v>
      </c>
      <c r="F36" s="412">
        <f>SUMIF(108:108,E36,109:109)-SUMIF(108:108,C36,109:109)+100</f>
        <v>100</v>
      </c>
      <c r="G36" s="411" t="s">
        <v>3445</v>
      </c>
      <c r="H36" s="386">
        <f>SUMIF(108:108,G36,109:109)-SUMIF(108:108,C36,109:109)+100</f>
        <v>100</v>
      </c>
      <c r="I36" s="411" t="s">
        <v>3445</v>
      </c>
      <c r="J36" s="386">
        <f>SUMIF(108:108,I36,109:109)-SUMIF(108:108,C36,109:109)+100</f>
        <v>100</v>
      </c>
      <c r="K36" s="561">
        <v>1</v>
      </c>
      <c r="L36" s="2721"/>
      <c r="M36" s="2715"/>
      <c r="N36" s="2715"/>
      <c r="O36" s="2715"/>
      <c r="P36" s="3754"/>
      <c r="Q36" s="1351" t="str">
        <f t="shared" si="11"/>
        <v>公共部分装修</v>
      </c>
      <c r="R36" s="705" t="s">
        <v>14</v>
      </c>
      <c r="S36" s="706">
        <f t="shared" si="12"/>
        <v>100</v>
      </c>
      <c r="T36" s="705" t="s">
        <v>14</v>
      </c>
      <c r="U36" s="706">
        <f t="shared" si="13"/>
        <v>100</v>
      </c>
      <c r="V36" s="705" t="s">
        <v>14</v>
      </c>
      <c r="W36" s="706">
        <f t="shared" si="14"/>
        <v>100</v>
      </c>
      <c r="X36" s="1354"/>
      <c r="Y36" s="3699"/>
      <c r="Z36" s="1355" t="str">
        <f t="shared" si="15"/>
        <v>公共部分装修</v>
      </c>
      <c r="AA36" s="1352">
        <f t="shared" si="3"/>
        <v>1</v>
      </c>
      <c r="AB36" s="1352">
        <f t="shared" si="4"/>
        <v>1</v>
      </c>
      <c r="AC36" s="1961">
        <f t="shared" si="5"/>
        <v>1</v>
      </c>
    </row>
    <row r="37" spans="1:29" ht="15">
      <c r="A37" s="423"/>
      <c r="B37" s="375" t="s">
        <v>1782</v>
      </c>
      <c r="C37" s="425">
        <f>'数据-取费表'!N6</f>
        <v>0.72</v>
      </c>
      <c r="D37" s="386">
        <v>100</v>
      </c>
      <c r="E37" s="425">
        <v>0.72</v>
      </c>
      <c r="F37" s="412">
        <f>LOOKUP(E37,111:111,112:112)-LOOKUP(C37,111:111,112:112)+100</f>
        <v>100</v>
      </c>
      <c r="G37" s="425">
        <v>0.72</v>
      </c>
      <c r="H37" s="412">
        <f>LOOKUP(G37,111:111,112:112)-LOOKUP(C37,111:111,112:112)+100</f>
        <v>100</v>
      </c>
      <c r="I37" s="425">
        <v>0.72</v>
      </c>
      <c r="J37" s="386">
        <f>LOOKUP(I37,111:111,112:112)-LOOKUP(C37,111:111,112:112)+100</f>
        <v>100</v>
      </c>
      <c r="K37" s="561"/>
      <c r="L37" s="2721"/>
      <c r="M37" s="2715"/>
      <c r="N37" s="2715"/>
      <c r="O37" s="2715"/>
      <c r="P37" s="3754"/>
      <c r="Q37" s="1351" t="str">
        <f t="shared" si="11"/>
        <v>成新度</v>
      </c>
      <c r="R37" s="705" t="s">
        <v>14</v>
      </c>
      <c r="S37" s="706">
        <f t="shared" si="12"/>
        <v>100</v>
      </c>
      <c r="T37" s="705" t="s">
        <v>14</v>
      </c>
      <c r="U37" s="706">
        <f t="shared" si="13"/>
        <v>100</v>
      </c>
      <c r="V37" s="705" t="s">
        <v>14</v>
      </c>
      <c r="W37" s="706">
        <f t="shared" si="14"/>
        <v>100</v>
      </c>
      <c r="X37" s="1354"/>
      <c r="Y37" s="3699"/>
      <c r="Z37" s="1355" t="str">
        <f t="shared" si="15"/>
        <v>成新度</v>
      </c>
      <c r="AA37" s="1352">
        <f t="shared" si="3"/>
        <v>1</v>
      </c>
      <c r="AB37" s="1352">
        <f t="shared" si="4"/>
        <v>1</v>
      </c>
      <c r="AC37" s="1961">
        <f t="shared" si="5"/>
        <v>1</v>
      </c>
    </row>
    <row r="38" spans="1:29" s="108" customFormat="1" ht="15">
      <c r="A38" s="424"/>
      <c r="B38" s="375" t="s">
        <v>1814</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54"/>
      <c r="Q38" s="1342"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8">
        <f t="shared" si="5"/>
        <v>1</v>
      </c>
    </row>
    <row r="39" spans="1:29" ht="15">
      <c r="A39" s="423"/>
      <c r="B39" s="375" t="s">
        <v>1815</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54" t="s">
        <v>1692</v>
      </c>
      <c r="Q39" s="1351" t="str">
        <f t="shared" si="11"/>
        <v>物业管理</v>
      </c>
      <c r="R39" s="705" t="s">
        <v>14</v>
      </c>
      <c r="S39" s="706">
        <f t="shared" si="12"/>
        <v>100</v>
      </c>
      <c r="T39" s="705" t="s">
        <v>14</v>
      </c>
      <c r="U39" s="706">
        <f t="shared" si="13"/>
        <v>100</v>
      </c>
      <c r="V39" s="705" t="s">
        <v>14</v>
      </c>
      <c r="W39" s="706">
        <f t="shared" si="14"/>
        <v>100</v>
      </c>
      <c r="X39" s="1354"/>
      <c r="Y39" s="3699" t="s">
        <v>1692</v>
      </c>
      <c r="Z39" s="1355" t="str">
        <f t="shared" si="15"/>
        <v>物业管理</v>
      </c>
      <c r="AA39" s="1352">
        <f t="shared" si="3"/>
        <v>1</v>
      </c>
      <c r="AB39" s="1352">
        <f t="shared" si="4"/>
        <v>1</v>
      </c>
      <c r="AC39" s="1961">
        <f t="shared" si="5"/>
        <v>1</v>
      </c>
    </row>
    <row r="40" spans="1:29" ht="15">
      <c r="A40" s="423"/>
      <c r="B40" s="375" t="s">
        <v>1783</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54"/>
      <c r="Q40" s="1351" t="str">
        <f t="shared" si="11"/>
        <v>市政基础设施</v>
      </c>
      <c r="R40" s="705" t="s">
        <v>14</v>
      </c>
      <c r="S40" s="706">
        <f t="shared" si="12"/>
        <v>100</v>
      </c>
      <c r="T40" s="705" t="s">
        <v>14</v>
      </c>
      <c r="U40" s="706">
        <f t="shared" si="13"/>
        <v>100</v>
      </c>
      <c r="V40" s="705" t="s">
        <v>14</v>
      </c>
      <c r="W40" s="706">
        <f t="shared" si="14"/>
        <v>100</v>
      </c>
      <c r="X40" s="1354"/>
      <c r="Y40" s="3699"/>
      <c r="Z40" s="1355" t="str">
        <f t="shared" si="15"/>
        <v>市政基础设施</v>
      </c>
      <c r="AA40" s="1352">
        <f t="shared" si="3"/>
        <v>1</v>
      </c>
      <c r="AB40" s="1352">
        <f t="shared" si="4"/>
        <v>1</v>
      </c>
      <c r="AC40" s="1961">
        <f t="shared" si="5"/>
        <v>1</v>
      </c>
    </row>
    <row r="41" spans="1:29" ht="15">
      <c r="A41" s="423"/>
      <c r="B41" s="375" t="s">
        <v>1785</v>
      </c>
      <c r="C41" s="565" t="s">
        <v>3451</v>
      </c>
      <c r="D41" s="386">
        <v>100</v>
      </c>
      <c r="E41" s="565" t="s">
        <v>3451</v>
      </c>
      <c r="F41" s="412">
        <f>SUMIF(119:119,E41,120:120)-SUMIF(119:119,C41,120:120)+100</f>
        <v>100</v>
      </c>
      <c r="G41" s="565" t="s">
        <v>3451</v>
      </c>
      <c r="H41" s="386">
        <f>SUMIF(119:119,G41,120:120)-SUMIF(119:119,C41,120:120)+100</f>
        <v>100</v>
      </c>
      <c r="I41" s="565" t="s">
        <v>3451</v>
      </c>
      <c r="J41" s="386">
        <f>SUMIF(119:119,I41,120:120)-SUMIF(119:119,C41,120:120)+100</f>
        <v>100</v>
      </c>
      <c r="K41" s="561">
        <v>1</v>
      </c>
      <c r="L41" s="2721"/>
      <c r="M41" s="2715"/>
      <c r="N41" s="2715"/>
      <c r="O41" s="2715"/>
      <c r="P41" s="3754"/>
      <c r="Q41" s="1351" t="str">
        <f t="shared" si="11"/>
        <v>层高</v>
      </c>
      <c r="R41" s="705" t="s">
        <v>14</v>
      </c>
      <c r="S41" s="706">
        <f t="shared" si="12"/>
        <v>100</v>
      </c>
      <c r="T41" s="705" t="s">
        <v>14</v>
      </c>
      <c r="U41" s="706">
        <f t="shared" si="13"/>
        <v>100</v>
      </c>
      <c r="V41" s="705" t="s">
        <v>14</v>
      </c>
      <c r="W41" s="706">
        <f t="shared" si="14"/>
        <v>100</v>
      </c>
      <c r="X41" s="1354"/>
      <c r="Y41" s="3699"/>
      <c r="Z41" s="1355" t="str">
        <f t="shared" si="15"/>
        <v>层高</v>
      </c>
      <c r="AA41" s="1352">
        <f t="shared" si="3"/>
        <v>1</v>
      </c>
      <c r="AB41" s="1352">
        <f t="shared" si="4"/>
        <v>1</v>
      </c>
      <c r="AC41" s="1961">
        <f t="shared" si="5"/>
        <v>1</v>
      </c>
    </row>
    <row r="42" spans="1:29" s="422" customFormat="1" ht="15">
      <c r="A42" s="419"/>
      <c r="B42" s="1353" t="s">
        <v>1816</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54"/>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2">
        <f t="shared" si="3"/>
        <v>1</v>
      </c>
      <c r="AB42" s="1352">
        <f t="shared" si="4"/>
        <v>1</v>
      </c>
      <c r="AC42" s="1961">
        <f t="shared" si="5"/>
        <v>1</v>
      </c>
    </row>
    <row r="43" spans="1:29" ht="15">
      <c r="A43" s="423"/>
      <c r="B43" s="375" t="s">
        <v>1788</v>
      </c>
      <c r="C43" s="411" t="s">
        <v>3445</v>
      </c>
      <c r="D43" s="386">
        <v>100</v>
      </c>
      <c r="E43" s="411" t="s">
        <v>3449</v>
      </c>
      <c r="F43" s="412">
        <f>SUMIF(123:123,E43,124:124)-SUMIF(123:123,C43,124:124)+100</f>
        <v>97</v>
      </c>
      <c r="G43" s="411" t="s">
        <v>3445</v>
      </c>
      <c r="H43" s="386">
        <f>SUMIF(123:123,G43,124:124)-SUMIF(123:123,C43,124:124)+100</f>
        <v>100</v>
      </c>
      <c r="I43" s="411" t="s">
        <v>3445</v>
      </c>
      <c r="J43" s="386">
        <f>SUMIF(123:123,I43,124:124)-SUMIF(123:123,C43,124:124)+100</f>
        <v>100</v>
      </c>
      <c r="K43" s="561">
        <v>1</v>
      </c>
      <c r="L43" s="2721"/>
      <c r="M43" s="2715"/>
      <c r="N43" s="2715"/>
      <c r="O43" s="2715"/>
      <c r="P43" s="3754"/>
      <c r="Q43" s="1351" t="str">
        <f t="shared" si="11"/>
        <v>内部装修</v>
      </c>
      <c r="R43" s="705" t="s">
        <v>14</v>
      </c>
      <c r="S43" s="706">
        <f t="shared" si="12"/>
        <v>97</v>
      </c>
      <c r="T43" s="705" t="s">
        <v>14</v>
      </c>
      <c r="U43" s="706">
        <f t="shared" si="13"/>
        <v>100</v>
      </c>
      <c r="V43" s="705" t="s">
        <v>14</v>
      </c>
      <c r="W43" s="706">
        <f t="shared" si="14"/>
        <v>100</v>
      </c>
      <c r="X43" s="1354"/>
      <c r="Y43" s="3699"/>
      <c r="Z43" s="1355" t="str">
        <f t="shared" si="15"/>
        <v>内部装修</v>
      </c>
      <c r="AA43" s="1352">
        <f t="shared" si="3"/>
        <v>1.0309278350515463</v>
      </c>
      <c r="AB43" s="1352">
        <f t="shared" si="4"/>
        <v>1</v>
      </c>
      <c r="AC43" s="1961">
        <f t="shared" si="5"/>
        <v>1</v>
      </c>
    </row>
    <row r="44" spans="1:29" ht="15">
      <c r="A44" s="423"/>
      <c r="B44" s="375" t="s">
        <v>1703</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54"/>
      <c r="Q44" s="1351" t="str">
        <f t="shared" si="11"/>
        <v>内部装修维护情况</v>
      </c>
      <c r="R44" s="705" t="s">
        <v>14</v>
      </c>
      <c r="S44" s="706">
        <f t="shared" si="12"/>
        <v>100</v>
      </c>
      <c r="T44" s="705" t="s">
        <v>14</v>
      </c>
      <c r="U44" s="706">
        <f t="shared" si="13"/>
        <v>100</v>
      </c>
      <c r="V44" s="705" t="s">
        <v>14</v>
      </c>
      <c r="W44" s="706">
        <f t="shared" si="14"/>
        <v>100</v>
      </c>
      <c r="X44" s="1354"/>
      <c r="Y44" s="369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54"/>
      <c r="Q45" s="1342">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54"/>
      <c r="Q46" s="1351">
        <f t="shared" si="11"/>
        <v>111</v>
      </c>
      <c r="R46" s="705" t="s">
        <v>14</v>
      </c>
      <c r="S46" s="706">
        <f t="shared" si="12"/>
        <v>100</v>
      </c>
      <c r="T46" s="705" t="s">
        <v>14</v>
      </c>
      <c r="U46" s="706">
        <f t="shared" si="13"/>
        <v>100</v>
      </c>
      <c r="V46" s="705" t="s">
        <v>14</v>
      </c>
      <c r="W46" s="706">
        <f t="shared" si="14"/>
        <v>100</v>
      </c>
      <c r="X46" s="1354"/>
      <c r="Y46" s="369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55"/>
      <c r="Q47" s="1351">
        <f t="shared" si="11"/>
        <v>111</v>
      </c>
      <c r="R47" s="705" t="s">
        <v>14</v>
      </c>
      <c r="S47" s="706">
        <f t="shared" si="12"/>
        <v>100</v>
      </c>
      <c r="T47" s="705" t="s">
        <v>14</v>
      </c>
      <c r="U47" s="706">
        <f t="shared" si="13"/>
        <v>100</v>
      </c>
      <c r="V47" s="705" t="s">
        <v>14</v>
      </c>
      <c r="W47" s="706">
        <f t="shared" si="14"/>
        <v>100</v>
      </c>
      <c r="X47" s="1354"/>
      <c r="Y47" s="3756"/>
      <c r="Z47" s="1355">
        <f t="shared" si="15"/>
        <v>111</v>
      </c>
      <c r="AA47" s="1352">
        <f t="shared" si="3"/>
        <v>1</v>
      </c>
      <c r="AB47" s="1352">
        <f t="shared" si="4"/>
        <v>1</v>
      </c>
      <c r="AC47" s="1961">
        <f t="shared" si="5"/>
        <v>1</v>
      </c>
    </row>
    <row r="48" spans="1:29" ht="15">
      <c r="A48" s="430" t="s">
        <v>1704</v>
      </c>
      <c r="B48" s="431"/>
      <c r="C48" s="1154" t="s">
        <v>0</v>
      </c>
      <c r="D48" s="1155"/>
      <c r="E48" s="1156">
        <v>4</v>
      </c>
      <c r="F48" s="1157"/>
      <c r="G48" s="1158">
        <v>4.5</v>
      </c>
      <c r="H48" s="1159"/>
      <c r="I48" s="1156">
        <v>5</v>
      </c>
      <c r="J48" s="436"/>
      <c r="K48" s="714"/>
      <c r="L48" s="2723"/>
      <c r="M48" s="2715"/>
      <c r="N48" s="2715"/>
      <c r="O48" s="2715"/>
      <c r="P48" s="3705" t="str">
        <f>A48</f>
        <v>成交单价（元/平方米）</v>
      </c>
      <c r="Q48" s="3681"/>
      <c r="R48" s="3752">
        <f>E48</f>
        <v>4</v>
      </c>
      <c r="S48" s="3752"/>
      <c r="T48" s="3752">
        <f>G48</f>
        <v>4.5</v>
      </c>
      <c r="U48" s="3752"/>
      <c r="V48" s="3752">
        <f>I48</f>
        <v>5</v>
      </c>
      <c r="W48" s="3752"/>
      <c r="X48" s="397"/>
      <c r="Y48" s="712"/>
      <c r="Z48" s="397"/>
      <c r="AA48" s="397"/>
      <c r="AB48" s="397"/>
      <c r="AC48" s="578"/>
    </row>
    <row r="49" spans="1:29" ht="15.75" thickBot="1">
      <c r="A49" s="437" t="s">
        <v>1789</v>
      </c>
      <c r="B49" s="438"/>
      <c r="C49" s="1160">
        <f>R50</f>
        <v>4.3</v>
      </c>
      <c r="D49" s="2316" t="s">
        <v>2132</v>
      </c>
      <c r="E49" s="1161">
        <f>R49</f>
        <v>3.9</v>
      </c>
      <c r="F49" s="2317"/>
      <c r="G49" s="1160">
        <f>T49</f>
        <v>4.2</v>
      </c>
      <c r="H49" s="2317"/>
      <c r="I49" s="1161">
        <f>V49</f>
        <v>4.8</v>
      </c>
      <c r="J49" s="2317"/>
      <c r="K49" s="2319">
        <f>F49+H49+J49</f>
        <v>0</v>
      </c>
      <c r="L49" s="2723"/>
      <c r="M49" s="2715"/>
      <c r="N49" s="2715"/>
      <c r="O49" s="2715"/>
      <c r="P49" s="3705" t="str">
        <f>A49</f>
        <v>比较价值（元/平方米）</v>
      </c>
      <c r="Q49" s="3681"/>
      <c r="R49" s="3752">
        <f>IF(F1="售价",ROUND(PRODUCT(R48,AA7:AA47),0),ROUND(PRODUCT(R48,AA7:AA47),1))</f>
        <v>3.9</v>
      </c>
      <c r="S49" s="3752"/>
      <c r="T49" s="3752">
        <f>IF(F1="售价",ROUND(PRODUCT(T48,AB7:AB47),0),ROUND(PRODUCT(T48,AB7:AB47),1))</f>
        <v>4.2</v>
      </c>
      <c r="U49" s="3752"/>
      <c r="V49" s="3752">
        <f>IF(F1="售价",ROUND(PRODUCT(V48,AC7:AC47),0),ROUND(PRODUCT(V48,AC7:AC47),1))</f>
        <v>4.8</v>
      </c>
      <c r="W49" s="3752"/>
      <c r="X49" s="397"/>
      <c r="Y49" s="397"/>
      <c r="Z49" s="397"/>
      <c r="AA49" s="397"/>
      <c r="AB49" s="397"/>
      <c r="AC49" s="578"/>
    </row>
    <row r="50" spans="1:29" ht="15.75" thickBot="1">
      <c r="A50" s="441" t="s">
        <v>1790</v>
      </c>
      <c r="B50" s="442"/>
      <c r="C50" s="1163">
        <f>R50</f>
        <v>4.3</v>
      </c>
      <c r="D50" s="1163"/>
      <c r="E50" s="1163"/>
      <c r="F50" s="1163"/>
      <c r="G50" s="1163"/>
      <c r="H50" s="1163"/>
      <c r="I50" s="1163"/>
      <c r="J50" s="443"/>
      <c r="K50" s="715"/>
      <c r="L50" s="2723"/>
      <c r="M50" s="2715"/>
      <c r="N50" s="2715"/>
      <c r="O50" s="2715"/>
      <c r="P50" s="3773" t="str">
        <f>A50</f>
        <v>估价对象XX用房的比较价值（楼面单价，元/平方米）</v>
      </c>
      <c r="Q50" s="3774"/>
      <c r="R50" s="3775">
        <f>IF(F1="售价",ROUND(IF(D49="简单平均",AVERAGE(R49:V49),R49*F49+T49*H49+V49*J49),0),ROUND(IF(D49="简单平均",AVERAGE(R49:V49),R49*F49+T49*H49+V49*J49),1))</f>
        <v>4.3</v>
      </c>
      <c r="S50" s="3775"/>
      <c r="T50" s="3775"/>
      <c r="U50" s="3775"/>
      <c r="V50" s="3775"/>
      <c r="W50" s="377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1791</v>
      </c>
      <c r="D53" s="447"/>
      <c r="E53" s="448">
        <f>IF(E48&lt;E49,E49/E48-1,E48/E49-1)</f>
        <v>2.5641025641025772E-2</v>
      </c>
      <c r="F53" s="449" t="str">
        <f>IF(OR(E53&gt;=0.3,E53&lt;=-0.3),"超过30%","")</f>
        <v/>
      </c>
      <c r="G53" s="448">
        <f>IF(G48&lt;G49,G49/G48-1,G48/G49-1)</f>
        <v>7.1428571428571397E-2</v>
      </c>
      <c r="H53" s="449" t="str">
        <f>IF(OR(G53&gt;=0.3,G53&lt;=-0.3),"超过30%","")</f>
        <v/>
      </c>
      <c r="I53" s="448">
        <f>IF(I48&lt;I49,I49/I48-1,I48/I49-1)</f>
        <v>4.1666666666666741E-2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1792</v>
      </c>
      <c r="D54" s="450"/>
      <c r="E54" s="448">
        <f>IF(E49&lt;G49,G49/E49-1,E49/G49-1)</f>
        <v>7.6923076923077094E-2</v>
      </c>
      <c r="F54" s="449" t="str">
        <f>IF(OR(E54&gt;=0.2,E54&lt;=-0.2),"超过20%","")</f>
        <v/>
      </c>
      <c r="G54" s="448">
        <f>IF(G49&lt;I49,I49/G49-1,G49/I49-1)</f>
        <v>0.14285714285714279</v>
      </c>
      <c r="H54" s="449" t="str">
        <f>IF(OR(G54&gt;=0.2,G54&lt;=-0.2),"超过20%","")</f>
        <v/>
      </c>
      <c r="I54" s="448">
        <f>IF(I49&lt;E49,E49/I49-1,I49/E49-1)</f>
        <v>0.23076923076923084</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1793</v>
      </c>
      <c r="D55" s="450"/>
      <c r="E55" s="448">
        <f>IF(E48&lt;G48,G48/E48-1,E48/G48-1)</f>
        <v>0.125</v>
      </c>
      <c r="F55" s="449" t="str">
        <f>IF(OR(E55&gt;=0.3,E55&lt;=-0.3),"超过30%","")</f>
        <v/>
      </c>
      <c r="G55" s="448">
        <f>IF(G48&lt;I48,I48/G48-1,G48/I48-1)</f>
        <v>0.11111111111111116</v>
      </c>
      <c r="H55" s="449" t="str">
        <f>IF(OR(G55&gt;=0.3,G55&lt;=-0.3),"超过30%","")</f>
        <v/>
      </c>
      <c r="I55" s="448">
        <f>IF(I48&lt;E48,E48/I48-1,I48/E48-1)</f>
        <v>0.25</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1794</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1675</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1712</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1677</v>
      </c>
      <c r="B62" s="459"/>
      <c r="C62" s="471" t="s">
        <v>1772</v>
      </c>
      <c r="D62" s="3454" t="s">
        <v>3441</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1715</v>
      </c>
      <c r="B64" s="477" t="s">
        <v>1681</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1684</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1685</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1686</v>
      </c>
      <c r="B77" s="477" t="s">
        <v>1817</v>
      </c>
      <c r="C77" s="522" t="s">
        <v>1717</v>
      </c>
      <c r="D77" s="522" t="s">
        <v>1718</v>
      </c>
      <c r="E77" s="522" t="s">
        <v>1719</v>
      </c>
      <c r="F77" s="522" t="s">
        <v>1720</v>
      </c>
      <c r="G77" s="522" t="s">
        <v>1721</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1722</v>
      </c>
      <c r="C79" s="527" t="s">
        <v>1717</v>
      </c>
      <c r="D79" s="527" t="s">
        <v>1718</v>
      </c>
      <c r="E79" s="527" t="s">
        <v>1719</v>
      </c>
      <c r="F79" s="527" t="s">
        <v>1720</v>
      </c>
      <c r="G79" s="527" t="s">
        <v>1721</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1723</v>
      </c>
      <c r="C81" s="527" t="s">
        <v>1717</v>
      </c>
      <c r="D81" s="527" t="s">
        <v>1718</v>
      </c>
      <c r="E81" s="527" t="s">
        <v>1719</v>
      </c>
      <c r="F81" s="527" t="s">
        <v>1720</v>
      </c>
      <c r="G81" s="527" t="s">
        <v>1721</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1809</v>
      </c>
      <c r="C83" s="608" t="s">
        <v>1795</v>
      </c>
      <c r="D83" s="608" t="s">
        <v>1796</v>
      </c>
      <c r="E83" s="608" t="s">
        <v>1797</v>
      </c>
      <c r="F83" s="608" t="s">
        <v>1798</v>
      </c>
      <c r="G83" s="608" t="s">
        <v>1799</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1818</v>
      </c>
      <c r="C85" s="527" t="s">
        <v>1717</v>
      </c>
      <c r="D85" s="527" t="s">
        <v>1718</v>
      </c>
      <c r="E85" s="527" t="s">
        <v>1719</v>
      </c>
      <c r="F85" s="527" t="s">
        <v>1720</v>
      </c>
      <c r="G85" s="527" t="s">
        <v>1721</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1819</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1690</v>
      </c>
      <c r="B101" s="477" t="s">
        <v>1732</v>
      </c>
      <c r="C101" s="3455" t="s">
        <v>3443</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1733</v>
      </c>
      <c r="C103" s="527" t="str">
        <f>C104&amp;"(含)"&amp;"-"&amp;D104</f>
        <v>0(含)-500</v>
      </c>
      <c r="D103" s="527" t="str">
        <f t="shared" ref="D103:L103" si="23">D104&amp;"(含)"&amp;"-"&amp;E104</f>
        <v>500(含)-1000</v>
      </c>
      <c r="E103" s="527" t="str">
        <f t="shared" si="23"/>
        <v>1000(含)-1500</v>
      </c>
      <c r="F103" s="527" t="str">
        <f t="shared" si="23"/>
        <v>1500(含)-2000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1500</v>
      </c>
      <c r="G104" s="544">
        <v>2000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v>96</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1734</v>
      </c>
      <c r="C106" s="3456" t="s">
        <v>3444</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1736</v>
      </c>
      <c r="C108" s="3456" t="s">
        <v>3446</v>
      </c>
      <c r="D108" s="3456" t="s">
        <v>3448</v>
      </c>
      <c r="E108" s="3456" t="s">
        <v>3447</v>
      </c>
      <c r="F108" s="3457" t="s">
        <v>3450</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1820</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1737</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1738</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1821</v>
      </c>
      <c r="C119" s="3457" t="s">
        <v>3452</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1804</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1740</v>
      </c>
      <c r="C123" s="3456" t="s">
        <v>3446</v>
      </c>
      <c r="D123" s="3456" t="s">
        <v>3448</v>
      </c>
      <c r="E123" s="3456" t="s">
        <v>3447</v>
      </c>
      <c r="F123" s="3457" t="s">
        <v>3450</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1741</v>
      </c>
      <c r="C125" s="527" t="s">
        <v>1717</v>
      </c>
      <c r="D125" s="527" t="s">
        <v>1718</v>
      </c>
      <c r="E125" s="527" t="s">
        <v>1719</v>
      </c>
      <c r="F125" s="527" t="s">
        <v>1720</v>
      </c>
      <c r="G125" s="527" t="s">
        <v>1721</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1656</v>
      </c>
      <c r="B1" s="1956" t="s">
        <v>1822</v>
      </c>
      <c r="C1" s="1223" t="s">
        <v>1658</v>
      </c>
      <c r="D1" s="1224"/>
      <c r="E1" s="3432"/>
      <c r="F1" s="1878"/>
      <c r="G1" s="1234" t="s">
        <v>1763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1458</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1459</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1764</v>
      </c>
      <c r="D3" s="353">
        <f>IF(D1="",'数据-汇总表'!E3,SUMIF('数据-汇总表'!$C19:$C33,D1,'数据-汇总表'!$E19:$E33))</f>
        <v>4704.8599999999997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1765</v>
      </c>
      <c r="B4" s="356"/>
      <c r="C4" s="3682" t="s">
        <v>1766</v>
      </c>
      <c r="D4" s="3683"/>
      <c r="E4" s="3684" t="s">
        <v>1767</v>
      </c>
      <c r="F4" s="3685"/>
      <c r="G4" s="3682" t="s">
        <v>1768</v>
      </c>
      <c r="H4" s="3683"/>
      <c r="I4" s="3682" t="s">
        <v>1769</v>
      </c>
      <c r="J4" s="3683"/>
      <c r="K4" s="559" t="s">
        <v>1770</v>
      </c>
      <c r="L4" s="913"/>
      <c r="M4" s="914"/>
      <c r="N4" s="914"/>
      <c r="O4" s="914"/>
      <c r="P4" s="3686" t="s">
        <v>1771</v>
      </c>
      <c r="Q4" s="3687"/>
      <c r="R4" s="3669" t="s">
        <v>1767</v>
      </c>
      <c r="S4" s="3670"/>
      <c r="T4" s="3669" t="s">
        <v>1768</v>
      </c>
      <c r="U4" s="3670"/>
      <c r="V4" s="3694" t="s">
        <v>1769</v>
      </c>
      <c r="W4" s="3694"/>
      <c r="X4" s="1354"/>
      <c r="Y4" s="3669" t="s">
        <v>1771</v>
      </c>
      <c r="Z4" s="3670"/>
      <c r="AA4" s="3664" t="s">
        <v>1767</v>
      </c>
      <c r="AB4" s="3665" t="s">
        <v>1768</v>
      </c>
      <c r="AC4" s="3664" t="s">
        <v>1769</v>
      </c>
    </row>
    <row r="5" spans="1:29" ht="15">
      <c r="A5" s="358"/>
      <c r="B5" s="359"/>
      <c r="C5" s="3675" t="s">
        <v>1669</v>
      </c>
      <c r="D5" s="3676"/>
      <c r="E5" s="3673" t="s">
        <v>1670</v>
      </c>
      <c r="F5" s="3674"/>
      <c r="G5" s="3675" t="s">
        <v>1671</v>
      </c>
      <c r="H5" s="3676"/>
      <c r="I5" s="3675" t="s">
        <v>1672</v>
      </c>
      <c r="J5" s="3676"/>
      <c r="K5" s="559"/>
      <c r="L5" s="913"/>
      <c r="M5" s="914"/>
      <c r="N5" s="914"/>
      <c r="O5" s="914"/>
      <c r="P5" s="3688"/>
      <c r="Q5" s="3689"/>
      <c r="R5" s="3671"/>
      <c r="S5" s="3672"/>
      <c r="T5" s="3671"/>
      <c r="U5" s="3672"/>
      <c r="V5" s="3694"/>
      <c r="W5" s="3694"/>
      <c r="X5" s="1354"/>
      <c r="Y5" s="3671"/>
      <c r="Z5" s="3672"/>
      <c r="AA5" s="3665"/>
      <c r="AB5" s="3665"/>
      <c r="AC5" s="3665"/>
    </row>
    <row r="6" spans="1:29" ht="15.75" thickBot="1">
      <c r="A6" s="360"/>
      <c r="B6" s="361"/>
      <c r="C6" s="3677" t="s">
        <v>1673</v>
      </c>
      <c r="D6" s="3678"/>
      <c r="E6" s="3679" t="s">
        <v>1673</v>
      </c>
      <c r="F6" s="3680"/>
      <c r="G6" s="3677" t="s">
        <v>1673</v>
      </c>
      <c r="H6" s="3678"/>
      <c r="I6" s="3677" t="s">
        <v>1673</v>
      </c>
      <c r="J6" s="3678"/>
      <c r="K6" s="559" t="s">
        <v>1674</v>
      </c>
      <c r="L6" s="913"/>
      <c r="M6" s="914"/>
      <c r="N6" s="914"/>
      <c r="O6" s="914"/>
      <c r="P6" s="3690"/>
      <c r="Q6" s="3691"/>
      <c r="R6" s="3671"/>
      <c r="S6" s="3672"/>
      <c r="T6" s="3692"/>
      <c r="U6" s="3693"/>
      <c r="V6" s="3694"/>
      <c r="W6" s="3694"/>
      <c r="X6" s="1354"/>
      <c r="Y6" s="3692"/>
      <c r="Z6" s="3693"/>
      <c r="AA6" s="3666"/>
      <c r="AB6" s="3666"/>
      <c r="AC6" s="3666"/>
    </row>
    <row r="7" spans="1:29" s="108" customFormat="1" ht="15.75" thickBot="1">
      <c r="A7" s="362" t="s">
        <v>1675</v>
      </c>
      <c r="B7" s="363"/>
      <c r="C7" s="364">
        <f>'数据-取费表'!B2</f>
        <v>45496</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1676</v>
      </c>
      <c r="Q7" s="3695"/>
      <c r="R7" s="701" t="s">
        <v>14</v>
      </c>
      <c r="S7" s="702">
        <f t="shared" ref="S7:S15" si="0">F7</f>
        <v>0</v>
      </c>
      <c r="T7" s="701" t="s">
        <v>14</v>
      </c>
      <c r="U7" s="702">
        <f t="shared" ref="U7:U15" si="1">H7</f>
        <v>0</v>
      </c>
      <c r="V7" s="701" t="s">
        <v>14</v>
      </c>
      <c r="W7" s="702">
        <f t="shared" ref="W7:W15" si="2">J7</f>
        <v>0</v>
      </c>
      <c r="X7" s="703"/>
      <c r="Y7" s="3667" t="s">
        <v>1676</v>
      </c>
      <c r="Z7" s="3668"/>
      <c r="AA7" s="704" t="e">
        <f>D7/F7</f>
        <v>#DIV/0!</v>
      </c>
      <c r="AB7" s="704" t="e">
        <f>D7/H7</f>
        <v>#DIV/0!</v>
      </c>
      <c r="AC7" s="704" t="e">
        <f>D7/J7</f>
        <v>#DIV/0!</v>
      </c>
    </row>
    <row r="8" spans="1:29" s="108" customFormat="1" ht="15.75" thickBot="1">
      <c r="A8" s="362" t="s">
        <v>1677</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1679</v>
      </c>
      <c r="Q8" s="3668"/>
      <c r="R8" s="701" t="s">
        <v>14</v>
      </c>
      <c r="S8" s="702">
        <f t="shared" si="0"/>
        <v>100</v>
      </c>
      <c r="T8" s="701" t="s">
        <v>14</v>
      </c>
      <c r="U8" s="702">
        <f t="shared" si="1"/>
        <v>100</v>
      </c>
      <c r="V8" s="701" t="s">
        <v>14</v>
      </c>
      <c r="W8" s="702">
        <f t="shared" si="2"/>
        <v>100</v>
      </c>
      <c r="X8" s="703"/>
      <c r="Y8" s="3667" t="s">
        <v>1679</v>
      </c>
      <c r="Z8" s="3668"/>
      <c r="AA8" s="704">
        <f t="shared" ref="AA8:AA40" si="3">D8/F8</f>
        <v>1</v>
      </c>
      <c r="AB8" s="704">
        <f t="shared" ref="AB8:AB40" si="4">D8/H8</f>
        <v>1</v>
      </c>
      <c r="AC8" s="704">
        <f t="shared" ref="AC8:AC40" si="5">D8/J8</f>
        <v>1</v>
      </c>
    </row>
    <row r="9" spans="1:29" s="108" customFormat="1">
      <c r="A9" s="369" t="s">
        <v>1680</v>
      </c>
      <c r="B9" s="63" t="s">
        <v>1681</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1" t="s">
        <v>1682</v>
      </c>
      <c r="Q9" s="1342" t="str">
        <f t="shared" ref="Q9:Q15" si="6">B9</f>
        <v>用途</v>
      </c>
      <c r="R9" s="701" t="s">
        <v>14</v>
      </c>
      <c r="S9" s="702">
        <f t="shared" si="0"/>
        <v>100</v>
      </c>
      <c r="T9" s="701" t="s">
        <v>14</v>
      </c>
      <c r="U9" s="702">
        <f t="shared" si="1"/>
        <v>100</v>
      </c>
      <c r="V9" s="701" t="s">
        <v>14</v>
      </c>
      <c r="W9" s="702">
        <f t="shared" si="2"/>
        <v>100</v>
      </c>
      <c r="X9" s="703"/>
      <c r="Y9" s="3637" t="s">
        <v>1683</v>
      </c>
      <c r="Z9" s="52" t="str">
        <f t="shared" ref="Z9:Z15" si="7">Q9</f>
        <v>用途</v>
      </c>
      <c r="AA9" s="704">
        <f t="shared" si="3"/>
        <v>1</v>
      </c>
      <c r="AB9" s="704">
        <f t="shared" si="4"/>
        <v>1</v>
      </c>
      <c r="AC9" s="704">
        <f t="shared" si="5"/>
        <v>1</v>
      </c>
    </row>
    <row r="10" spans="1:29" s="378" customFormat="1" ht="27">
      <c r="A10" s="374"/>
      <c r="B10" s="375" t="s">
        <v>1684</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1"/>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1685</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1"/>
      <c r="Q11" s="1342"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1"/>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1"/>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1"/>
      <c r="Q14" s="1342">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1686</v>
      </c>
      <c r="B15" s="61" t="s">
        <v>1823</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1687</v>
      </c>
      <c r="Q15" s="1351" t="str">
        <f t="shared" si="6"/>
        <v>产业集聚程度</v>
      </c>
      <c r="R15" s="705" t="s">
        <v>14</v>
      </c>
      <c r="S15" s="706">
        <f t="shared" si="0"/>
        <v>100</v>
      </c>
      <c r="T15" s="705" t="s">
        <v>14</v>
      </c>
      <c r="U15" s="706">
        <f t="shared" si="1"/>
        <v>100</v>
      </c>
      <c r="V15" s="705" t="s">
        <v>14</v>
      </c>
      <c r="W15" s="706">
        <f t="shared" si="2"/>
        <v>100</v>
      </c>
      <c r="X15" s="1354"/>
      <c r="Y15" s="3696" t="s">
        <v>1687</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7"/>
      <c r="Q16" s="1351"/>
      <c r="R16" s="705"/>
      <c r="S16" s="706"/>
      <c r="T16" s="705"/>
      <c r="U16" s="706"/>
      <c r="V16" s="705"/>
      <c r="W16" s="706"/>
      <c r="X16" s="1354"/>
      <c r="Y16" s="369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7"/>
      <c r="Q18" s="1351"/>
      <c r="R18" s="705"/>
      <c r="S18" s="706"/>
      <c r="T18" s="705"/>
      <c r="U18" s="706"/>
      <c r="V18" s="705"/>
      <c r="W18" s="706"/>
      <c r="X18" s="1354"/>
      <c r="Y18" s="3697"/>
      <c r="Z18" s="1355"/>
      <c r="AA18" s="1352">
        <v>1</v>
      </c>
      <c r="AB18" s="1352">
        <v>1</v>
      </c>
      <c r="AC18" s="1352">
        <v>1</v>
      </c>
    </row>
    <row r="19" spans="1:29" ht="42.75">
      <c r="A19" s="379"/>
      <c r="B19" s="402" t="s">
        <v>1808</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1" t="str">
        <f>B19</f>
        <v>公共配套设施</v>
      </c>
      <c r="R19" s="705" t="s">
        <v>14</v>
      </c>
      <c r="S19" s="706">
        <f>F19</f>
        <v>100</v>
      </c>
      <c r="T19" s="705" t="s">
        <v>14</v>
      </c>
      <c r="U19" s="706">
        <f>H19</f>
        <v>100</v>
      </c>
      <c r="V19" s="705" t="s">
        <v>14</v>
      </c>
      <c r="W19" s="706">
        <f>J19</f>
        <v>100</v>
      </c>
      <c r="X19" s="1354"/>
      <c r="Y19" s="369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7"/>
      <c r="Q20" s="1351"/>
      <c r="R20" s="705"/>
      <c r="S20" s="706"/>
      <c r="T20" s="705"/>
      <c r="U20" s="706"/>
      <c r="V20" s="705"/>
      <c r="W20" s="706"/>
      <c r="X20" s="1354"/>
      <c r="Y20" s="3697"/>
      <c r="Z20" s="1355"/>
      <c r="AA20" s="1352">
        <v>1</v>
      </c>
      <c r="AB20" s="1352">
        <v>1</v>
      </c>
      <c r="AC20" s="1352">
        <v>1</v>
      </c>
    </row>
    <row r="21" spans="1:29" ht="28.5">
      <c r="A21" s="379"/>
      <c r="B21" s="1131" t="s">
        <v>1809</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7"/>
      <c r="Q22" s="1351"/>
      <c r="R22" s="705"/>
      <c r="S22" s="706"/>
      <c r="T22" s="705"/>
      <c r="U22" s="706"/>
      <c r="V22" s="705"/>
      <c r="W22" s="706"/>
      <c r="X22" s="1354"/>
      <c r="Y22" s="3697"/>
      <c r="Z22" s="1355"/>
      <c r="AA22" s="1352">
        <v>1</v>
      </c>
      <c r="AB22" s="1352">
        <v>1</v>
      </c>
      <c r="AC22" s="1352">
        <v>1</v>
      </c>
    </row>
    <row r="23" spans="1:29" ht="71.25">
      <c r="A23" s="379"/>
      <c r="B23" s="402" t="s">
        <v>1810</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1" t="str">
        <f>B23</f>
        <v>环境质量</v>
      </c>
      <c r="R23" s="705" t="s">
        <v>14</v>
      </c>
      <c r="S23" s="706">
        <f>F23</f>
        <v>100</v>
      </c>
      <c r="T23" s="705" t="s">
        <v>14</v>
      </c>
      <c r="U23" s="706">
        <f>H23</f>
        <v>100</v>
      </c>
      <c r="V23" s="705" t="s">
        <v>14</v>
      </c>
      <c r="W23" s="706">
        <f>J23</f>
        <v>100</v>
      </c>
      <c r="X23" s="1354"/>
      <c r="Y23" s="369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7"/>
      <c r="Q24" s="1351"/>
      <c r="R24" s="705"/>
      <c r="S24" s="706"/>
      <c r="T24" s="705"/>
      <c r="U24" s="706"/>
      <c r="V24" s="705"/>
      <c r="W24" s="706"/>
      <c r="X24" s="1354"/>
      <c r="Y24" s="369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1">
        <f>B25</f>
        <v>111</v>
      </c>
      <c r="R25" s="705" t="s">
        <v>14</v>
      </c>
      <c r="S25" s="706">
        <f>F25</f>
        <v>100</v>
      </c>
      <c r="T25" s="705" t="s">
        <v>14</v>
      </c>
      <c r="U25" s="706">
        <f>H25</f>
        <v>100</v>
      </c>
      <c r="V25" s="705" t="s">
        <v>14</v>
      </c>
      <c r="W25" s="706">
        <f>J25</f>
        <v>100</v>
      </c>
      <c r="X25" s="1354"/>
      <c r="Y25" s="369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1">
        <f t="shared" ref="Q26:Q40" si="11">B26</f>
        <v>111</v>
      </c>
      <c r="R26" s="705" t="s">
        <v>14</v>
      </c>
      <c r="S26" s="706">
        <f>F26</f>
        <v>100</v>
      </c>
      <c r="T26" s="705" t="s">
        <v>14</v>
      </c>
      <c r="U26" s="706">
        <f>H26</f>
        <v>100</v>
      </c>
      <c r="V26" s="705" t="s">
        <v>14</v>
      </c>
      <c r="W26" s="706">
        <f>J26</f>
        <v>100</v>
      </c>
      <c r="X26" s="1354"/>
      <c r="Y26" s="369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2">
        <f t="shared" si="11"/>
        <v>111</v>
      </c>
      <c r="R27" s="701" t="s">
        <v>14</v>
      </c>
      <c r="S27" s="702">
        <f>F27</f>
        <v>100</v>
      </c>
      <c r="T27" s="701" t="s">
        <v>14</v>
      </c>
      <c r="U27" s="702">
        <f>H27</f>
        <v>100</v>
      </c>
      <c r="V27" s="701" t="s">
        <v>14</v>
      </c>
      <c r="W27" s="702">
        <f>J27</f>
        <v>100</v>
      </c>
      <c r="X27" s="703"/>
      <c r="Y27" s="369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1">
        <f t="shared" si="11"/>
        <v>111</v>
      </c>
      <c r="R28" s="705" t="s">
        <v>14</v>
      </c>
      <c r="S28" s="706">
        <f t="shared" ref="S28:S40" si="12">F28</f>
        <v>100</v>
      </c>
      <c r="T28" s="705" t="s">
        <v>14</v>
      </c>
      <c r="U28" s="706">
        <f t="shared" ref="U28:U40" si="13">H28</f>
        <v>100</v>
      </c>
      <c r="V28" s="705" t="s">
        <v>14</v>
      </c>
      <c r="W28" s="706">
        <f t="shared" ref="W28:W40" si="14">J28</f>
        <v>100</v>
      </c>
      <c r="X28" s="1354"/>
      <c r="Y28" s="3697"/>
      <c r="Z28" s="1355">
        <f t="shared" ref="Z28:Z40" si="15">Q28</f>
        <v>111</v>
      </c>
      <c r="AA28" s="1352">
        <f t="shared" si="3"/>
        <v>1</v>
      </c>
      <c r="AB28" s="1352">
        <f t="shared" si="4"/>
        <v>1</v>
      </c>
      <c r="AC28" s="1352">
        <f t="shared" si="5"/>
        <v>1</v>
      </c>
    </row>
    <row r="29" spans="1:29" ht="28.5">
      <c r="A29" s="417" t="s">
        <v>1690</v>
      </c>
      <c r="B29" s="63" t="s">
        <v>1813</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98" t="s">
        <v>1692</v>
      </c>
      <c r="Q29" s="1351" t="str">
        <f t="shared" si="11"/>
        <v>建筑类型</v>
      </c>
      <c r="R29" s="705" t="s">
        <v>14</v>
      </c>
      <c r="S29" s="706">
        <f t="shared" si="12"/>
        <v>100</v>
      </c>
      <c r="T29" s="705" t="s">
        <v>14</v>
      </c>
      <c r="U29" s="706">
        <f t="shared" si="13"/>
        <v>100</v>
      </c>
      <c r="V29" s="705" t="s">
        <v>14</v>
      </c>
      <c r="W29" s="706">
        <f t="shared" si="14"/>
        <v>100</v>
      </c>
      <c r="X29" s="1354"/>
      <c r="Y29" s="3699" t="s">
        <v>1692</v>
      </c>
      <c r="Z29" s="1355" t="str">
        <f t="shared" si="15"/>
        <v>建筑类型</v>
      </c>
      <c r="AA29" s="1352">
        <f t="shared" si="3"/>
        <v>1</v>
      </c>
      <c r="AB29" s="1352">
        <f t="shared" si="4"/>
        <v>1</v>
      </c>
      <c r="AC29" s="1352">
        <f t="shared" si="5"/>
        <v>1</v>
      </c>
    </row>
    <row r="30" spans="1:29" s="422" customFormat="1" ht="15">
      <c r="A30" s="419"/>
      <c r="B30" s="375" t="s">
        <v>1693</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2" t="e">
        <f t="shared" si="3"/>
        <v>#N/A</v>
      </c>
      <c r="AB30" s="1352" t="e">
        <f t="shared" si="4"/>
        <v>#N/A</v>
      </c>
      <c r="AC30" s="1352" t="e">
        <f t="shared" si="5"/>
        <v>#N/A</v>
      </c>
    </row>
    <row r="31" spans="1:29" ht="15">
      <c r="A31" s="423"/>
      <c r="B31" s="375" t="s">
        <v>1694</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1" t="str">
        <f t="shared" si="11"/>
        <v>建筑结构</v>
      </c>
      <c r="R31" s="705" t="s">
        <v>14</v>
      </c>
      <c r="S31" s="706">
        <f t="shared" si="12"/>
        <v>100</v>
      </c>
      <c r="T31" s="705" t="s">
        <v>14</v>
      </c>
      <c r="U31" s="706">
        <f t="shared" si="13"/>
        <v>100</v>
      </c>
      <c r="V31" s="705" t="s">
        <v>14</v>
      </c>
      <c r="W31" s="706">
        <f t="shared" si="14"/>
        <v>100</v>
      </c>
      <c r="X31" s="1354"/>
      <c r="Y31" s="3699"/>
      <c r="Z31" s="1355" t="str">
        <f t="shared" si="15"/>
        <v>建筑结构</v>
      </c>
      <c r="AA31" s="1352">
        <f t="shared" si="3"/>
        <v>1</v>
      </c>
      <c r="AB31" s="1352">
        <f t="shared" si="4"/>
        <v>1</v>
      </c>
      <c r="AC31" s="1352">
        <f t="shared" si="5"/>
        <v>1</v>
      </c>
    </row>
    <row r="32" spans="1:29" ht="15">
      <c r="A32" s="423"/>
      <c r="B32" s="375" t="s">
        <v>1781</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1" t="str">
        <f t="shared" si="11"/>
        <v>公共部分装修</v>
      </c>
      <c r="R32" s="705" t="s">
        <v>14</v>
      </c>
      <c r="S32" s="706">
        <f t="shared" si="12"/>
        <v>100</v>
      </c>
      <c r="T32" s="705" t="s">
        <v>14</v>
      </c>
      <c r="U32" s="706">
        <f t="shared" si="13"/>
        <v>100</v>
      </c>
      <c r="V32" s="705" t="s">
        <v>14</v>
      </c>
      <c r="W32" s="706">
        <f t="shared" si="14"/>
        <v>100</v>
      </c>
      <c r="X32" s="1354"/>
      <c r="Y32" s="3699"/>
      <c r="Z32" s="1355" t="str">
        <f t="shared" si="15"/>
        <v>公共部分装修</v>
      </c>
      <c r="AA32" s="1352">
        <f t="shared" si="3"/>
        <v>1</v>
      </c>
      <c r="AB32" s="1352">
        <f t="shared" si="4"/>
        <v>1</v>
      </c>
      <c r="AC32" s="1352">
        <f t="shared" si="5"/>
        <v>1</v>
      </c>
    </row>
    <row r="33" spans="1:29" ht="15">
      <c r="A33" s="423"/>
      <c r="B33" s="375" t="s">
        <v>1782</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1" t="str">
        <f t="shared" si="11"/>
        <v>成新度</v>
      </c>
      <c r="R33" s="705" t="s">
        <v>14</v>
      </c>
      <c r="S33" s="706" t="e">
        <f t="shared" si="12"/>
        <v>#N/A</v>
      </c>
      <c r="T33" s="705" t="s">
        <v>14</v>
      </c>
      <c r="U33" s="706" t="e">
        <f t="shared" si="13"/>
        <v>#N/A</v>
      </c>
      <c r="V33" s="705" t="s">
        <v>14</v>
      </c>
      <c r="W33" s="706" t="e">
        <f t="shared" si="14"/>
        <v>#N/A</v>
      </c>
      <c r="X33" s="1354"/>
      <c r="Y33" s="3699"/>
      <c r="Z33" s="1355" t="str">
        <f t="shared" si="15"/>
        <v>成新度</v>
      </c>
      <c r="AA33" s="1352" t="e">
        <f t="shared" si="3"/>
        <v>#N/A</v>
      </c>
      <c r="AB33" s="1352" t="e">
        <f t="shared" si="4"/>
        <v>#N/A</v>
      </c>
      <c r="AC33" s="1352" t="e">
        <f t="shared" si="5"/>
        <v>#N/A</v>
      </c>
    </row>
    <row r="34" spans="1:29" s="108" customFormat="1" ht="15">
      <c r="A34" s="424"/>
      <c r="B34" s="375" t="s">
        <v>1815</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2"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1783</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1692</v>
      </c>
      <c r="Q35" s="1351" t="str">
        <f t="shared" si="11"/>
        <v>市政基础设施</v>
      </c>
      <c r="R35" s="705" t="s">
        <v>14</v>
      </c>
      <c r="S35" s="706">
        <f t="shared" si="12"/>
        <v>100</v>
      </c>
      <c r="T35" s="705" t="s">
        <v>14</v>
      </c>
      <c r="U35" s="706">
        <f t="shared" si="13"/>
        <v>100</v>
      </c>
      <c r="V35" s="705" t="s">
        <v>14</v>
      </c>
      <c r="W35" s="706">
        <f t="shared" si="14"/>
        <v>100</v>
      </c>
      <c r="X35" s="1354"/>
      <c r="Y35" s="3699" t="s">
        <v>1692</v>
      </c>
      <c r="Z35" s="1355" t="str">
        <f t="shared" si="15"/>
        <v>市政基础设施</v>
      </c>
      <c r="AA35" s="1352">
        <f t="shared" si="3"/>
        <v>1</v>
      </c>
      <c r="AB35" s="1352">
        <f t="shared" si="4"/>
        <v>1</v>
      </c>
      <c r="AC35" s="1352">
        <f t="shared" si="5"/>
        <v>1</v>
      </c>
    </row>
    <row r="36" spans="1:29" ht="15">
      <c r="A36" s="423"/>
      <c r="B36" s="375" t="s">
        <v>1788</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1" t="str">
        <f t="shared" si="11"/>
        <v>内部装修</v>
      </c>
      <c r="R36" s="705" t="s">
        <v>14</v>
      </c>
      <c r="S36" s="706">
        <f t="shared" si="12"/>
        <v>100</v>
      </c>
      <c r="T36" s="705" t="s">
        <v>14</v>
      </c>
      <c r="U36" s="706">
        <f t="shared" si="13"/>
        <v>100</v>
      </c>
      <c r="V36" s="705" t="s">
        <v>14</v>
      </c>
      <c r="W36" s="706">
        <f t="shared" si="14"/>
        <v>100</v>
      </c>
      <c r="X36" s="1354"/>
      <c r="Y36" s="3699"/>
      <c r="Z36" s="1355" t="str">
        <f t="shared" si="15"/>
        <v>内部装修</v>
      </c>
      <c r="AA36" s="1352">
        <f t="shared" si="3"/>
        <v>1</v>
      </c>
      <c r="AB36" s="1352">
        <f t="shared" si="4"/>
        <v>1</v>
      </c>
      <c r="AC36" s="1352">
        <f t="shared" si="5"/>
        <v>1</v>
      </c>
    </row>
    <row r="37" spans="1:29" ht="15">
      <c r="A37" s="423"/>
      <c r="B37" s="375" t="s">
        <v>1824</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1" t="str">
        <f t="shared" si="11"/>
        <v>内部装修状况</v>
      </c>
      <c r="R37" s="705" t="s">
        <v>14</v>
      </c>
      <c r="S37" s="706">
        <f t="shared" si="12"/>
        <v>100</v>
      </c>
      <c r="T37" s="705" t="s">
        <v>14</v>
      </c>
      <c r="U37" s="706">
        <f t="shared" si="13"/>
        <v>100</v>
      </c>
      <c r="V37" s="705" t="s">
        <v>14</v>
      </c>
      <c r="W37" s="706">
        <f t="shared" si="14"/>
        <v>100</v>
      </c>
      <c r="X37" s="1354"/>
      <c r="Y37" s="369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1">
        <f t="shared" si="11"/>
        <v>111</v>
      </c>
      <c r="R39" s="705" t="s">
        <v>14</v>
      </c>
      <c r="S39" s="706">
        <f t="shared" si="12"/>
        <v>100</v>
      </c>
      <c r="T39" s="705" t="s">
        <v>14</v>
      </c>
      <c r="U39" s="706">
        <f t="shared" si="13"/>
        <v>100</v>
      </c>
      <c r="V39" s="705" t="s">
        <v>14</v>
      </c>
      <c r="W39" s="706">
        <f t="shared" si="14"/>
        <v>100</v>
      </c>
      <c r="X39" s="1354"/>
      <c r="Y39" s="369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6"/>
      <c r="Q40" s="1351">
        <f t="shared" si="11"/>
        <v>111</v>
      </c>
      <c r="R40" s="705" t="s">
        <v>14</v>
      </c>
      <c r="S40" s="706">
        <f t="shared" si="12"/>
        <v>100</v>
      </c>
      <c r="T40" s="705" t="s">
        <v>14</v>
      </c>
      <c r="U40" s="706">
        <f t="shared" si="13"/>
        <v>100</v>
      </c>
      <c r="V40" s="705" t="s">
        <v>14</v>
      </c>
      <c r="W40" s="706">
        <f t="shared" si="14"/>
        <v>100</v>
      </c>
      <c r="X40" s="1354"/>
      <c r="Y40" s="3756"/>
      <c r="Z40" s="1355">
        <f t="shared" si="15"/>
        <v>111</v>
      </c>
      <c r="AA40" s="1352">
        <f t="shared" si="3"/>
        <v>1</v>
      </c>
      <c r="AB40" s="1352">
        <f t="shared" si="4"/>
        <v>1</v>
      </c>
      <c r="AC40" s="1352">
        <f t="shared" si="5"/>
        <v>1</v>
      </c>
    </row>
    <row r="41" spans="1:29" ht="15">
      <c r="A41" s="430" t="s">
        <v>1704</v>
      </c>
      <c r="B41" s="431"/>
      <c r="C41" s="1154" t="s">
        <v>0</v>
      </c>
      <c r="D41" s="1155"/>
      <c r="E41" s="1156"/>
      <c r="F41" s="1157"/>
      <c r="G41" s="1158"/>
      <c r="H41" s="1159"/>
      <c r="I41" s="1156"/>
      <c r="J41" s="1159"/>
      <c r="K41" s="714"/>
      <c r="L41" s="926"/>
      <c r="M41" s="927"/>
      <c r="N41" s="914"/>
      <c r="O41" s="927"/>
      <c r="P41" s="3681" t="str">
        <f>A41</f>
        <v>成交单价（元/平方米）</v>
      </c>
      <c r="Q41" s="3681"/>
      <c r="R41" s="3752">
        <f>E41</f>
        <v>0</v>
      </c>
      <c r="S41" s="3752"/>
      <c r="T41" s="3752">
        <f>G41</f>
        <v>0</v>
      </c>
      <c r="U41" s="3752"/>
      <c r="V41" s="3752">
        <f>I41</f>
        <v>0</v>
      </c>
      <c r="W41" s="3752"/>
      <c r="X41" s="690"/>
      <c r="Y41" s="712"/>
      <c r="Z41" s="690"/>
      <c r="AA41" s="690"/>
      <c r="AB41" s="690"/>
      <c r="AC41" s="690"/>
    </row>
    <row r="42" spans="1:29" ht="15.75" thickBot="1">
      <c r="A42" s="437" t="s">
        <v>1789</v>
      </c>
      <c r="B42" s="438"/>
      <c r="C42" s="1160" t="e">
        <f>R43</f>
        <v>#DIV/0!</v>
      </c>
      <c r="D42" s="2316" t="s">
        <v>2132</v>
      </c>
      <c r="E42" s="1161" t="e">
        <f>R42</f>
        <v>#DIV/0!</v>
      </c>
      <c r="F42" s="2317"/>
      <c r="G42" s="1160" t="e">
        <f>T42</f>
        <v>#DIV/0!</v>
      </c>
      <c r="H42" s="2317"/>
      <c r="I42" s="1161" t="e">
        <f>V42</f>
        <v>#DIV/0!</v>
      </c>
      <c r="J42" s="2317"/>
      <c r="K42" s="2319">
        <f>F42+H42+J42</f>
        <v>0</v>
      </c>
      <c r="L42" s="926"/>
      <c r="M42" s="927"/>
      <c r="N42" s="914"/>
      <c r="O42" s="927"/>
      <c r="P42" s="3681" t="str">
        <f>A42</f>
        <v>比较价值（元/平方米）</v>
      </c>
      <c r="Q42" s="3681"/>
      <c r="R42" s="3752" t="e">
        <f>IF(F1="售价",ROUND(PRODUCT(R41,AA7:AA40),0),ROUND(PRODUCT(R41,AA7:AA40),1))</f>
        <v>#DIV/0!</v>
      </c>
      <c r="S42" s="3752"/>
      <c r="T42" s="3752" t="e">
        <f>IF(F1="售价",ROUND(PRODUCT(T41,AB7:AB40),0),ROUND(PRODUCT(T41,AB7:AB40),1))</f>
        <v>#DIV/0!</v>
      </c>
      <c r="U42" s="3752"/>
      <c r="V42" s="3752" t="e">
        <f>IF(F1="售价",ROUND(PRODUCT(V41,AC7:AC40),0),ROUND(PRODUCT(V41,AC7:AC40),1))</f>
        <v>#DIV/0!</v>
      </c>
      <c r="W42" s="3752"/>
      <c r="X42" s="690"/>
      <c r="Y42" s="690"/>
      <c r="Z42" s="690"/>
      <c r="AA42" s="690"/>
      <c r="AB42" s="690"/>
      <c r="AC42" s="690"/>
    </row>
    <row r="43" spans="1:29" ht="15.75" thickBot="1">
      <c r="A43" s="441" t="s">
        <v>1790</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51" t="e">
        <f>IF(F1="售价",ROUND(IF(D42="简单平均",AVERAGE(R42:V42),R42*F42+T42*H42+V42*J42),0),ROUND(IF(D42="简单平均",AVERAGE(R42:V42),R42*F42+T42*H42+V42*J42),1))</f>
        <v>#DIV/0!</v>
      </c>
      <c r="S43" s="3751"/>
      <c r="T43" s="3751"/>
      <c r="U43" s="3751"/>
      <c r="V43" s="3751"/>
      <c r="W43" s="375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1794</v>
      </c>
      <c r="B51" s="690"/>
      <c r="C51" s="695"/>
      <c r="D51" s="695"/>
      <c r="E51" s="695"/>
      <c r="F51" s="696"/>
      <c r="G51" s="696"/>
      <c r="H51" s="695"/>
      <c r="I51" s="695"/>
      <c r="J51" s="695"/>
      <c r="K51" s="941"/>
      <c r="L51" s="942"/>
      <c r="M51" s="940"/>
      <c r="N51" s="940"/>
      <c r="O51" s="940"/>
      <c r="P51" s="452"/>
      <c r="Q51" s="453"/>
    </row>
    <row r="52" spans="1:17" s="457" customFormat="1" ht="15">
      <c r="A52" s="454" t="s">
        <v>1675</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1712</v>
      </c>
      <c r="B54" s="465"/>
      <c r="C54" s="466"/>
      <c r="D54" s="467"/>
      <c r="E54" s="467"/>
      <c r="F54" s="467"/>
      <c r="G54" s="467"/>
      <c r="H54" s="467"/>
      <c r="I54" s="467"/>
      <c r="J54" s="467"/>
      <c r="K54" s="467"/>
      <c r="L54" s="467"/>
      <c r="M54" s="468"/>
      <c r="N54" s="2769"/>
      <c r="O54" s="2770"/>
      <c r="P54" s="453"/>
      <c r="Q54" s="453"/>
    </row>
    <row r="55" spans="1:17" s="108" customFormat="1" ht="15">
      <c r="A55" s="470" t="s">
        <v>1677</v>
      </c>
      <c r="B55" s="459"/>
      <c r="C55" s="471" t="s">
        <v>1772</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1715</v>
      </c>
      <c r="B57" s="477" t="s">
        <v>1681</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1684</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1685</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1686</v>
      </c>
      <c r="B70" s="477" t="s">
        <v>1825</v>
      </c>
      <c r="C70" s="522" t="s">
        <v>1717</v>
      </c>
      <c r="D70" s="522" t="s">
        <v>1718</v>
      </c>
      <c r="E70" s="522" t="s">
        <v>1719</v>
      </c>
      <c r="F70" s="522" t="s">
        <v>1720</v>
      </c>
      <c r="G70" s="522" t="s">
        <v>1721</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1722</v>
      </c>
      <c r="C72" s="527" t="s">
        <v>1717</v>
      </c>
      <c r="D72" s="527" t="s">
        <v>1718</v>
      </c>
      <c r="E72" s="527" t="s">
        <v>1719</v>
      </c>
      <c r="F72" s="527" t="s">
        <v>1720</v>
      </c>
      <c r="G72" s="527" t="s">
        <v>1721</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1723</v>
      </c>
      <c r="C74" s="527" t="s">
        <v>1717</v>
      </c>
      <c r="D74" s="527" t="s">
        <v>1718</v>
      </c>
      <c r="E74" s="527" t="s">
        <v>1719</v>
      </c>
      <c r="F74" s="527" t="s">
        <v>1720</v>
      </c>
      <c r="G74" s="527" t="s">
        <v>1721</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1809</v>
      </c>
      <c r="C76" s="608" t="s">
        <v>1795</v>
      </c>
      <c r="D76" s="608" t="s">
        <v>1796</v>
      </c>
      <c r="E76" s="608" t="s">
        <v>1797</v>
      </c>
      <c r="F76" s="608" t="s">
        <v>1798</v>
      </c>
      <c r="G76" s="608" t="s">
        <v>1799</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1818</v>
      </c>
      <c r="C78" s="527" t="s">
        <v>1717</v>
      </c>
      <c r="D78" s="527" t="s">
        <v>1718</v>
      </c>
      <c r="E78" s="527" t="s">
        <v>1719</v>
      </c>
      <c r="F78" s="527" t="s">
        <v>1720</v>
      </c>
      <c r="G78" s="527" t="s">
        <v>1721</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1690</v>
      </c>
      <c r="B88" s="477" t="s">
        <v>1732</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1733</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1734</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1736</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1737</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1738</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1740</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1826</v>
      </c>
      <c r="C106" s="527" t="s">
        <v>1717</v>
      </c>
      <c r="D106" s="527" t="s">
        <v>1718</v>
      </c>
      <c r="E106" s="527" t="s">
        <v>1719</v>
      </c>
      <c r="F106" s="527" t="s">
        <v>1720</v>
      </c>
      <c r="G106" s="527" t="s">
        <v>1721</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1827</v>
      </c>
      <c r="B1" s="1222" t="s">
        <v>3330</v>
      </c>
      <c r="C1" s="1223" t="s">
        <v>1658</v>
      </c>
      <c r="D1" s="1224"/>
      <c r="E1" s="3432"/>
      <c r="F1" s="1878"/>
      <c r="G1" s="1226" t="s">
        <v>1763</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1459</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1764</v>
      </c>
      <c r="D3" s="353">
        <f>SUMIF('数据-汇总表'!$C19:$C33,D1,'数据-汇总表'!$E19:$E33)</f>
        <v>0</v>
      </c>
      <c r="E3" s="354" t="s">
        <v>1828</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1765</v>
      </c>
      <c r="B4" s="356"/>
      <c r="C4" s="3682" t="s">
        <v>1766</v>
      </c>
      <c r="D4" s="3683"/>
      <c r="E4" s="3684" t="s">
        <v>1767</v>
      </c>
      <c r="F4" s="3685"/>
      <c r="G4" s="3682" t="s">
        <v>1768</v>
      </c>
      <c r="H4" s="3683"/>
      <c r="I4" s="3682" t="s">
        <v>1769</v>
      </c>
      <c r="J4" s="3683"/>
      <c r="K4" s="559" t="s">
        <v>1770</v>
      </c>
      <c r="L4" s="2714"/>
      <c r="M4" s="2715"/>
      <c r="N4" s="2715"/>
      <c r="O4" s="2715"/>
      <c r="P4" s="3686" t="s">
        <v>1771</v>
      </c>
      <c r="Q4" s="3687"/>
      <c r="R4" s="3669" t="s">
        <v>1767</v>
      </c>
      <c r="S4" s="3670"/>
      <c r="T4" s="3669" t="s">
        <v>1768</v>
      </c>
      <c r="U4" s="3670"/>
      <c r="V4" s="3694" t="s">
        <v>1769</v>
      </c>
      <c r="W4" s="3694"/>
      <c r="X4" s="1354"/>
      <c r="Y4" s="3669" t="s">
        <v>1771</v>
      </c>
      <c r="Z4" s="3670"/>
      <c r="AA4" s="3664" t="s">
        <v>1767</v>
      </c>
      <c r="AB4" s="3665" t="s">
        <v>1768</v>
      </c>
      <c r="AC4" s="3664" t="s">
        <v>1769</v>
      </c>
    </row>
    <row r="5" spans="1:29" ht="15">
      <c r="A5" s="358"/>
      <c r="B5" s="359"/>
      <c r="C5" s="3675" t="s">
        <v>1669</v>
      </c>
      <c r="D5" s="3676"/>
      <c r="E5" s="3673" t="s">
        <v>1670</v>
      </c>
      <c r="F5" s="3674"/>
      <c r="G5" s="3675" t="s">
        <v>1671</v>
      </c>
      <c r="H5" s="3676"/>
      <c r="I5" s="3675" t="s">
        <v>1672</v>
      </c>
      <c r="J5" s="3676"/>
      <c r="K5" s="559"/>
      <c r="L5" s="2714"/>
      <c r="M5" s="2715"/>
      <c r="N5" s="2715"/>
      <c r="O5" s="2715"/>
      <c r="P5" s="3688"/>
      <c r="Q5" s="3689"/>
      <c r="R5" s="3671"/>
      <c r="S5" s="3672"/>
      <c r="T5" s="3671"/>
      <c r="U5" s="3672"/>
      <c r="V5" s="3694"/>
      <c r="W5" s="3694"/>
      <c r="X5" s="1354"/>
      <c r="Y5" s="3671"/>
      <c r="Z5" s="3672"/>
      <c r="AA5" s="3665"/>
      <c r="AB5" s="3665"/>
      <c r="AC5" s="3665"/>
    </row>
    <row r="6" spans="1:29" ht="15.75" thickBot="1">
      <c r="A6" s="360"/>
      <c r="B6" s="361"/>
      <c r="C6" s="3677" t="s">
        <v>1673</v>
      </c>
      <c r="D6" s="3678"/>
      <c r="E6" s="3679" t="s">
        <v>1673</v>
      </c>
      <c r="F6" s="3680"/>
      <c r="G6" s="3677" t="s">
        <v>1673</v>
      </c>
      <c r="H6" s="3678"/>
      <c r="I6" s="3677" t="s">
        <v>1673</v>
      </c>
      <c r="J6" s="3678"/>
      <c r="K6" s="559" t="s">
        <v>1674</v>
      </c>
      <c r="L6" s="2714"/>
      <c r="M6" s="2715"/>
      <c r="N6" s="2715"/>
      <c r="O6" s="2715"/>
      <c r="P6" s="3690"/>
      <c r="Q6" s="3691"/>
      <c r="R6" s="3671"/>
      <c r="S6" s="3672"/>
      <c r="T6" s="3692"/>
      <c r="U6" s="3693"/>
      <c r="V6" s="3694"/>
      <c r="W6" s="3694"/>
      <c r="X6" s="1354"/>
      <c r="Y6" s="3692"/>
      <c r="Z6" s="3693"/>
      <c r="AA6" s="3666"/>
      <c r="AB6" s="3666"/>
      <c r="AC6" s="3666"/>
    </row>
    <row r="7" spans="1:29" s="108" customFormat="1" ht="15.75" thickBot="1">
      <c r="A7" s="362" t="s">
        <v>1675</v>
      </c>
      <c r="B7" s="363"/>
      <c r="C7" s="364">
        <f>'数据-取费表'!B2</f>
        <v>45496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7" t="s">
        <v>1676</v>
      </c>
      <c r="Q7" s="3695"/>
      <c r="R7" s="701" t="s">
        <v>14</v>
      </c>
      <c r="S7" s="702">
        <f t="shared" ref="S7:S14" si="0">F7</f>
        <v>0</v>
      </c>
      <c r="T7" s="701" t="s">
        <v>14</v>
      </c>
      <c r="U7" s="702">
        <f t="shared" ref="U7:U14" si="1">H7</f>
        <v>0</v>
      </c>
      <c r="V7" s="701" t="s">
        <v>14</v>
      </c>
      <c r="W7" s="702">
        <f t="shared" ref="W7:W14" si="2">J7</f>
        <v>0</v>
      </c>
      <c r="X7" s="703"/>
      <c r="Y7" s="3667" t="s">
        <v>1676</v>
      </c>
      <c r="Z7" s="3668"/>
      <c r="AA7" s="704" t="e">
        <f>D7/F7</f>
        <v>#DIV/0!</v>
      </c>
      <c r="AB7" s="704" t="e">
        <f>D7/H7</f>
        <v>#DIV/0!</v>
      </c>
      <c r="AC7" s="704" t="e">
        <f>D7/J7</f>
        <v>#DIV/0!</v>
      </c>
    </row>
    <row r="8" spans="1:29" s="108" customFormat="1" ht="15.75" thickBot="1">
      <c r="A8" s="362" t="s">
        <v>1677</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7" t="s">
        <v>1679</v>
      </c>
      <c r="Q8" s="3668"/>
      <c r="R8" s="701" t="s">
        <v>14</v>
      </c>
      <c r="S8" s="702">
        <f t="shared" si="0"/>
        <v>100</v>
      </c>
      <c r="T8" s="701" t="s">
        <v>14</v>
      </c>
      <c r="U8" s="702">
        <f t="shared" si="1"/>
        <v>100</v>
      </c>
      <c r="V8" s="701" t="s">
        <v>14</v>
      </c>
      <c r="W8" s="702">
        <f t="shared" si="2"/>
        <v>100</v>
      </c>
      <c r="X8" s="703"/>
      <c r="Y8" s="3667" t="s">
        <v>1679</v>
      </c>
      <c r="Z8" s="3668"/>
      <c r="AA8" s="704">
        <f t="shared" ref="AA8:AA36" si="3">D8/F8</f>
        <v>1</v>
      </c>
      <c r="AB8" s="704">
        <f t="shared" ref="AB8:AB36" si="4">D8/H8</f>
        <v>1</v>
      </c>
      <c r="AC8" s="704">
        <f t="shared" ref="AC8:AC36" si="5">D8/J8</f>
        <v>1</v>
      </c>
    </row>
    <row r="9" spans="1:29" s="108" customFormat="1">
      <c r="A9" s="60" t="s">
        <v>1680</v>
      </c>
      <c r="B9" s="588" t="s">
        <v>1681</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1" t="s">
        <v>1682</v>
      </c>
      <c r="Q9" s="1342" t="str">
        <f t="shared" ref="Q9:Q14" si="6">B9</f>
        <v>用途</v>
      </c>
      <c r="R9" s="701" t="s">
        <v>14</v>
      </c>
      <c r="S9" s="702">
        <f t="shared" si="0"/>
        <v>100</v>
      </c>
      <c r="T9" s="701" t="s">
        <v>14</v>
      </c>
      <c r="U9" s="702">
        <f t="shared" si="1"/>
        <v>100</v>
      </c>
      <c r="V9" s="701" t="s">
        <v>14</v>
      </c>
      <c r="W9" s="702">
        <f t="shared" si="2"/>
        <v>100</v>
      </c>
      <c r="X9" s="703"/>
      <c r="Y9" s="3637" t="s">
        <v>1683</v>
      </c>
      <c r="Z9" s="52" t="str">
        <f t="shared" ref="Z9:Z14" si="7">Q9</f>
        <v>用途</v>
      </c>
      <c r="AA9" s="704">
        <f t="shared" si="3"/>
        <v>1</v>
      </c>
      <c r="AB9" s="704">
        <f t="shared" si="4"/>
        <v>1</v>
      </c>
      <c r="AC9" s="704">
        <f t="shared" si="5"/>
        <v>1</v>
      </c>
    </row>
    <row r="10" spans="1:29" s="378" customFormat="1" ht="27">
      <c r="A10" s="589"/>
      <c r="B10" s="590" t="s">
        <v>1684</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1"/>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1"/>
      <c r="Q11" s="1342">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1"/>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1"/>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55" t="s">
        <v>1686</v>
      </c>
      <c r="B14" s="577" t="s">
        <v>1829</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6" t="s">
        <v>1687</v>
      </c>
      <c r="Q14" s="1351" t="str">
        <f t="shared" si="6"/>
        <v>交通便捷度</v>
      </c>
      <c r="R14" s="705" t="s">
        <v>14</v>
      </c>
      <c r="S14" s="706">
        <f t="shared" si="0"/>
        <v>100</v>
      </c>
      <c r="T14" s="705" t="s">
        <v>14</v>
      </c>
      <c r="U14" s="706">
        <f t="shared" si="1"/>
        <v>100</v>
      </c>
      <c r="V14" s="705" t="s">
        <v>14</v>
      </c>
      <c r="W14" s="706">
        <f t="shared" si="2"/>
        <v>100</v>
      </c>
      <c r="X14" s="1354"/>
      <c r="Y14" s="3696" t="s">
        <v>1687</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7"/>
      <c r="Q15" s="1351"/>
      <c r="R15" s="705"/>
      <c r="S15" s="706"/>
      <c r="T15" s="705"/>
      <c r="U15" s="706"/>
      <c r="V15" s="705"/>
      <c r="W15" s="706"/>
      <c r="X15" s="1354"/>
      <c r="Y15" s="3697"/>
      <c r="Z15" s="1355"/>
      <c r="AA15" s="1352">
        <v>1</v>
      </c>
      <c r="AB15" s="1352">
        <v>1</v>
      </c>
      <c r="AC15" s="1352">
        <v>1</v>
      </c>
    </row>
    <row r="16" spans="1:29" ht="42.75">
      <c r="A16" s="358"/>
      <c r="B16" s="579" t="s">
        <v>1808</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7"/>
      <c r="Q16" s="1351" t="str">
        <f>B16</f>
        <v>公共配套设施</v>
      </c>
      <c r="R16" s="705" t="s">
        <v>14</v>
      </c>
      <c r="S16" s="706">
        <f>F16</f>
        <v>100</v>
      </c>
      <c r="T16" s="705" t="s">
        <v>14</v>
      </c>
      <c r="U16" s="706">
        <f>H16</f>
        <v>100</v>
      </c>
      <c r="V16" s="705" t="s">
        <v>14</v>
      </c>
      <c r="W16" s="706">
        <f>J16</f>
        <v>100</v>
      </c>
      <c r="X16" s="1354"/>
      <c r="Y16" s="369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7"/>
      <c r="Q17" s="1351"/>
      <c r="R17" s="705"/>
      <c r="S17" s="706"/>
      <c r="T17" s="705"/>
      <c r="U17" s="706"/>
      <c r="V17" s="705"/>
      <c r="W17" s="706"/>
      <c r="X17" s="1354"/>
      <c r="Y17" s="3697"/>
      <c r="Z17" s="1355"/>
      <c r="AA17" s="1352">
        <v>1</v>
      </c>
      <c r="AB17" s="1352">
        <v>1</v>
      </c>
      <c r="AC17" s="1352">
        <v>1</v>
      </c>
    </row>
    <row r="18" spans="1:29" ht="28.5">
      <c r="A18" s="358"/>
      <c r="B18" s="581" t="s">
        <v>1809</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7"/>
      <c r="Q18" s="1351" t="str">
        <f>B18</f>
        <v>基础设施水平</v>
      </c>
      <c r="R18" s="705" t="s">
        <v>14</v>
      </c>
      <c r="S18" s="706">
        <f>F18</f>
        <v>100</v>
      </c>
      <c r="T18" s="705" t="s">
        <v>14</v>
      </c>
      <c r="U18" s="706">
        <f>H18</f>
        <v>100</v>
      </c>
      <c r="V18" s="705" t="s">
        <v>14</v>
      </c>
      <c r="W18" s="706">
        <f>J18</f>
        <v>100</v>
      </c>
      <c r="X18" s="1354"/>
      <c r="Y18" s="369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97"/>
      <c r="Q19" s="1351"/>
      <c r="R19" s="705"/>
      <c r="S19" s="706"/>
      <c r="T19" s="705"/>
      <c r="U19" s="706"/>
      <c r="V19" s="705"/>
      <c r="W19" s="706"/>
      <c r="X19" s="1354"/>
      <c r="Y19" s="3697"/>
      <c r="Z19" s="1355"/>
      <c r="AA19" s="1352">
        <v>1</v>
      </c>
      <c r="AB19" s="1352">
        <v>1</v>
      </c>
      <c r="AC19" s="1352">
        <v>1</v>
      </c>
    </row>
    <row r="20" spans="1:29" ht="57">
      <c r="A20" s="358"/>
      <c r="B20" s="579" t="s">
        <v>1830</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7"/>
      <c r="Q20" s="1351" t="str">
        <f>B20</f>
        <v>自然及人文环境</v>
      </c>
      <c r="R20" s="705" t="s">
        <v>14</v>
      </c>
      <c r="S20" s="706">
        <f>F20</f>
        <v>100</v>
      </c>
      <c r="T20" s="705" t="s">
        <v>14</v>
      </c>
      <c r="U20" s="706">
        <f>H20</f>
        <v>100</v>
      </c>
      <c r="V20" s="705" t="s">
        <v>14</v>
      </c>
      <c r="W20" s="706">
        <f>J20</f>
        <v>100</v>
      </c>
      <c r="X20" s="1354"/>
      <c r="Y20" s="369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7"/>
      <c r="Q21" s="1351"/>
      <c r="R21" s="705"/>
      <c r="S21" s="706"/>
      <c r="T21" s="705"/>
      <c r="U21" s="706"/>
      <c r="V21" s="705"/>
      <c r="W21" s="706"/>
      <c r="X21" s="1354"/>
      <c r="Y21" s="3697"/>
      <c r="Z21" s="1355"/>
      <c r="AA21" s="1352">
        <v>1</v>
      </c>
      <c r="AB21" s="1352">
        <v>1</v>
      </c>
      <c r="AC21" s="1352">
        <v>1</v>
      </c>
    </row>
    <row r="22" spans="1:29" ht="15">
      <c r="A22" s="358"/>
      <c r="B22" s="579" t="s">
        <v>1831</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7"/>
      <c r="Q22" s="1351" t="str">
        <f>B22</f>
        <v>楼层</v>
      </c>
      <c r="R22" s="705" t="s">
        <v>14</v>
      </c>
      <c r="S22" s="706">
        <f>F22</f>
        <v>100</v>
      </c>
      <c r="T22" s="705" t="s">
        <v>14</v>
      </c>
      <c r="U22" s="706">
        <f>H22</f>
        <v>100</v>
      </c>
      <c r="V22" s="705" t="s">
        <v>14</v>
      </c>
      <c r="W22" s="706">
        <f>J22</f>
        <v>100</v>
      </c>
      <c r="X22" s="1354"/>
      <c r="Y22" s="369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7"/>
      <c r="Q23" s="1351">
        <f>B23</f>
        <v>111</v>
      </c>
      <c r="R23" s="705" t="s">
        <v>14</v>
      </c>
      <c r="S23" s="706">
        <f>F23</f>
        <v>100</v>
      </c>
      <c r="T23" s="705" t="s">
        <v>14</v>
      </c>
      <c r="U23" s="706">
        <f>H23</f>
        <v>100</v>
      </c>
      <c r="V23" s="705" t="s">
        <v>14</v>
      </c>
      <c r="W23" s="706">
        <f>J23</f>
        <v>100</v>
      </c>
      <c r="X23" s="1354"/>
      <c r="Y23" s="369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7"/>
      <c r="Q24" s="1351">
        <f t="shared" ref="Q24:Q36" si="11">B24</f>
        <v>111</v>
      </c>
      <c r="R24" s="705" t="s">
        <v>14</v>
      </c>
      <c r="S24" s="706">
        <f>F24</f>
        <v>100</v>
      </c>
      <c r="T24" s="705" t="s">
        <v>14</v>
      </c>
      <c r="U24" s="706">
        <f>H24</f>
        <v>100</v>
      </c>
      <c r="V24" s="705" t="s">
        <v>14</v>
      </c>
      <c r="W24" s="706">
        <f>J24</f>
        <v>100</v>
      </c>
      <c r="X24" s="1354"/>
      <c r="Y24" s="369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7"/>
      <c r="Q25" s="1342">
        <f t="shared" si="11"/>
        <v>111</v>
      </c>
      <c r="R25" s="701" t="s">
        <v>14</v>
      </c>
      <c r="S25" s="702">
        <f>F25</f>
        <v>100</v>
      </c>
      <c r="T25" s="701" t="s">
        <v>14</v>
      </c>
      <c r="U25" s="702">
        <f>H25</f>
        <v>100</v>
      </c>
      <c r="V25" s="701" t="s">
        <v>14</v>
      </c>
      <c r="W25" s="702">
        <f>J25</f>
        <v>100</v>
      </c>
      <c r="X25" s="703"/>
      <c r="Y25" s="3697"/>
      <c r="Z25" s="52">
        <f>Q25</f>
        <v>111</v>
      </c>
      <c r="AA25" s="1352">
        <f>D25/F25</f>
        <v>1</v>
      </c>
      <c r="AB25" s="1352">
        <f>D25/H25</f>
        <v>1</v>
      </c>
      <c r="AC25" s="1352">
        <f>D25/J25</f>
        <v>1</v>
      </c>
    </row>
    <row r="26" spans="1:29" ht="28.5">
      <c r="A26" s="600" t="s">
        <v>1690</v>
      </c>
      <c r="B26" s="62" t="s">
        <v>1832</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98" t="s">
        <v>1692</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9" t="s">
        <v>1692</v>
      </c>
      <c r="Z26" s="1355" t="str">
        <f t="shared" ref="Z26:Z36" si="15">Q26</f>
        <v>配套类型</v>
      </c>
      <c r="AA26" s="1352" t="e">
        <f t="shared" si="3"/>
        <v>#DIV/0!</v>
      </c>
      <c r="AB26" s="1352" t="e">
        <f t="shared" si="4"/>
        <v>#DIV/0!</v>
      </c>
      <c r="AC26" s="1352" t="e">
        <f t="shared" si="5"/>
        <v>#DIV/0!</v>
      </c>
    </row>
    <row r="27" spans="1:29" s="422" customFormat="1" ht="15">
      <c r="A27" s="601"/>
      <c r="B27" s="602" t="s">
        <v>1833</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2">
        <f t="shared" si="3"/>
        <v>1</v>
      </c>
      <c r="AB27" s="1352">
        <f t="shared" si="4"/>
        <v>1</v>
      </c>
      <c r="AC27" s="1352">
        <f t="shared" si="5"/>
        <v>1</v>
      </c>
    </row>
    <row r="28" spans="1:29" ht="15">
      <c r="A28" s="604"/>
      <c r="B28" s="602" t="s">
        <v>1834</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9"/>
      <c r="Q28" s="1351" t="str">
        <f t="shared" si="11"/>
        <v>公共部分装修</v>
      </c>
      <c r="R28" s="705" t="s">
        <v>14</v>
      </c>
      <c r="S28" s="706">
        <f t="shared" si="12"/>
        <v>100</v>
      </c>
      <c r="T28" s="705" t="s">
        <v>14</v>
      </c>
      <c r="U28" s="706">
        <f t="shared" si="13"/>
        <v>100</v>
      </c>
      <c r="V28" s="705" t="s">
        <v>14</v>
      </c>
      <c r="W28" s="706">
        <f t="shared" si="14"/>
        <v>100</v>
      </c>
      <c r="X28" s="1354"/>
      <c r="Y28" s="3699"/>
      <c r="Z28" s="1355" t="str">
        <f t="shared" si="15"/>
        <v>公共部分装修</v>
      </c>
      <c r="AA28" s="1352">
        <f t="shared" si="3"/>
        <v>1</v>
      </c>
      <c r="AB28" s="1352">
        <f t="shared" si="4"/>
        <v>1</v>
      </c>
      <c r="AC28" s="1352">
        <f t="shared" si="5"/>
        <v>1</v>
      </c>
    </row>
    <row r="29" spans="1:29" ht="15">
      <c r="A29" s="604"/>
      <c r="B29" s="602" t="s">
        <v>1835</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9"/>
      <c r="Q29" s="1351" t="str">
        <f t="shared" si="11"/>
        <v>成新率</v>
      </c>
      <c r="R29" s="705" t="s">
        <v>14</v>
      </c>
      <c r="S29" s="706" t="e">
        <f t="shared" si="12"/>
        <v>#N/A</v>
      </c>
      <c r="T29" s="705" t="s">
        <v>14</v>
      </c>
      <c r="U29" s="706" t="e">
        <f t="shared" si="13"/>
        <v>#N/A</v>
      </c>
      <c r="V29" s="705" t="s">
        <v>14</v>
      </c>
      <c r="W29" s="706" t="e">
        <f t="shared" si="14"/>
        <v>#N/A</v>
      </c>
      <c r="X29" s="1354"/>
      <c r="Y29" s="3699"/>
      <c r="Z29" s="1355" t="str">
        <f t="shared" si="15"/>
        <v>成新率</v>
      </c>
      <c r="AA29" s="1352" t="e">
        <f t="shared" si="3"/>
        <v>#N/A</v>
      </c>
      <c r="AB29" s="1352" t="e">
        <f t="shared" si="4"/>
        <v>#N/A</v>
      </c>
      <c r="AC29" s="1352" t="e">
        <f t="shared" si="5"/>
        <v>#N/A</v>
      </c>
    </row>
    <row r="30" spans="1:29" ht="15">
      <c r="A30" s="604"/>
      <c r="B30" s="602" t="s">
        <v>1836</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9"/>
      <c r="Q30" s="1351" t="str">
        <f t="shared" si="11"/>
        <v>物业等级</v>
      </c>
      <c r="R30" s="705" t="s">
        <v>14</v>
      </c>
      <c r="S30" s="706">
        <f t="shared" si="12"/>
        <v>100</v>
      </c>
      <c r="T30" s="705" t="s">
        <v>14</v>
      </c>
      <c r="U30" s="706">
        <f t="shared" si="13"/>
        <v>100</v>
      </c>
      <c r="V30" s="705" t="s">
        <v>14</v>
      </c>
      <c r="W30" s="706">
        <f t="shared" si="14"/>
        <v>100</v>
      </c>
      <c r="X30" s="1354"/>
      <c r="Y30" s="3699"/>
      <c r="Z30" s="1355" t="str">
        <f t="shared" si="15"/>
        <v>物业等级</v>
      </c>
      <c r="AA30" s="1352">
        <f t="shared" si="3"/>
        <v>1</v>
      </c>
      <c r="AB30" s="1352">
        <f t="shared" si="4"/>
        <v>1</v>
      </c>
      <c r="AC30" s="1352">
        <f t="shared" si="5"/>
        <v>1</v>
      </c>
    </row>
    <row r="31" spans="1:29" s="108" customFormat="1" ht="15">
      <c r="A31" s="606"/>
      <c r="B31" s="602" t="s">
        <v>1837</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9"/>
      <c r="Q31" s="1342"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1838</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9" t="s">
        <v>1692</v>
      </c>
      <c r="Q32" s="1351" t="str">
        <f t="shared" si="11"/>
        <v>车位类型</v>
      </c>
      <c r="R32" s="705" t="s">
        <v>14</v>
      </c>
      <c r="S32" s="706">
        <f t="shared" si="12"/>
        <v>100</v>
      </c>
      <c r="T32" s="705" t="s">
        <v>14</v>
      </c>
      <c r="U32" s="706">
        <f t="shared" si="13"/>
        <v>100</v>
      </c>
      <c r="V32" s="705" t="s">
        <v>14</v>
      </c>
      <c r="W32" s="706">
        <f t="shared" si="14"/>
        <v>100</v>
      </c>
      <c r="X32" s="1354"/>
      <c r="Y32" s="3699" t="s">
        <v>1692</v>
      </c>
      <c r="Z32" s="1355" t="str">
        <f t="shared" si="15"/>
        <v>车位类型</v>
      </c>
      <c r="AA32" s="1352">
        <f t="shared" si="3"/>
        <v>1</v>
      </c>
      <c r="AB32" s="1352">
        <f t="shared" si="4"/>
        <v>1</v>
      </c>
      <c r="AC32" s="1352">
        <f t="shared" si="5"/>
        <v>1</v>
      </c>
    </row>
    <row r="33" spans="1:29" ht="15">
      <c r="A33" s="604"/>
      <c r="B33" s="602" t="s">
        <v>1839</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9"/>
      <c r="Q33" s="1351" t="str">
        <f t="shared" si="11"/>
        <v>是否直接入户</v>
      </c>
      <c r="R33" s="705" t="s">
        <v>14</v>
      </c>
      <c r="S33" s="706">
        <f t="shared" si="12"/>
        <v>100</v>
      </c>
      <c r="T33" s="705" t="s">
        <v>14</v>
      </c>
      <c r="U33" s="706">
        <f t="shared" si="13"/>
        <v>100</v>
      </c>
      <c r="V33" s="705" t="s">
        <v>14</v>
      </c>
      <c r="W33" s="706">
        <f t="shared" si="14"/>
        <v>100</v>
      </c>
      <c r="X33" s="1354"/>
      <c r="Y33" s="369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9"/>
      <c r="Q34" s="1351">
        <f t="shared" si="11"/>
        <v>111</v>
      </c>
      <c r="R34" s="705" t="s">
        <v>14</v>
      </c>
      <c r="S34" s="706">
        <f t="shared" si="12"/>
        <v>100</v>
      </c>
      <c r="T34" s="705" t="s">
        <v>14</v>
      </c>
      <c r="U34" s="706">
        <f t="shared" si="13"/>
        <v>100</v>
      </c>
      <c r="V34" s="705" t="s">
        <v>14</v>
      </c>
      <c r="W34" s="706">
        <f t="shared" si="14"/>
        <v>100</v>
      </c>
      <c r="X34" s="1354"/>
      <c r="Y34" s="369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9"/>
      <c r="Q36" s="1351">
        <f t="shared" si="11"/>
        <v>111</v>
      </c>
      <c r="R36" s="705" t="s">
        <v>14</v>
      </c>
      <c r="S36" s="706">
        <f t="shared" si="12"/>
        <v>100</v>
      </c>
      <c r="T36" s="705" t="s">
        <v>14</v>
      </c>
      <c r="U36" s="706">
        <f t="shared" si="13"/>
        <v>100</v>
      </c>
      <c r="V36" s="705" t="s">
        <v>14</v>
      </c>
      <c r="W36" s="706">
        <f t="shared" si="14"/>
        <v>100</v>
      </c>
      <c r="X36" s="1354"/>
      <c r="Y36" s="3699"/>
      <c r="Z36" s="1355">
        <f t="shared" si="15"/>
        <v>111</v>
      </c>
      <c r="AA36" s="1352">
        <f t="shared" si="3"/>
        <v>1</v>
      </c>
      <c r="AB36" s="1352">
        <f t="shared" si="4"/>
        <v>1</v>
      </c>
      <c r="AC36" s="1352">
        <f t="shared" si="5"/>
        <v>1</v>
      </c>
    </row>
    <row r="37" spans="1:29" ht="15">
      <c r="A37" s="430" t="s">
        <v>1840</v>
      </c>
      <c r="B37" s="1972" t="s">
        <v>3350</v>
      </c>
      <c r="C37" s="1154" t="s">
        <v>0</v>
      </c>
      <c r="D37" s="1155"/>
      <c r="E37" s="1156"/>
      <c r="F37" s="1157"/>
      <c r="G37" s="1158"/>
      <c r="H37" s="1159"/>
      <c r="I37" s="1156"/>
      <c r="J37" s="1159"/>
      <c r="K37" s="568"/>
      <c r="L37" s="2723"/>
      <c r="M37" s="2724"/>
      <c r="N37" s="2715"/>
      <c r="O37" s="2724"/>
      <c r="P37" s="3681" t="str">
        <f>A37</f>
        <v>成交单价</v>
      </c>
      <c r="Q37" s="3681"/>
      <c r="R37" s="3752">
        <f>E37</f>
        <v>0</v>
      </c>
      <c r="S37" s="3752"/>
      <c r="T37" s="3752">
        <f>G37</f>
        <v>0</v>
      </c>
      <c r="U37" s="3752"/>
      <c r="V37" s="3752">
        <f>I37</f>
        <v>0</v>
      </c>
      <c r="W37" s="3752"/>
      <c r="X37" s="690"/>
      <c r="Y37" s="712"/>
      <c r="Z37" s="690"/>
      <c r="AA37" s="690"/>
      <c r="AB37" s="690"/>
      <c r="AC37" s="690"/>
    </row>
    <row r="38" spans="1:29" ht="15.75" thickBot="1">
      <c r="A38" s="437" t="s">
        <v>1841</v>
      </c>
      <c r="B38" s="438" t="str">
        <f>B37</f>
        <v>元/平方米</v>
      </c>
      <c r="C38" s="1160" t="e">
        <f>R39</f>
        <v>#DIV/0!</v>
      </c>
      <c r="D38" s="2316" t="s">
        <v>2132</v>
      </c>
      <c r="E38" s="1161" t="e">
        <f>R38</f>
        <v>#DIV/0!</v>
      </c>
      <c r="F38" s="2317"/>
      <c r="G38" s="1160" t="e">
        <f>T38</f>
        <v>#DIV/0!</v>
      </c>
      <c r="H38" s="2317"/>
      <c r="I38" s="1161" t="e">
        <f>V38</f>
        <v>#DIV/0!</v>
      </c>
      <c r="J38" s="2317"/>
      <c r="K38" s="2319">
        <f>F38+H38+J38</f>
        <v>0</v>
      </c>
      <c r="L38" s="2723"/>
      <c r="M38" s="2724"/>
      <c r="N38" s="2724"/>
      <c r="O38" s="2724"/>
      <c r="P38" s="3681" t="str">
        <f>A38</f>
        <v>比较价值（元/平方米）</v>
      </c>
      <c r="Q38" s="3681"/>
      <c r="R38" s="3752" t="e">
        <f>IF(F1="售价",ROUND(PRODUCT(R37,AA7:AA36),0),ROUND(PRODUCT(R37,AA7:AA36),1))</f>
        <v>#DIV/0!</v>
      </c>
      <c r="S38" s="3752"/>
      <c r="T38" s="3752" t="e">
        <f>IF(F1="售价",ROUND(PRODUCT(T37,AB7:AB36),0),ROUND(PRODUCT(T37,AB7:AB36),1))</f>
        <v>#DIV/0!</v>
      </c>
      <c r="U38" s="3752"/>
      <c r="V38" s="3752" t="e">
        <f>IF(F1="售价",ROUND(PRODUCT(V37,AC7:AC36),0),ROUND(PRODUCT(V37,AC7:AC36),1))</f>
        <v>#DIV/0!</v>
      </c>
      <c r="W38" s="3752"/>
      <c r="X38" s="690"/>
      <c r="Y38" s="690"/>
      <c r="Z38" s="690"/>
      <c r="AA38" s="690"/>
      <c r="AB38" s="690"/>
      <c r="AC38" s="690"/>
    </row>
    <row r="39" spans="1:29" ht="15.75" thickBot="1">
      <c r="A39" s="441" t="s">
        <v>1842</v>
      </c>
      <c r="B39" s="442"/>
      <c r="C39" s="1163" t="e">
        <f>R39</f>
        <v>#DIV/0!</v>
      </c>
      <c r="D39" s="1163"/>
      <c r="E39" s="1163"/>
      <c r="F39" s="1163"/>
      <c r="G39" s="1163"/>
      <c r="H39" s="1163"/>
      <c r="I39" s="1163"/>
      <c r="J39" s="1163"/>
      <c r="K39" s="569"/>
      <c r="L39" s="2723"/>
      <c r="M39" s="2724"/>
      <c r="N39" s="2724"/>
      <c r="O39" s="2724"/>
      <c r="P39" s="3701" t="str">
        <f>A39</f>
        <v>估价对象XX用房的比较价值（楼面单价，元/平方米）</v>
      </c>
      <c r="Q39" s="3702"/>
      <c r="R39" s="3776" t="e">
        <f>IF(F1="售价",ROUND(IF(D38="简单平均",AVERAGE(R38:W38),R38*F38+T38*H38+V38*J38),0),ROUND(IF(D38="简单平均",AVERAGE(R38:V38),R38*F38+T38*H38+V38*J38),1))</f>
        <v>#DIV/0!</v>
      </c>
      <c r="S39" s="3776"/>
      <c r="T39" s="3776"/>
      <c r="U39" s="3776"/>
      <c r="V39" s="3776"/>
      <c r="W39" s="377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1843</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1844</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1845</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1846</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1847</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1712</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1677</v>
      </c>
      <c r="B51" s="459"/>
      <c r="C51" s="471" t="s">
        <v>1772</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1715</v>
      </c>
      <c r="B53" s="477" t="s">
        <v>1681</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1684</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1686</v>
      </c>
      <c r="B63" s="477" t="s">
        <v>1722</v>
      </c>
      <c r="C63" s="522" t="s">
        <v>1717</v>
      </c>
      <c r="D63" s="522" t="s">
        <v>1718</v>
      </c>
      <c r="E63" s="522" t="s">
        <v>1719</v>
      </c>
      <c r="F63" s="522" t="s">
        <v>1720</v>
      </c>
      <c r="G63" s="522" t="s">
        <v>1721</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1723</v>
      </c>
      <c r="C65" s="527" t="s">
        <v>1717</v>
      </c>
      <c r="D65" s="527" t="s">
        <v>1718</v>
      </c>
      <c r="E65" s="527" t="s">
        <v>1719</v>
      </c>
      <c r="F65" s="527" t="s">
        <v>1720</v>
      </c>
      <c r="G65" s="527" t="s">
        <v>1721</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1809</v>
      </c>
      <c r="C67" s="608" t="s">
        <v>1795</v>
      </c>
      <c r="D67" s="608" t="s">
        <v>1796</v>
      </c>
      <c r="E67" s="608" t="s">
        <v>1797</v>
      </c>
      <c r="F67" s="608" t="s">
        <v>1798</v>
      </c>
      <c r="G67" s="608" t="s">
        <v>1799</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1729</v>
      </c>
      <c r="C69" s="527" t="s">
        <v>1717</v>
      </c>
      <c r="D69" s="527" t="s">
        <v>1718</v>
      </c>
      <c r="E69" s="527" t="s">
        <v>1719</v>
      </c>
      <c r="F69" s="527" t="s">
        <v>1720</v>
      </c>
      <c r="G69" s="527" t="s">
        <v>1721</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1848</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1690</v>
      </c>
      <c r="B79" s="477" t="s">
        <v>1849</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1850</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1736</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1851</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1852</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1853</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1854</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1855</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1827</v>
      </c>
      <c r="B1" s="1222" t="s">
        <v>3331</v>
      </c>
      <c r="C1" s="1223" t="s">
        <v>1658</v>
      </c>
      <c r="D1" s="1224"/>
      <c r="E1" s="3432"/>
      <c r="F1" s="1878"/>
      <c r="G1" s="1234" t="s">
        <v>1763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1458</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1459</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1764</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1765</v>
      </c>
      <c r="B4" s="356"/>
      <c r="C4" s="3682" t="s">
        <v>1766</v>
      </c>
      <c r="D4" s="3683"/>
      <c r="E4" s="3684" t="s">
        <v>1767</v>
      </c>
      <c r="F4" s="3685"/>
      <c r="G4" s="3682" t="s">
        <v>1768</v>
      </c>
      <c r="H4" s="3683"/>
      <c r="I4" s="3682" t="s">
        <v>1769</v>
      </c>
      <c r="J4" s="3683"/>
      <c r="K4" s="559" t="s">
        <v>1770</v>
      </c>
      <c r="L4" s="2714"/>
      <c r="M4" s="2715"/>
      <c r="N4" s="2715"/>
      <c r="O4" s="2715"/>
      <c r="P4" s="3686" t="s">
        <v>1771</v>
      </c>
      <c r="Q4" s="3687"/>
      <c r="R4" s="3669" t="s">
        <v>1767</v>
      </c>
      <c r="S4" s="3670"/>
      <c r="T4" s="3669" t="s">
        <v>1768</v>
      </c>
      <c r="U4" s="3670"/>
      <c r="V4" s="3694" t="s">
        <v>1769</v>
      </c>
      <c r="W4" s="3694"/>
      <c r="X4" s="1354"/>
      <c r="Y4" s="3669" t="s">
        <v>1771</v>
      </c>
      <c r="Z4" s="3670"/>
      <c r="AA4" s="3664" t="s">
        <v>1767</v>
      </c>
      <c r="AB4" s="3665" t="s">
        <v>1768</v>
      </c>
      <c r="AC4" s="3664" t="s">
        <v>1769</v>
      </c>
    </row>
    <row r="5" spans="1:29" ht="15">
      <c r="A5" s="358"/>
      <c r="B5" s="359"/>
      <c r="C5" s="3675" t="s">
        <v>1669</v>
      </c>
      <c r="D5" s="3676"/>
      <c r="E5" s="3673" t="s">
        <v>1670</v>
      </c>
      <c r="F5" s="3674"/>
      <c r="G5" s="3675" t="s">
        <v>1671</v>
      </c>
      <c r="H5" s="3676"/>
      <c r="I5" s="3675" t="s">
        <v>1672</v>
      </c>
      <c r="J5" s="3676"/>
      <c r="K5" s="559"/>
      <c r="L5" s="2714"/>
      <c r="M5" s="2715"/>
      <c r="N5" s="2715"/>
      <c r="O5" s="2715"/>
      <c r="P5" s="3688"/>
      <c r="Q5" s="3689"/>
      <c r="R5" s="3671"/>
      <c r="S5" s="3672"/>
      <c r="T5" s="3671"/>
      <c r="U5" s="3672"/>
      <c r="V5" s="3694"/>
      <c r="W5" s="3694"/>
      <c r="X5" s="1354"/>
      <c r="Y5" s="3671"/>
      <c r="Z5" s="3672"/>
      <c r="AA5" s="3665"/>
      <c r="AB5" s="3665"/>
      <c r="AC5" s="3665"/>
    </row>
    <row r="6" spans="1:29" ht="15.75" thickBot="1">
      <c r="A6" s="360"/>
      <c r="B6" s="361"/>
      <c r="C6" s="3677" t="s">
        <v>1673</v>
      </c>
      <c r="D6" s="3678"/>
      <c r="E6" s="3679" t="s">
        <v>1673</v>
      </c>
      <c r="F6" s="3680"/>
      <c r="G6" s="3677" t="s">
        <v>1673</v>
      </c>
      <c r="H6" s="3678"/>
      <c r="I6" s="3677" t="s">
        <v>1673</v>
      </c>
      <c r="J6" s="3678"/>
      <c r="K6" s="559" t="s">
        <v>1674</v>
      </c>
      <c r="L6" s="2714"/>
      <c r="M6" s="2715"/>
      <c r="N6" s="2715"/>
      <c r="O6" s="2715"/>
      <c r="P6" s="3690"/>
      <c r="Q6" s="3691"/>
      <c r="R6" s="3671"/>
      <c r="S6" s="3672"/>
      <c r="T6" s="3692"/>
      <c r="U6" s="3693"/>
      <c r="V6" s="3694"/>
      <c r="W6" s="3694"/>
      <c r="X6" s="1354"/>
      <c r="Y6" s="3692"/>
      <c r="Z6" s="3693"/>
      <c r="AA6" s="3666"/>
      <c r="AB6" s="3666"/>
      <c r="AC6" s="3666"/>
    </row>
    <row r="7" spans="1:29" s="108" customFormat="1" ht="15.75" thickBot="1">
      <c r="A7" s="362" t="s">
        <v>1675</v>
      </c>
      <c r="B7" s="363"/>
      <c r="C7" s="364">
        <f>'数据-取费表'!B2</f>
        <v>45496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7" t="s">
        <v>1676</v>
      </c>
      <c r="Q7" s="3695"/>
      <c r="R7" s="701" t="s">
        <v>14</v>
      </c>
      <c r="S7" s="702">
        <f t="shared" ref="S7:S14" si="0">F7</f>
        <v>0</v>
      </c>
      <c r="T7" s="701" t="s">
        <v>14</v>
      </c>
      <c r="U7" s="702">
        <f t="shared" ref="U7:U14" si="1">H7</f>
        <v>0</v>
      </c>
      <c r="V7" s="701" t="s">
        <v>14</v>
      </c>
      <c r="W7" s="702">
        <f t="shared" ref="W7:W14" si="2">J7</f>
        <v>0</v>
      </c>
      <c r="X7" s="703"/>
      <c r="Y7" s="3667" t="s">
        <v>1676</v>
      </c>
      <c r="Z7" s="3668"/>
      <c r="AA7" s="704" t="e">
        <f>D7/F7</f>
        <v>#DIV/0!</v>
      </c>
      <c r="AB7" s="704" t="e">
        <f>D7/H7</f>
        <v>#DIV/0!</v>
      </c>
      <c r="AC7" s="704" t="e">
        <f>D7/J7</f>
        <v>#DIV/0!</v>
      </c>
    </row>
    <row r="8" spans="1:29" s="108" customFormat="1" ht="15.75" thickBot="1">
      <c r="A8" s="362" t="s">
        <v>1677</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7" t="s">
        <v>1679</v>
      </c>
      <c r="Q8" s="3668"/>
      <c r="R8" s="701" t="s">
        <v>14</v>
      </c>
      <c r="S8" s="702">
        <f t="shared" si="0"/>
        <v>100</v>
      </c>
      <c r="T8" s="701" t="s">
        <v>14</v>
      </c>
      <c r="U8" s="702">
        <f t="shared" si="1"/>
        <v>100</v>
      </c>
      <c r="V8" s="701" t="s">
        <v>14</v>
      </c>
      <c r="W8" s="702">
        <f t="shared" si="2"/>
        <v>100</v>
      </c>
      <c r="X8" s="703"/>
      <c r="Y8" s="3667" t="s">
        <v>1679</v>
      </c>
      <c r="Z8" s="3668"/>
      <c r="AA8" s="704">
        <f t="shared" ref="AA8:AA34" si="3">D8/F8</f>
        <v>1</v>
      </c>
      <c r="AB8" s="704">
        <f t="shared" ref="AB8:AB34" si="4">D8/H8</f>
        <v>1</v>
      </c>
      <c r="AC8" s="704">
        <f t="shared" ref="AC8:AC34" si="5">D8/J8</f>
        <v>1</v>
      </c>
    </row>
    <row r="9" spans="1:29" s="108" customFormat="1">
      <c r="A9" s="369" t="s">
        <v>1680</v>
      </c>
      <c r="B9" s="63" t="s">
        <v>1681</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1" t="s">
        <v>1682</v>
      </c>
      <c r="Q9" s="1342" t="str">
        <f t="shared" ref="Q9:Q14" si="6">B9</f>
        <v>用途</v>
      </c>
      <c r="R9" s="701" t="s">
        <v>14</v>
      </c>
      <c r="S9" s="702">
        <f t="shared" si="0"/>
        <v>100</v>
      </c>
      <c r="T9" s="701" t="s">
        <v>14</v>
      </c>
      <c r="U9" s="702">
        <f t="shared" si="1"/>
        <v>100</v>
      </c>
      <c r="V9" s="701" t="s">
        <v>14</v>
      </c>
      <c r="W9" s="702">
        <f t="shared" si="2"/>
        <v>100</v>
      </c>
      <c r="X9" s="703"/>
      <c r="Y9" s="3637" t="s">
        <v>1683</v>
      </c>
      <c r="Z9" s="52" t="str">
        <f t="shared" ref="Z9:Z14" si="7">Q9</f>
        <v>用途</v>
      </c>
      <c r="AA9" s="704">
        <f t="shared" si="3"/>
        <v>1</v>
      </c>
      <c r="AB9" s="704">
        <f t="shared" si="4"/>
        <v>1</v>
      </c>
      <c r="AC9" s="704">
        <f t="shared" si="5"/>
        <v>1</v>
      </c>
    </row>
    <row r="10" spans="1:29" s="378" customFormat="1" ht="27">
      <c r="A10" s="374"/>
      <c r="B10" s="375" t="s">
        <v>1684</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1"/>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1"/>
      <c r="Q11" s="1342">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1"/>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1"/>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91" t="s">
        <v>1686</v>
      </c>
      <c r="B14" s="61" t="s">
        <v>1829</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6" t="s">
        <v>1687</v>
      </c>
      <c r="Q14" s="1351" t="str">
        <f t="shared" si="6"/>
        <v>交通便捷度</v>
      </c>
      <c r="R14" s="705" t="s">
        <v>14</v>
      </c>
      <c r="S14" s="706">
        <f t="shared" si="0"/>
        <v>100</v>
      </c>
      <c r="T14" s="705" t="s">
        <v>14</v>
      </c>
      <c r="U14" s="706">
        <f t="shared" si="1"/>
        <v>100</v>
      </c>
      <c r="V14" s="705" t="s">
        <v>14</v>
      </c>
      <c r="W14" s="706">
        <f t="shared" si="2"/>
        <v>100</v>
      </c>
      <c r="X14" s="1354"/>
      <c r="Y14" s="3696" t="s">
        <v>1687</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7"/>
      <c r="Q15" s="1351"/>
      <c r="R15" s="705"/>
      <c r="S15" s="706"/>
      <c r="T15" s="705"/>
      <c r="U15" s="706"/>
      <c r="V15" s="705"/>
      <c r="W15" s="706"/>
      <c r="X15" s="1354"/>
      <c r="Y15" s="3697"/>
      <c r="Z15" s="1355"/>
      <c r="AA15" s="1352">
        <v>1</v>
      </c>
      <c r="AB15" s="1352">
        <v>1</v>
      </c>
      <c r="AC15" s="1352">
        <v>1</v>
      </c>
    </row>
    <row r="16" spans="1:29" ht="42.75">
      <c r="A16" s="379"/>
      <c r="B16" s="402" t="s">
        <v>1808</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7"/>
      <c r="Q16" s="1351" t="str">
        <f>B16</f>
        <v>公共配套设施</v>
      </c>
      <c r="R16" s="705" t="s">
        <v>14</v>
      </c>
      <c r="S16" s="706">
        <f>F16</f>
        <v>100</v>
      </c>
      <c r="T16" s="705" t="s">
        <v>14</v>
      </c>
      <c r="U16" s="706">
        <f>H16</f>
        <v>100</v>
      </c>
      <c r="V16" s="705" t="s">
        <v>14</v>
      </c>
      <c r="W16" s="706">
        <f>J16</f>
        <v>100</v>
      </c>
      <c r="X16" s="1354"/>
      <c r="Y16" s="369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7"/>
      <c r="Q17" s="1351"/>
      <c r="R17" s="705"/>
      <c r="S17" s="706"/>
      <c r="T17" s="705"/>
      <c r="U17" s="706"/>
      <c r="V17" s="705"/>
      <c r="W17" s="706"/>
      <c r="X17" s="1354"/>
      <c r="Y17" s="3697"/>
      <c r="Z17" s="1355"/>
      <c r="AA17" s="1352">
        <v>1</v>
      </c>
      <c r="AB17" s="1352">
        <v>1</v>
      </c>
      <c r="AC17" s="1352">
        <v>1</v>
      </c>
    </row>
    <row r="18" spans="1:29" ht="28.5">
      <c r="A18" s="379"/>
      <c r="B18" s="1131" t="s">
        <v>1809</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7"/>
      <c r="Q18" s="1351" t="str">
        <f>B18</f>
        <v>基础设施水平</v>
      </c>
      <c r="R18" s="705" t="s">
        <v>14</v>
      </c>
      <c r="S18" s="706">
        <f>F18</f>
        <v>100</v>
      </c>
      <c r="T18" s="705" t="s">
        <v>14</v>
      </c>
      <c r="U18" s="706">
        <f>H18</f>
        <v>100</v>
      </c>
      <c r="V18" s="705" t="s">
        <v>14</v>
      </c>
      <c r="W18" s="706">
        <f>J18</f>
        <v>100</v>
      </c>
      <c r="X18" s="1354"/>
      <c r="Y18" s="369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97"/>
      <c r="Q19" s="1351"/>
      <c r="R19" s="705"/>
      <c r="S19" s="706"/>
      <c r="T19" s="705"/>
      <c r="U19" s="706"/>
      <c r="V19" s="705"/>
      <c r="W19" s="706"/>
      <c r="X19" s="1354"/>
      <c r="Y19" s="3697"/>
      <c r="Z19" s="1355"/>
      <c r="AA19" s="1352">
        <v>1</v>
      </c>
      <c r="AB19" s="1352">
        <v>1</v>
      </c>
      <c r="AC19" s="1352">
        <v>1</v>
      </c>
    </row>
    <row r="20" spans="1:29" ht="57">
      <c r="A20" s="379"/>
      <c r="B20" s="402" t="s">
        <v>1830</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7"/>
      <c r="Q20" s="1351" t="str">
        <f>B20</f>
        <v>自然及人文环境</v>
      </c>
      <c r="R20" s="705" t="s">
        <v>14</v>
      </c>
      <c r="S20" s="706">
        <f>F20</f>
        <v>100</v>
      </c>
      <c r="T20" s="705" t="s">
        <v>14</v>
      </c>
      <c r="U20" s="706">
        <f>H20</f>
        <v>100</v>
      </c>
      <c r="V20" s="705" t="s">
        <v>14</v>
      </c>
      <c r="W20" s="706">
        <f>J20</f>
        <v>100</v>
      </c>
      <c r="X20" s="1354"/>
      <c r="Y20" s="369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7"/>
      <c r="Q21" s="1351"/>
      <c r="R21" s="705"/>
      <c r="S21" s="706"/>
      <c r="T21" s="705"/>
      <c r="U21" s="706"/>
      <c r="V21" s="705"/>
      <c r="W21" s="706"/>
      <c r="X21" s="1354"/>
      <c r="Y21" s="3697"/>
      <c r="Z21" s="1355"/>
      <c r="AA21" s="1352">
        <v>1</v>
      </c>
      <c r="AB21" s="1352">
        <v>1</v>
      </c>
      <c r="AC21" s="1352">
        <v>1</v>
      </c>
    </row>
    <row r="22" spans="1:29" ht="15">
      <c r="A22" s="379"/>
      <c r="B22" s="402" t="s">
        <v>1831</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7"/>
      <c r="Q22" s="1351" t="str">
        <f>B22</f>
        <v>楼层</v>
      </c>
      <c r="R22" s="705" t="s">
        <v>14</v>
      </c>
      <c r="S22" s="706">
        <f>F22</f>
        <v>100</v>
      </c>
      <c r="T22" s="705" t="s">
        <v>14</v>
      </c>
      <c r="U22" s="706">
        <f>H22</f>
        <v>100</v>
      </c>
      <c r="V22" s="705" t="s">
        <v>14</v>
      </c>
      <c r="W22" s="706">
        <f>J22</f>
        <v>100</v>
      </c>
      <c r="X22" s="1354"/>
      <c r="Y22" s="369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7"/>
      <c r="Q23" s="1351">
        <f>B23</f>
        <v>111</v>
      </c>
      <c r="R23" s="705" t="s">
        <v>14</v>
      </c>
      <c r="S23" s="706">
        <f>F23</f>
        <v>100</v>
      </c>
      <c r="T23" s="705" t="s">
        <v>14</v>
      </c>
      <c r="U23" s="706">
        <f>H23</f>
        <v>100</v>
      </c>
      <c r="V23" s="705" t="s">
        <v>14</v>
      </c>
      <c r="W23" s="706">
        <f>J23</f>
        <v>100</v>
      </c>
      <c r="X23" s="1354"/>
      <c r="Y23" s="369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7"/>
      <c r="Q24" s="1351">
        <f t="shared" ref="Q24:Q34" si="11">B24</f>
        <v>111</v>
      </c>
      <c r="R24" s="705" t="s">
        <v>14</v>
      </c>
      <c r="S24" s="706">
        <f>F24</f>
        <v>100</v>
      </c>
      <c r="T24" s="705" t="s">
        <v>14</v>
      </c>
      <c r="U24" s="706">
        <f>H24</f>
        <v>100</v>
      </c>
      <c r="V24" s="705" t="s">
        <v>14</v>
      </c>
      <c r="W24" s="706">
        <f>J24</f>
        <v>100</v>
      </c>
      <c r="X24" s="1354"/>
      <c r="Y24" s="369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7"/>
      <c r="Q25" s="1342">
        <f t="shared" si="11"/>
        <v>111</v>
      </c>
      <c r="R25" s="701" t="s">
        <v>14</v>
      </c>
      <c r="S25" s="702">
        <f>F25</f>
        <v>100</v>
      </c>
      <c r="T25" s="701" t="s">
        <v>14</v>
      </c>
      <c r="U25" s="702">
        <f>H25</f>
        <v>100</v>
      </c>
      <c r="V25" s="701" t="s">
        <v>14</v>
      </c>
      <c r="W25" s="702">
        <f>J25</f>
        <v>100</v>
      </c>
      <c r="X25" s="703"/>
      <c r="Y25" s="3697"/>
      <c r="Z25" s="52">
        <f>Q25</f>
        <v>111</v>
      </c>
      <c r="AA25" s="1352">
        <f>D25/F25</f>
        <v>1</v>
      </c>
      <c r="AB25" s="1352">
        <f>D25/H25</f>
        <v>1</v>
      </c>
      <c r="AC25" s="1352">
        <f>D25/J25</f>
        <v>1</v>
      </c>
    </row>
    <row r="26" spans="1:29" ht="28.5">
      <c r="A26" s="417" t="s">
        <v>1690</v>
      </c>
      <c r="B26" s="63" t="s">
        <v>1834</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98" t="s">
        <v>1692</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9" t="s">
        <v>1692</v>
      </c>
      <c r="Z26" s="1355" t="str">
        <f t="shared" ref="Z26:Z34" si="15">Q26</f>
        <v>公共部分装修</v>
      </c>
      <c r="AA26" s="1352">
        <f t="shared" si="3"/>
        <v>1</v>
      </c>
      <c r="AB26" s="1352">
        <f t="shared" si="4"/>
        <v>1</v>
      </c>
      <c r="AC26" s="1352">
        <f t="shared" si="5"/>
        <v>1</v>
      </c>
    </row>
    <row r="27" spans="1:29" s="422" customFormat="1" ht="15">
      <c r="A27" s="419"/>
      <c r="B27" s="375" t="s">
        <v>1835</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2" t="e">
        <f t="shared" si="3"/>
        <v>#N/A</v>
      </c>
      <c r="AB27" s="1352" t="e">
        <f t="shared" si="4"/>
        <v>#N/A</v>
      </c>
      <c r="AC27" s="1352" t="e">
        <f t="shared" si="5"/>
        <v>#N/A</v>
      </c>
    </row>
    <row r="28" spans="1:29" ht="15">
      <c r="A28" s="423"/>
      <c r="B28" s="375" t="s">
        <v>1836</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9"/>
      <c r="Q28" s="1351" t="str">
        <f t="shared" si="11"/>
        <v>物业等级</v>
      </c>
      <c r="R28" s="705" t="s">
        <v>14</v>
      </c>
      <c r="S28" s="706">
        <f t="shared" si="12"/>
        <v>100</v>
      </c>
      <c r="T28" s="705" t="s">
        <v>14</v>
      </c>
      <c r="U28" s="706">
        <f t="shared" si="13"/>
        <v>100</v>
      </c>
      <c r="V28" s="705" t="s">
        <v>14</v>
      </c>
      <c r="W28" s="706">
        <f t="shared" si="14"/>
        <v>100</v>
      </c>
      <c r="X28" s="1354"/>
      <c r="Y28" s="3699"/>
      <c r="Z28" s="1355" t="str">
        <f t="shared" si="15"/>
        <v>物业等级</v>
      </c>
      <c r="AA28" s="1352">
        <f t="shared" si="3"/>
        <v>1</v>
      </c>
      <c r="AB28" s="1352">
        <f t="shared" si="4"/>
        <v>1</v>
      </c>
      <c r="AC28" s="1352">
        <f t="shared" si="5"/>
        <v>1</v>
      </c>
    </row>
    <row r="29" spans="1:29" ht="15">
      <c r="A29" s="423"/>
      <c r="B29" s="375" t="s">
        <v>1856</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9"/>
      <c r="Q29" s="1351" t="str">
        <f t="shared" si="11"/>
        <v>有无电梯</v>
      </c>
      <c r="R29" s="705" t="s">
        <v>14</v>
      </c>
      <c r="S29" s="706">
        <f t="shared" si="12"/>
        <v>100</v>
      </c>
      <c r="T29" s="705" t="s">
        <v>14</v>
      </c>
      <c r="U29" s="706">
        <f t="shared" si="13"/>
        <v>100</v>
      </c>
      <c r="V29" s="705" t="s">
        <v>14</v>
      </c>
      <c r="W29" s="706">
        <f t="shared" si="14"/>
        <v>100</v>
      </c>
      <c r="X29" s="1354"/>
      <c r="Y29" s="3699"/>
      <c r="Z29" s="1355" t="str">
        <f t="shared" si="15"/>
        <v>有无电梯</v>
      </c>
      <c r="AA29" s="1352">
        <f t="shared" si="3"/>
        <v>1</v>
      </c>
      <c r="AB29" s="1352">
        <f t="shared" si="4"/>
        <v>1</v>
      </c>
      <c r="AC29" s="1352">
        <f t="shared" si="5"/>
        <v>1</v>
      </c>
    </row>
    <row r="30" spans="1:29" ht="15">
      <c r="A30" s="423"/>
      <c r="B30" s="375" t="s">
        <v>1857</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9"/>
      <c r="Q30" s="1351" t="str">
        <f t="shared" si="11"/>
        <v>建筑面积</v>
      </c>
      <c r="R30" s="705" t="s">
        <v>14</v>
      </c>
      <c r="S30" s="706" t="e">
        <f t="shared" si="12"/>
        <v>#N/A</v>
      </c>
      <c r="T30" s="705" t="s">
        <v>14</v>
      </c>
      <c r="U30" s="706" t="e">
        <f t="shared" si="13"/>
        <v>#N/A</v>
      </c>
      <c r="V30" s="705" t="s">
        <v>14</v>
      </c>
      <c r="W30" s="706" t="e">
        <f t="shared" si="14"/>
        <v>#N/A</v>
      </c>
      <c r="X30" s="1354"/>
      <c r="Y30" s="3699"/>
      <c r="Z30" s="1355" t="str">
        <f t="shared" si="15"/>
        <v>建筑面积</v>
      </c>
      <c r="AA30" s="1352" t="e">
        <f t="shared" si="3"/>
        <v>#N/A</v>
      </c>
      <c r="AB30" s="1352" t="e">
        <f t="shared" si="4"/>
        <v>#N/A</v>
      </c>
      <c r="AC30" s="1352" t="e">
        <f t="shared" si="5"/>
        <v>#N/A</v>
      </c>
    </row>
    <row r="31" spans="1:29" s="108" customFormat="1" ht="15">
      <c r="A31" s="424"/>
      <c r="B31" s="375" t="s">
        <v>1858</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9"/>
      <c r="Q31" s="1342"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9" t="s">
        <v>1692</v>
      </c>
      <c r="Q32" s="1351">
        <f t="shared" si="11"/>
        <v>111</v>
      </c>
      <c r="R32" s="705" t="s">
        <v>14</v>
      </c>
      <c r="S32" s="706">
        <f t="shared" si="12"/>
        <v>100</v>
      </c>
      <c r="T32" s="705" t="s">
        <v>14</v>
      </c>
      <c r="U32" s="706">
        <f t="shared" si="13"/>
        <v>100</v>
      </c>
      <c r="V32" s="705" t="s">
        <v>14</v>
      </c>
      <c r="W32" s="706">
        <f t="shared" si="14"/>
        <v>100</v>
      </c>
      <c r="X32" s="1354"/>
      <c r="Y32" s="3699" t="s">
        <v>1692</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9"/>
      <c r="Q33" s="1351">
        <f t="shared" si="11"/>
        <v>111</v>
      </c>
      <c r="R33" s="705" t="s">
        <v>14</v>
      </c>
      <c r="S33" s="706">
        <f t="shared" si="12"/>
        <v>100</v>
      </c>
      <c r="T33" s="705" t="s">
        <v>14</v>
      </c>
      <c r="U33" s="706">
        <f t="shared" si="13"/>
        <v>100</v>
      </c>
      <c r="V33" s="705" t="s">
        <v>14</v>
      </c>
      <c r="W33" s="706">
        <f t="shared" si="14"/>
        <v>100</v>
      </c>
      <c r="X33" s="1354"/>
      <c r="Y33" s="369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9"/>
      <c r="Q34" s="1351">
        <f t="shared" si="11"/>
        <v>111</v>
      </c>
      <c r="R34" s="705" t="s">
        <v>14</v>
      </c>
      <c r="S34" s="706">
        <f t="shared" si="12"/>
        <v>100</v>
      </c>
      <c r="T34" s="705" t="s">
        <v>14</v>
      </c>
      <c r="U34" s="706">
        <f t="shared" si="13"/>
        <v>100</v>
      </c>
      <c r="V34" s="705" t="s">
        <v>14</v>
      </c>
      <c r="W34" s="706">
        <f t="shared" si="14"/>
        <v>100</v>
      </c>
      <c r="X34" s="1354"/>
      <c r="Y34" s="3699"/>
      <c r="Z34" s="1355">
        <f t="shared" si="15"/>
        <v>111</v>
      </c>
      <c r="AA34" s="1352">
        <f t="shared" si="3"/>
        <v>1</v>
      </c>
      <c r="AB34" s="1352">
        <f t="shared" si="4"/>
        <v>1</v>
      </c>
      <c r="AC34" s="1352">
        <f t="shared" si="5"/>
        <v>1</v>
      </c>
    </row>
    <row r="35" spans="1:30" ht="15">
      <c r="A35" s="430" t="s">
        <v>1704</v>
      </c>
      <c r="B35" s="431"/>
      <c r="C35" s="1154" t="s">
        <v>0</v>
      </c>
      <c r="D35" s="1155"/>
      <c r="E35" s="1156"/>
      <c r="F35" s="1157"/>
      <c r="G35" s="1158"/>
      <c r="H35" s="1159"/>
      <c r="I35" s="1156"/>
      <c r="J35" s="1159"/>
      <c r="K35" s="714"/>
      <c r="L35" s="2723"/>
      <c r="M35" s="2724"/>
      <c r="N35" s="2715"/>
      <c r="O35" s="2724"/>
      <c r="P35" s="3681" t="str">
        <f>A35</f>
        <v>成交单价（元/平方米）</v>
      </c>
      <c r="Q35" s="3681"/>
      <c r="R35" s="3752">
        <f>E35</f>
        <v>0</v>
      </c>
      <c r="S35" s="3752"/>
      <c r="T35" s="3752">
        <f>G35</f>
        <v>0</v>
      </c>
      <c r="U35" s="3752"/>
      <c r="V35" s="3752">
        <f>I35</f>
        <v>0</v>
      </c>
      <c r="W35" s="3752"/>
      <c r="X35" s="690"/>
      <c r="Y35" s="712"/>
      <c r="Z35" s="690"/>
      <c r="AA35" s="690"/>
      <c r="AB35" s="690"/>
      <c r="AC35" s="690"/>
    </row>
    <row r="36" spans="1:30" ht="15.75" thickBot="1">
      <c r="A36" s="437" t="s">
        <v>1789</v>
      </c>
      <c r="B36" s="438"/>
      <c r="C36" s="1160" t="e">
        <f>R37</f>
        <v>#DIV/0!</v>
      </c>
      <c r="D36" s="2316" t="s">
        <v>2132</v>
      </c>
      <c r="E36" s="1161" t="e">
        <f>R36</f>
        <v>#DIV/0!</v>
      </c>
      <c r="F36" s="2317"/>
      <c r="G36" s="1160" t="e">
        <f>T36</f>
        <v>#DIV/0!</v>
      </c>
      <c r="H36" s="2317"/>
      <c r="I36" s="1161" t="e">
        <f>V36</f>
        <v>#DIV/0!</v>
      </c>
      <c r="J36" s="2317"/>
      <c r="K36" s="2319">
        <f>F36+H36+J36</f>
        <v>0</v>
      </c>
      <c r="L36" s="2723"/>
      <c r="M36" s="2724"/>
      <c r="N36" s="2715"/>
      <c r="O36" s="2724"/>
      <c r="P36" s="3681" t="str">
        <f>A36</f>
        <v>比较价值（元/平方米）</v>
      </c>
      <c r="Q36" s="3681"/>
      <c r="R36" s="3752" t="e">
        <f>IF(F1="售价",ROUND(PRODUCT(R35,AA7:AA34),0),ROUND(PRODUCT(R35,AA7:AA34),1))</f>
        <v>#DIV/0!</v>
      </c>
      <c r="S36" s="3752"/>
      <c r="T36" s="3752" t="e">
        <f>IF(F1="售价",ROUND(PRODUCT(T35,AB7:AB34),0),ROUND(PRODUCT(T35,AB7:AB34),1))</f>
        <v>#DIV/0!</v>
      </c>
      <c r="U36" s="3752"/>
      <c r="V36" s="3752" t="e">
        <f>IF(F1="售价",ROUND(PRODUCT(V35,AC7:AC34),0),ROUND(PRODUCT(V35,AC7:AC34),1))</f>
        <v>#DIV/0!</v>
      </c>
      <c r="W36" s="3752"/>
      <c r="X36" s="690"/>
      <c r="Y36" s="690"/>
      <c r="Z36" s="690"/>
      <c r="AA36" s="690"/>
      <c r="AB36" s="690"/>
      <c r="AC36" s="690"/>
    </row>
    <row r="37" spans="1:30" ht="15.75" thickBot="1">
      <c r="A37" s="441" t="s">
        <v>1790</v>
      </c>
      <c r="B37" s="442"/>
      <c r="C37" s="1163" t="e">
        <f>R37</f>
        <v>#DIV/0!</v>
      </c>
      <c r="D37" s="1163"/>
      <c r="E37" s="1163"/>
      <c r="F37" s="1163"/>
      <c r="G37" s="1163"/>
      <c r="H37" s="1163"/>
      <c r="I37" s="1163"/>
      <c r="J37" s="1163"/>
      <c r="K37" s="715"/>
      <c r="L37" s="2723"/>
      <c r="M37" s="2724"/>
      <c r="N37" s="2724"/>
      <c r="O37" s="2724"/>
      <c r="P37" s="3701" t="str">
        <f>A37</f>
        <v>估价对象XX用房的比较价值（楼面单价，元/平方米）</v>
      </c>
      <c r="Q37" s="3702"/>
      <c r="R37" s="3776" t="e">
        <f>IF(F1="售价",ROUND(IF(D36="简单平均",AVERAGE(R36:W36),R36*F36+T36*H36+V36*J36),0),ROUND(IF(D36="简单平均",AVERAGE(R36:V36),R36*F36+T36*H36+V36*J36),1))</f>
        <v>#DIV/0!</v>
      </c>
      <c r="S37" s="3776"/>
      <c r="T37" s="3776"/>
      <c r="U37" s="3776"/>
      <c r="V37" s="3776"/>
      <c r="W37" s="377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1791</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1792</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1793</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1794</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1675</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1712</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1677</v>
      </c>
      <c r="B49" s="459"/>
      <c r="C49" s="471" t="s">
        <v>1772</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1715</v>
      </c>
      <c r="B51" s="477" t="s">
        <v>1681</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1684</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1686</v>
      </c>
      <c r="B61" s="477" t="s">
        <v>1722</v>
      </c>
      <c r="C61" s="522" t="s">
        <v>1717</v>
      </c>
      <c r="D61" s="522" t="s">
        <v>1718</v>
      </c>
      <c r="E61" s="522" t="s">
        <v>1719</v>
      </c>
      <c r="F61" s="522" t="s">
        <v>1720</v>
      </c>
      <c r="G61" s="522" t="s">
        <v>1721</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1859</v>
      </c>
      <c r="C63" s="527" t="s">
        <v>1717</v>
      </c>
      <c r="D63" s="527" t="s">
        <v>1718</v>
      </c>
      <c r="E63" s="527" t="s">
        <v>1719</v>
      </c>
      <c r="F63" s="527" t="s">
        <v>1720</v>
      </c>
      <c r="G63" s="527" t="s">
        <v>1721</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1809</v>
      </c>
      <c r="C65" s="608" t="s">
        <v>1795</v>
      </c>
      <c r="D65" s="608" t="s">
        <v>1796</v>
      </c>
      <c r="E65" s="608" t="s">
        <v>1797</v>
      </c>
      <c r="F65" s="608" t="s">
        <v>1798</v>
      </c>
      <c r="G65" s="608" t="s">
        <v>1799</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1729</v>
      </c>
      <c r="C67" s="527" t="s">
        <v>1717</v>
      </c>
      <c r="D67" s="527" t="s">
        <v>1718</v>
      </c>
      <c r="E67" s="527" t="s">
        <v>1719</v>
      </c>
      <c r="F67" s="527" t="s">
        <v>1720</v>
      </c>
      <c r="G67" s="527" t="s">
        <v>1721</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1848</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1690</v>
      </c>
      <c r="B77" s="477" t="s">
        <v>1736</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1851</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1852</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1860</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1861</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1862</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1863</v>
      </c>
      <c r="B1" s="349"/>
      <c r="C1" s="350" t="s">
        <v>1912</v>
      </c>
      <c r="D1" s="686"/>
      <c r="E1" s="686"/>
      <c r="F1" s="685" t="s">
        <v>1763</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1865</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1765</v>
      </c>
      <c r="B4" s="356"/>
      <c r="C4" s="3682" t="s">
        <v>1766</v>
      </c>
      <c r="D4" s="3683"/>
      <c r="E4" s="3684" t="s">
        <v>1767</v>
      </c>
      <c r="F4" s="3685"/>
      <c r="G4" s="3682" t="s">
        <v>1768</v>
      </c>
      <c r="H4" s="3683"/>
      <c r="I4" s="3682" t="s">
        <v>1769</v>
      </c>
      <c r="J4" s="3683"/>
      <c r="K4" s="559" t="s">
        <v>1770</v>
      </c>
      <c r="L4" s="2714"/>
      <c r="M4" s="2715"/>
      <c r="N4" s="2715"/>
      <c r="O4" s="2715"/>
      <c r="P4" s="3686" t="s">
        <v>1771</v>
      </c>
      <c r="Q4" s="3687"/>
      <c r="R4" s="3669" t="s">
        <v>1767</v>
      </c>
      <c r="S4" s="3670"/>
      <c r="T4" s="3669" t="s">
        <v>1768</v>
      </c>
      <c r="U4" s="3670"/>
      <c r="V4" s="3694" t="s">
        <v>1769</v>
      </c>
      <c r="W4" s="3694"/>
      <c r="X4" s="1354"/>
      <c r="Y4" s="3669" t="s">
        <v>1771</v>
      </c>
      <c r="Z4" s="3670"/>
      <c r="AA4" s="3664" t="s">
        <v>1767</v>
      </c>
      <c r="AB4" s="3665" t="s">
        <v>1768</v>
      </c>
      <c r="AC4" s="3664" t="s">
        <v>1769</v>
      </c>
    </row>
    <row r="5" spans="1:29" ht="15">
      <c r="A5" s="358"/>
      <c r="B5" s="359"/>
      <c r="C5" s="3675" t="s">
        <v>1669</v>
      </c>
      <c r="D5" s="3676"/>
      <c r="E5" s="3673" t="s">
        <v>1670</v>
      </c>
      <c r="F5" s="3674"/>
      <c r="G5" s="3675" t="s">
        <v>1671</v>
      </c>
      <c r="H5" s="3676"/>
      <c r="I5" s="3675" t="s">
        <v>1672</v>
      </c>
      <c r="J5" s="3676"/>
      <c r="K5" s="559"/>
      <c r="L5" s="2714"/>
      <c r="M5" s="2715"/>
      <c r="N5" s="2715"/>
      <c r="O5" s="2715"/>
      <c r="P5" s="3688"/>
      <c r="Q5" s="3689"/>
      <c r="R5" s="3671"/>
      <c r="S5" s="3672"/>
      <c r="T5" s="3671"/>
      <c r="U5" s="3672"/>
      <c r="V5" s="3694"/>
      <c r="W5" s="3694"/>
      <c r="X5" s="1354"/>
      <c r="Y5" s="3671"/>
      <c r="Z5" s="3672"/>
      <c r="AA5" s="3665"/>
      <c r="AB5" s="3665"/>
      <c r="AC5" s="3665"/>
    </row>
    <row r="6" spans="1:29" ht="15.75" thickBot="1">
      <c r="A6" s="360"/>
      <c r="B6" s="361"/>
      <c r="C6" s="3777" t="s">
        <v>1913</v>
      </c>
      <c r="D6" s="3778"/>
      <c r="E6" s="3779" t="s">
        <v>1913</v>
      </c>
      <c r="F6" s="3780"/>
      <c r="G6" s="3777" t="s">
        <v>1913</v>
      </c>
      <c r="H6" s="3778"/>
      <c r="I6" s="3777" t="s">
        <v>1913</v>
      </c>
      <c r="J6" s="3778"/>
      <c r="K6" s="559" t="s">
        <v>1674</v>
      </c>
      <c r="L6" s="2714"/>
      <c r="M6" s="2715"/>
      <c r="N6" s="2715"/>
      <c r="O6" s="2715"/>
      <c r="P6" s="3690"/>
      <c r="Q6" s="3691"/>
      <c r="R6" s="3671"/>
      <c r="S6" s="3672"/>
      <c r="T6" s="3692"/>
      <c r="U6" s="3693"/>
      <c r="V6" s="3694"/>
      <c r="W6" s="3694"/>
      <c r="X6" s="1354"/>
      <c r="Y6" s="3692"/>
      <c r="Z6" s="3693"/>
      <c r="AA6" s="3666"/>
      <c r="AB6" s="3666"/>
      <c r="AC6" s="3666"/>
    </row>
    <row r="7" spans="1:29" s="108" customFormat="1" ht="15.75" thickBot="1">
      <c r="A7" s="362" t="s">
        <v>1675</v>
      </c>
      <c r="B7" s="363"/>
      <c r="C7" s="364">
        <f>'数据-取费表'!B2</f>
        <v>45496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7" t="s">
        <v>1676</v>
      </c>
      <c r="Q7" s="3695"/>
      <c r="R7" s="701" t="s">
        <v>14</v>
      </c>
      <c r="S7" s="702">
        <f t="shared" ref="S7:S15" si="0">F7</f>
        <v>0</v>
      </c>
      <c r="T7" s="701" t="s">
        <v>14</v>
      </c>
      <c r="U7" s="702">
        <f t="shared" ref="U7:U15" si="1">H7</f>
        <v>0</v>
      </c>
      <c r="V7" s="701" t="s">
        <v>14</v>
      </c>
      <c r="W7" s="702">
        <f t="shared" ref="W7:W15" si="2">J7</f>
        <v>0</v>
      </c>
      <c r="X7" s="703"/>
      <c r="Y7" s="3667" t="s">
        <v>1676</v>
      </c>
      <c r="Z7" s="3668"/>
      <c r="AA7" s="704" t="e">
        <f>D7/F7</f>
        <v>#DIV/0!</v>
      </c>
      <c r="AB7" s="704" t="e">
        <f>D7/H7</f>
        <v>#DIV/0!</v>
      </c>
      <c r="AC7" s="704" t="e">
        <f>D7/J7</f>
        <v>#DIV/0!</v>
      </c>
    </row>
    <row r="8" spans="1:29" s="108" customFormat="1" ht="15.75" thickBot="1">
      <c r="A8" s="362" t="s">
        <v>1677</v>
      </c>
      <c r="B8" s="363"/>
      <c r="C8" s="368" t="s">
        <v>1678</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7" t="s">
        <v>1679</v>
      </c>
      <c r="Q8" s="3668"/>
      <c r="R8" s="701" t="s">
        <v>14</v>
      </c>
      <c r="S8" s="702">
        <f t="shared" si="0"/>
        <v>0</v>
      </c>
      <c r="T8" s="701" t="s">
        <v>14</v>
      </c>
      <c r="U8" s="702">
        <f t="shared" si="1"/>
        <v>0</v>
      </c>
      <c r="V8" s="701" t="s">
        <v>14</v>
      </c>
      <c r="W8" s="702">
        <f t="shared" si="2"/>
        <v>0</v>
      </c>
      <c r="X8" s="703"/>
      <c r="Y8" s="3667" t="s">
        <v>1679</v>
      </c>
      <c r="Z8" s="3668"/>
      <c r="AA8" s="704" t="e">
        <f t="shared" ref="AA8:AA40" si="3">D8/F8</f>
        <v>#DIV/0!</v>
      </c>
      <c r="AB8" s="704" t="e">
        <f t="shared" ref="AB8:AB40" si="4">D8/H8</f>
        <v>#DIV/0!</v>
      </c>
      <c r="AC8" s="704" t="e">
        <f t="shared" ref="AC8:AC40" si="5">D8/J8</f>
        <v>#DIV/0!</v>
      </c>
    </row>
    <row r="9" spans="1:29" s="108" customFormat="1">
      <c r="A9" s="369" t="s">
        <v>1680</v>
      </c>
      <c r="B9" s="63" t="s">
        <v>1681</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1" t="s">
        <v>1682</v>
      </c>
      <c r="Q9" s="1342" t="str">
        <f t="shared" ref="Q9:Q15" si="6">B9</f>
        <v>用途</v>
      </c>
      <c r="R9" s="701" t="s">
        <v>14</v>
      </c>
      <c r="S9" s="702">
        <f t="shared" si="0"/>
        <v>100</v>
      </c>
      <c r="T9" s="701" t="s">
        <v>14</v>
      </c>
      <c r="U9" s="702">
        <f t="shared" si="1"/>
        <v>100</v>
      </c>
      <c r="V9" s="701" t="s">
        <v>14</v>
      </c>
      <c r="W9" s="702">
        <f t="shared" si="2"/>
        <v>100</v>
      </c>
      <c r="X9" s="703"/>
      <c r="Y9" s="3637" t="s">
        <v>1683</v>
      </c>
      <c r="Z9" s="52" t="str">
        <f t="shared" ref="Z9:Z15" si="7">Q9</f>
        <v>用途</v>
      </c>
      <c r="AA9" s="704">
        <f t="shared" si="3"/>
        <v>1</v>
      </c>
      <c r="AB9" s="704">
        <f t="shared" si="4"/>
        <v>1</v>
      </c>
      <c r="AC9" s="704">
        <f t="shared" si="5"/>
        <v>1</v>
      </c>
    </row>
    <row r="10" spans="1:29" s="378" customFormat="1" ht="27">
      <c r="A10" s="374"/>
      <c r="B10" s="375" t="s">
        <v>1684</v>
      </c>
      <c r="C10" s="383"/>
      <c r="D10" s="127">
        <v>100</v>
      </c>
      <c r="E10" s="383"/>
      <c r="F10" s="127">
        <f>ROUND(100/'数据-取费表'!G16,0)</f>
        <v>100</v>
      </c>
      <c r="G10" s="383"/>
      <c r="H10" s="127">
        <f>ROUND(100/'数据-取费表'!G16,0)</f>
        <v>100</v>
      </c>
      <c r="I10" s="383"/>
      <c r="J10" s="127">
        <f>ROUND(100/'数据-取费表'!G16,0)</f>
        <v>100</v>
      </c>
      <c r="K10" s="620"/>
      <c r="L10" s="2718"/>
      <c r="M10" s="2719"/>
      <c r="N10" s="2719"/>
      <c r="O10" s="2772"/>
      <c r="P10" s="3681"/>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1685</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1"/>
      <c r="Q11" s="1342"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1"/>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1"/>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1"/>
      <c r="Q14" s="1342">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1686</v>
      </c>
      <c r="B15" s="577" t="s">
        <v>1914</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6" t="s">
        <v>1687</v>
      </c>
      <c r="Q15" s="1351" t="str">
        <f t="shared" si="6"/>
        <v>产业集聚程度</v>
      </c>
      <c r="R15" s="705" t="s">
        <v>14</v>
      </c>
      <c r="S15" s="706">
        <f t="shared" si="0"/>
        <v>100</v>
      </c>
      <c r="T15" s="705" t="s">
        <v>14</v>
      </c>
      <c r="U15" s="706">
        <f t="shared" si="1"/>
        <v>100</v>
      </c>
      <c r="V15" s="705" t="s">
        <v>14</v>
      </c>
      <c r="W15" s="706">
        <f t="shared" si="2"/>
        <v>100</v>
      </c>
      <c r="X15" s="1354"/>
      <c r="Y15" s="3696" t="s">
        <v>1687</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7"/>
      <c r="Q16" s="1351"/>
      <c r="R16" s="705"/>
      <c r="S16" s="706"/>
      <c r="T16" s="705"/>
      <c r="U16" s="706"/>
      <c r="V16" s="705"/>
      <c r="W16" s="706"/>
      <c r="X16" s="1354"/>
      <c r="Y16" s="3697"/>
      <c r="Z16" s="1355"/>
      <c r="AA16" s="1352">
        <v>1</v>
      </c>
      <c r="AB16" s="1352">
        <v>1</v>
      </c>
      <c r="AC16" s="1352">
        <v>1</v>
      </c>
    </row>
    <row r="17" spans="1:29" ht="85.5">
      <c r="A17" s="379"/>
      <c r="B17" s="579" t="s">
        <v>1829</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7"/>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7"/>
      <c r="Q18" s="1351"/>
      <c r="R18" s="705"/>
      <c r="S18" s="706"/>
      <c r="T18" s="705"/>
      <c r="U18" s="706"/>
      <c r="V18" s="705"/>
      <c r="W18" s="706"/>
      <c r="X18" s="1354"/>
      <c r="Y18" s="3697"/>
      <c r="Z18" s="1355"/>
      <c r="AA18" s="1352">
        <v>1</v>
      </c>
      <c r="AB18" s="1352">
        <v>1</v>
      </c>
      <c r="AC18" s="1352">
        <v>1</v>
      </c>
    </row>
    <row r="19" spans="1:29" ht="15">
      <c r="A19" s="379"/>
      <c r="B19" s="579" t="s">
        <v>1866</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7"/>
      <c r="Q19" s="1351" t="str">
        <f t="shared" ref="Q19:Q33" si="8">B19</f>
        <v>区域土地利用方向</v>
      </c>
      <c r="R19" s="705" t="s">
        <v>14</v>
      </c>
      <c r="S19" s="706">
        <f>F19</f>
        <v>100</v>
      </c>
      <c r="T19" s="705" t="s">
        <v>14</v>
      </c>
      <c r="U19" s="706">
        <f>H19</f>
        <v>100</v>
      </c>
      <c r="V19" s="705" t="s">
        <v>14</v>
      </c>
      <c r="W19" s="706">
        <f>J19</f>
        <v>100</v>
      </c>
      <c r="X19" s="1354"/>
      <c r="Y19" s="369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97"/>
      <c r="Q20" s="1351"/>
      <c r="R20" s="705"/>
      <c r="S20" s="706"/>
      <c r="T20" s="705"/>
      <c r="U20" s="706"/>
      <c r="V20" s="705"/>
      <c r="W20" s="706"/>
      <c r="X20" s="1354"/>
      <c r="Y20" s="3697"/>
      <c r="Z20" s="1355"/>
      <c r="AA20" s="1352"/>
      <c r="AB20" s="1352"/>
      <c r="AC20" s="1352"/>
    </row>
    <row r="21" spans="1:29" ht="71.25">
      <c r="A21" s="358"/>
      <c r="B21" s="579" t="s">
        <v>1915</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7"/>
      <c r="Q21" s="1351" t="str">
        <f t="shared" si="8"/>
        <v>环境状况</v>
      </c>
      <c r="R21" s="705" t="s">
        <v>14</v>
      </c>
      <c r="S21" s="706">
        <f>F21</f>
        <v>100</v>
      </c>
      <c r="T21" s="705" t="s">
        <v>14</v>
      </c>
      <c r="U21" s="706">
        <f>H21</f>
        <v>100</v>
      </c>
      <c r="V21" s="705" t="s">
        <v>14</v>
      </c>
      <c r="W21" s="706">
        <f>J21</f>
        <v>100</v>
      </c>
      <c r="X21" s="1354"/>
      <c r="Y21" s="369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7"/>
      <c r="Q22" s="1351"/>
      <c r="R22" s="705"/>
      <c r="S22" s="706"/>
      <c r="T22" s="705"/>
      <c r="U22" s="706"/>
      <c r="V22" s="705"/>
      <c r="W22" s="706"/>
      <c r="X22" s="1354"/>
      <c r="Y22" s="3697"/>
      <c r="Z22" s="1355"/>
      <c r="AA22" s="1352">
        <v>1</v>
      </c>
      <c r="AB22" s="1352">
        <v>1</v>
      </c>
      <c r="AC22" s="1352">
        <v>1</v>
      </c>
    </row>
    <row r="23" spans="1:29" s="108" customFormat="1" ht="42.75">
      <c r="A23" s="597"/>
      <c r="B23" s="581" t="s">
        <v>1774</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7"/>
      <c r="Q23" s="1342" t="str">
        <f t="shared" si="8"/>
        <v>公共配套设施</v>
      </c>
      <c r="R23" s="701" t="s">
        <v>14</v>
      </c>
      <c r="S23" s="702">
        <f>F23</f>
        <v>100</v>
      </c>
      <c r="T23" s="701" t="s">
        <v>14</v>
      </c>
      <c r="U23" s="702">
        <f>H23</f>
        <v>100</v>
      </c>
      <c r="V23" s="701" t="s">
        <v>14</v>
      </c>
      <c r="W23" s="702">
        <f>J23</f>
        <v>100</v>
      </c>
      <c r="X23" s="703"/>
      <c r="Y23" s="369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7"/>
      <c r="Q24" s="1342"/>
      <c r="R24" s="701"/>
      <c r="S24" s="702"/>
      <c r="T24" s="701"/>
      <c r="U24" s="702"/>
      <c r="V24" s="701"/>
      <c r="W24" s="702"/>
      <c r="X24" s="703"/>
      <c r="Y24" s="3697"/>
      <c r="Z24" s="52"/>
      <c r="AA24" s="704">
        <v>1</v>
      </c>
      <c r="AB24" s="704">
        <v>1</v>
      </c>
      <c r="AC24" s="704">
        <v>1</v>
      </c>
    </row>
    <row r="25" spans="1:29" s="108" customFormat="1" ht="28.5">
      <c r="A25" s="597"/>
      <c r="B25" s="581" t="s">
        <v>1775</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7"/>
      <c r="Q25" s="1342"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7"/>
      <c r="Q26" s="1342"/>
      <c r="R26" s="701"/>
      <c r="S26" s="702"/>
      <c r="T26" s="701"/>
      <c r="U26" s="702"/>
      <c r="V26" s="701"/>
      <c r="W26" s="702"/>
      <c r="X26" s="703"/>
      <c r="Y26" s="3697"/>
      <c r="Z26" s="52"/>
      <c r="AA26" s="704">
        <v>1</v>
      </c>
      <c r="AB26" s="704">
        <v>1</v>
      </c>
      <c r="AC26" s="704">
        <v>1</v>
      </c>
    </row>
    <row r="27" spans="1:29" ht="15">
      <c r="A27" s="379"/>
      <c r="B27" s="580" t="s">
        <v>1776</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7"/>
      <c r="Z27" s="1355" t="str">
        <f t="shared" ref="Z27:Z40" si="13">Q27</f>
        <v>临街状况</v>
      </c>
      <c r="AA27" s="1352">
        <f t="shared" si="3"/>
        <v>1</v>
      </c>
      <c r="AB27" s="1352">
        <f t="shared" si="4"/>
        <v>1</v>
      </c>
      <c r="AC27" s="1352">
        <f t="shared" si="5"/>
        <v>1</v>
      </c>
    </row>
    <row r="28" spans="1:29" ht="27">
      <c r="A28" s="379"/>
      <c r="B28" s="581" t="s">
        <v>1811</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7"/>
      <c r="Q28" s="1351" t="str">
        <f t="shared" si="8"/>
        <v>毗邻道路的类型与等级</v>
      </c>
      <c r="R28" s="705" t="s">
        <v>14</v>
      </c>
      <c r="S28" s="706">
        <f t="shared" si="10"/>
        <v>100</v>
      </c>
      <c r="T28" s="705" t="s">
        <v>14</v>
      </c>
      <c r="U28" s="706">
        <f t="shared" si="11"/>
        <v>100</v>
      </c>
      <c r="V28" s="705" t="s">
        <v>14</v>
      </c>
      <c r="W28" s="706">
        <f t="shared" si="12"/>
        <v>100</v>
      </c>
      <c r="X28" s="1354"/>
      <c r="Y28" s="369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7"/>
      <c r="Q29" s="1351"/>
      <c r="R29" s="705"/>
      <c r="S29" s="706"/>
      <c r="T29" s="705"/>
      <c r="U29" s="706"/>
      <c r="V29" s="705"/>
      <c r="W29" s="706"/>
      <c r="X29" s="1354"/>
      <c r="Y29" s="3697"/>
      <c r="Z29" s="1355"/>
      <c r="AA29" s="1352">
        <v>1</v>
      </c>
      <c r="AB29" s="1352">
        <v>1</v>
      </c>
      <c r="AC29" s="1352">
        <v>1</v>
      </c>
    </row>
    <row r="30" spans="1:29" ht="15">
      <c r="A30" s="379"/>
      <c r="B30" s="602" t="s">
        <v>1868</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7"/>
      <c r="Q30" s="1351" t="str">
        <f t="shared" si="8"/>
        <v>土地级别</v>
      </c>
      <c r="R30" s="705" t="s">
        <v>14</v>
      </c>
      <c r="S30" s="706">
        <f t="shared" si="10"/>
        <v>100</v>
      </c>
      <c r="T30" s="705" t="s">
        <v>14</v>
      </c>
      <c r="U30" s="706">
        <f t="shared" si="11"/>
        <v>100</v>
      </c>
      <c r="V30" s="705" t="s">
        <v>14</v>
      </c>
      <c r="W30" s="706">
        <f t="shared" si="12"/>
        <v>100</v>
      </c>
      <c r="X30" s="1354"/>
      <c r="Y30" s="369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7"/>
      <c r="Q31" s="1351">
        <f t="shared" si="8"/>
        <v>111</v>
      </c>
      <c r="R31" s="705" t="s">
        <v>14</v>
      </c>
      <c r="S31" s="706">
        <f t="shared" si="10"/>
        <v>100</v>
      </c>
      <c r="T31" s="705" t="s">
        <v>14</v>
      </c>
      <c r="U31" s="706">
        <f t="shared" si="11"/>
        <v>100</v>
      </c>
      <c r="V31" s="705" t="s">
        <v>14</v>
      </c>
      <c r="W31" s="706">
        <f t="shared" si="12"/>
        <v>100</v>
      </c>
      <c r="X31" s="1354"/>
      <c r="Y31" s="369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98" t="s">
        <v>1692</v>
      </c>
      <c r="Q32" s="1351">
        <f t="shared" si="8"/>
        <v>111</v>
      </c>
      <c r="R32" s="705" t="s">
        <v>14</v>
      </c>
      <c r="S32" s="706">
        <f t="shared" si="10"/>
        <v>100</v>
      </c>
      <c r="T32" s="705" t="s">
        <v>14</v>
      </c>
      <c r="U32" s="706">
        <f t="shared" si="11"/>
        <v>100</v>
      </c>
      <c r="V32" s="705" t="s">
        <v>14</v>
      </c>
      <c r="W32" s="706">
        <f t="shared" si="12"/>
        <v>100</v>
      </c>
      <c r="X32" s="1354"/>
      <c r="Y32" s="3699" t="s">
        <v>1692</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9"/>
      <c r="Q33" s="1351">
        <f t="shared" si="8"/>
        <v>111</v>
      </c>
      <c r="R33" s="708" t="s">
        <v>14</v>
      </c>
      <c r="S33" s="709">
        <f t="shared" si="10"/>
        <v>100</v>
      </c>
      <c r="T33" s="708" t="s">
        <v>14</v>
      </c>
      <c r="U33" s="709">
        <f t="shared" si="11"/>
        <v>100</v>
      </c>
      <c r="V33" s="708" t="s">
        <v>14</v>
      </c>
      <c r="W33" s="709">
        <f t="shared" si="12"/>
        <v>100</v>
      </c>
      <c r="X33" s="710"/>
      <c r="Y33" s="3699"/>
      <c r="Z33" s="711">
        <f t="shared" si="13"/>
        <v>111</v>
      </c>
      <c r="AA33" s="1352">
        <f t="shared" si="3"/>
        <v>1</v>
      </c>
      <c r="AB33" s="1352">
        <f t="shared" si="4"/>
        <v>1</v>
      </c>
      <c r="AC33" s="1352">
        <f t="shared" si="5"/>
        <v>1</v>
      </c>
    </row>
    <row r="34" spans="1:31" ht="15">
      <c r="A34" s="391" t="s">
        <v>1690</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9"/>
      <c r="Q34" s="1351" t="str">
        <f>B34</f>
        <v>宗地面积</v>
      </c>
      <c r="R34" s="705" t="s">
        <v>14</v>
      </c>
      <c r="S34" s="706" t="e">
        <f t="shared" si="10"/>
        <v>#N/A</v>
      </c>
      <c r="T34" s="705" t="s">
        <v>14</v>
      </c>
      <c r="U34" s="706" t="e">
        <f t="shared" si="11"/>
        <v>#N/A</v>
      </c>
      <c r="V34" s="705" t="s">
        <v>14</v>
      </c>
      <c r="W34" s="706" t="e">
        <f t="shared" si="12"/>
        <v>#N/A</v>
      </c>
      <c r="X34" s="1354"/>
      <c r="Y34" s="3699"/>
      <c r="Z34" s="1355" t="str">
        <f t="shared" si="13"/>
        <v>宗地面积</v>
      </c>
      <c r="AA34" s="1352" t="e">
        <f t="shared" si="3"/>
        <v>#N/A</v>
      </c>
      <c r="AB34" s="1352" t="e">
        <f t="shared" si="4"/>
        <v>#N/A</v>
      </c>
      <c r="AC34" s="1352" t="e">
        <f t="shared" si="5"/>
        <v>#N/A</v>
      </c>
    </row>
    <row r="35" spans="1:31" ht="15">
      <c r="A35" s="423"/>
      <c r="B35" s="375" t="s">
        <v>1870</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9"/>
      <c r="Q35" s="1351" t="str">
        <f t="shared" ref="Q35:Q40" si="14">B35</f>
        <v>宗地形状</v>
      </c>
      <c r="R35" s="705" t="s">
        <v>14</v>
      </c>
      <c r="S35" s="706">
        <f t="shared" si="10"/>
        <v>100</v>
      </c>
      <c r="T35" s="705" t="s">
        <v>14</v>
      </c>
      <c r="U35" s="706">
        <f t="shared" si="11"/>
        <v>100</v>
      </c>
      <c r="V35" s="705" t="s">
        <v>14</v>
      </c>
      <c r="W35" s="706">
        <f t="shared" si="12"/>
        <v>100</v>
      </c>
      <c r="X35" s="1354"/>
      <c r="Y35" s="3699"/>
      <c r="Z35" s="1355" t="str">
        <f t="shared" si="13"/>
        <v>宗地形状</v>
      </c>
      <c r="AA35" s="1352">
        <f t="shared" si="3"/>
        <v>1</v>
      </c>
      <c r="AB35" s="1352">
        <f t="shared" si="4"/>
        <v>1</v>
      </c>
      <c r="AC35" s="1352">
        <f t="shared" si="5"/>
        <v>1</v>
      </c>
    </row>
    <row r="36" spans="1:31" s="108" customFormat="1" ht="15">
      <c r="A36" s="424"/>
      <c r="B36" s="375" t="s">
        <v>1872</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9"/>
      <c r="Q36" s="1351"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1873</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9" t="s">
        <v>1692</v>
      </c>
      <c r="Q37" s="1351" t="str">
        <f t="shared" si="14"/>
        <v>工程地质条件</v>
      </c>
      <c r="R37" s="705" t="s">
        <v>14</v>
      </c>
      <c r="S37" s="706">
        <f t="shared" si="10"/>
        <v>100</v>
      </c>
      <c r="T37" s="705" t="s">
        <v>14</v>
      </c>
      <c r="U37" s="706">
        <f t="shared" si="11"/>
        <v>100</v>
      </c>
      <c r="V37" s="705" t="s">
        <v>14</v>
      </c>
      <c r="W37" s="706">
        <f t="shared" si="12"/>
        <v>100</v>
      </c>
      <c r="X37" s="1354"/>
      <c r="Y37" s="3699" t="s">
        <v>1692</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9"/>
      <c r="Q38" s="1351">
        <f t="shared" si="14"/>
        <v>111</v>
      </c>
      <c r="R38" s="705" t="s">
        <v>14</v>
      </c>
      <c r="S38" s="706">
        <f t="shared" si="10"/>
        <v>100</v>
      </c>
      <c r="T38" s="705" t="s">
        <v>14</v>
      </c>
      <c r="U38" s="706">
        <f t="shared" si="11"/>
        <v>100</v>
      </c>
      <c r="V38" s="705" t="s">
        <v>14</v>
      </c>
      <c r="W38" s="706">
        <f t="shared" si="12"/>
        <v>100</v>
      </c>
      <c r="X38" s="1354"/>
      <c r="Y38" s="369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9"/>
      <c r="Q39" s="1351">
        <f t="shared" si="14"/>
        <v>111</v>
      </c>
      <c r="R39" s="705" t="s">
        <v>14</v>
      </c>
      <c r="S39" s="706">
        <f t="shared" si="10"/>
        <v>100</v>
      </c>
      <c r="T39" s="705" t="s">
        <v>14</v>
      </c>
      <c r="U39" s="706">
        <f t="shared" si="11"/>
        <v>100</v>
      </c>
      <c r="V39" s="705" t="s">
        <v>14</v>
      </c>
      <c r="W39" s="706">
        <f t="shared" si="12"/>
        <v>100</v>
      </c>
      <c r="X39" s="1354"/>
      <c r="Y39" s="3699"/>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9"/>
      <c r="Q40" s="1351">
        <f t="shared" si="14"/>
        <v>111</v>
      </c>
      <c r="R40" s="708" t="s">
        <v>14</v>
      </c>
      <c r="S40" s="709">
        <f t="shared" si="10"/>
        <v>100</v>
      </c>
      <c r="T40" s="708" t="s">
        <v>14</v>
      </c>
      <c r="U40" s="709">
        <f t="shared" si="11"/>
        <v>100</v>
      </c>
      <c r="V40" s="708" t="s">
        <v>14</v>
      </c>
      <c r="W40" s="709">
        <f t="shared" si="12"/>
        <v>100</v>
      </c>
      <c r="X40" s="710"/>
      <c r="Y40" s="3699"/>
      <c r="Z40" s="711">
        <f t="shared" si="13"/>
        <v>111</v>
      </c>
      <c r="AA40" s="1352">
        <f t="shared" si="3"/>
        <v>1</v>
      </c>
      <c r="AB40" s="1352">
        <f t="shared" si="4"/>
        <v>1</v>
      </c>
      <c r="AC40" s="1352">
        <f t="shared" si="5"/>
        <v>1</v>
      </c>
    </row>
    <row r="41" spans="1:31" ht="15">
      <c r="A41" s="430" t="s">
        <v>1840</v>
      </c>
      <c r="B41" s="1981" t="s">
        <v>1916</v>
      </c>
      <c r="C41" s="630" t="s">
        <v>0</v>
      </c>
      <c r="D41" s="432"/>
      <c r="E41" s="433"/>
      <c r="F41" s="434"/>
      <c r="G41" s="435"/>
      <c r="H41" s="436"/>
      <c r="I41" s="433"/>
      <c r="J41" s="436"/>
      <c r="K41" s="714"/>
      <c r="L41" s="2723"/>
      <c r="M41" s="2715"/>
      <c r="N41" s="2715"/>
      <c r="O41" s="2724"/>
      <c r="P41" s="3681" t="str">
        <f>A41</f>
        <v>成交单价</v>
      </c>
      <c r="Q41" s="3681"/>
      <c r="R41" s="3694">
        <f>E41</f>
        <v>0</v>
      </c>
      <c r="S41" s="3694"/>
      <c r="T41" s="3694">
        <f>G41</f>
        <v>0</v>
      </c>
      <c r="U41" s="3694"/>
      <c r="V41" s="3694">
        <f>I41</f>
        <v>0</v>
      </c>
      <c r="W41" s="3694"/>
      <c r="X41" s="690"/>
      <c r="Y41" s="712"/>
      <c r="Z41" s="690"/>
      <c r="AA41" s="690"/>
      <c r="AB41" s="690"/>
      <c r="AC41" s="690"/>
    </row>
    <row r="42" spans="1:31" ht="15.75" thickBot="1">
      <c r="A42" s="437" t="s">
        <v>1789</v>
      </c>
      <c r="B42" s="631"/>
      <c r="C42" s="440" t="e">
        <f>R43</f>
        <v>#DIV/0!</v>
      </c>
      <c r="D42" s="2316" t="s">
        <v>2132</v>
      </c>
      <c r="E42" s="440" t="e">
        <f>R42</f>
        <v>#DIV/0!</v>
      </c>
      <c r="F42" s="2317"/>
      <c r="G42" s="439" t="e">
        <f>T42</f>
        <v>#DIV/0!</v>
      </c>
      <c r="H42" s="2317"/>
      <c r="I42" s="440" t="e">
        <f>V42</f>
        <v>#DIV/0!</v>
      </c>
      <c r="J42" s="2317"/>
      <c r="K42" s="2319">
        <f>F42+H42+J42</f>
        <v>0</v>
      </c>
      <c r="L42" s="2723"/>
      <c r="M42" s="2715"/>
      <c r="N42" s="2715"/>
      <c r="O42" s="2724"/>
      <c r="P42" s="3681" t="str">
        <f>A42</f>
        <v>比较价值（元/平方米）</v>
      </c>
      <c r="Q42" s="3681"/>
      <c r="R42" s="3700" t="e">
        <f>ROUND(PRODUCT(R41,AA7:AA40),0)</f>
        <v>#DIV/0!</v>
      </c>
      <c r="S42" s="3700"/>
      <c r="T42" s="3700" t="e">
        <f>ROUND(PRODUCT(T41,AB7:AB40),0)</f>
        <v>#DIV/0!</v>
      </c>
      <c r="U42" s="3700"/>
      <c r="V42" s="3700" t="e">
        <f>ROUND(PRODUCT(V41,AC7:AC40),0)</f>
        <v>#DIV/0!</v>
      </c>
      <c r="W42" s="3700"/>
      <c r="X42" s="690"/>
      <c r="Y42" s="690"/>
      <c r="Z42" s="690"/>
      <c r="AA42" s="690"/>
      <c r="AB42" s="690"/>
      <c r="AC42" s="690"/>
    </row>
    <row r="43" spans="1:31" ht="15.75" thickBot="1">
      <c r="A43" s="441" t="s">
        <v>1790</v>
      </c>
      <c r="B43" s="442"/>
      <c r="C43" s="443" t="e">
        <f>R43</f>
        <v>#DIV/0!</v>
      </c>
      <c r="D43" s="443"/>
      <c r="E43" s="443"/>
      <c r="F43" s="443"/>
      <c r="G43" s="443"/>
      <c r="H43" s="443"/>
      <c r="I43" s="443"/>
      <c r="J43" s="443"/>
      <c r="K43" s="715"/>
      <c r="L43" s="2723"/>
      <c r="M43" s="2715"/>
      <c r="N43" s="2715"/>
      <c r="O43" s="2724"/>
      <c r="P43" s="3701" t="str">
        <f>A43</f>
        <v>估价对象XX用房的比较价值（楼面单价，元/平方米）</v>
      </c>
      <c r="Q43" s="3702"/>
      <c r="R43" s="3703" t="e">
        <f>ROUND(IF(D42="简单平均",AVERAGE(R42:W42),R42*F42+T42*H42+V42*J42),0)</f>
        <v>#DIV/0!</v>
      </c>
      <c r="S43" s="3703"/>
      <c r="T43" s="3703"/>
      <c r="U43" s="3703"/>
      <c r="V43" s="3703"/>
      <c r="W43" s="370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1876</v>
      </c>
      <c r="B50" s="633" t="s">
        <v>1877</v>
      </c>
      <c r="C50" s="1982" t="s">
        <v>1878</v>
      </c>
      <c r="D50" s="1983" t="s">
        <v>1879</v>
      </c>
      <c r="E50" s="634" t="s">
        <v>1880</v>
      </c>
      <c r="F50" s="635" t="s">
        <v>1881</v>
      </c>
      <c r="G50" s="3682" t="s">
        <v>1882</v>
      </c>
      <c r="H50" s="3704"/>
      <c r="I50" s="1355" t="s">
        <v>1917</v>
      </c>
      <c r="J50" s="1355">
        <f>项目基本情况!F35</f>
        <v>0</v>
      </c>
      <c r="K50" s="1985" t="s">
        <v>1884</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1885</v>
      </c>
      <c r="B51" s="637" t="e">
        <f>C43</f>
        <v>#DIV/0!</v>
      </c>
      <c r="C51" s="638">
        <v>1</v>
      </c>
      <c r="D51" s="944">
        <v>1</v>
      </c>
      <c r="E51" s="638">
        <f>'数据-汇总表'!E8+'数据-汇总表'!E9</f>
        <v>4704.8599999999997</v>
      </c>
      <c r="F51" s="639" t="e">
        <f t="shared" ref="F51:F60" si="15">ROUND(B51*E51/10000,0)</f>
        <v>#DIV/0!</v>
      </c>
      <c r="G51" s="3705"/>
      <c r="H51" s="368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1886</v>
      </c>
      <c r="B52" s="218" t="e">
        <f>ROUND($C$43*C52*D52,0)</f>
        <v>#DIV/0!</v>
      </c>
      <c r="C52" s="171">
        <f t="shared" ref="C52:C60" si="16">IF($C$50="北京市系数",I52,J52)</f>
        <v>0.6</v>
      </c>
      <c r="D52" s="945">
        <v>0.25</v>
      </c>
      <c r="E52" s="642"/>
      <c r="F52" s="639" t="e">
        <f t="shared" si="15"/>
        <v>#DIV/0!</v>
      </c>
      <c r="G52" s="3005" t="s">
        <v>1887</v>
      </c>
      <c r="H52" s="887" t="str">
        <f>项目基本情况!B37</f>
        <v>六级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1888</v>
      </c>
      <c r="B53" s="218" t="e">
        <f t="shared" ref="B53:B60" si="17">ROUND($C$43*C53*D53,0)</f>
        <v>#DIV/0!</v>
      </c>
      <c r="C53" s="171">
        <f t="shared" si="16"/>
        <v>0.3</v>
      </c>
      <c r="D53" s="945">
        <v>0.25</v>
      </c>
      <c r="E53" s="642"/>
      <c r="F53" s="639" t="e">
        <f t="shared" si="15"/>
        <v>#DIV/0!</v>
      </c>
      <c r="G53" s="3006"/>
      <c r="H53" s="887" t="str">
        <f>项目基本情况!B37</f>
        <v>六级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1889</v>
      </c>
      <c r="B54" s="218" t="e">
        <f t="shared" si="17"/>
        <v>#DIV/0!</v>
      </c>
      <c r="C54" s="171">
        <f t="shared" si="16"/>
        <v>0.25</v>
      </c>
      <c r="D54" s="945">
        <v>0.25</v>
      </c>
      <c r="E54" s="642"/>
      <c r="F54" s="639" t="e">
        <f t="shared" si="15"/>
        <v>#DIV/0!</v>
      </c>
      <c r="G54" s="3006"/>
      <c r="H54" s="887" t="str">
        <f>项目基本情况!B37</f>
        <v>六级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1890</v>
      </c>
      <c r="B56" s="218" t="e">
        <f t="shared" si="17"/>
        <v>#DIV/0!</v>
      </c>
      <c r="C56" s="171">
        <f t="shared" si="16"/>
        <v>0</v>
      </c>
      <c r="D56" s="945">
        <v>0.25</v>
      </c>
      <c r="E56" s="217">
        <f>'数据-汇总表'!E11</f>
        <v>0</v>
      </c>
      <c r="F56" s="639" t="e">
        <f t="shared" si="15"/>
        <v>#DIV/0!</v>
      </c>
      <c r="G56" s="1986" t="s">
        <v>1891</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1892</v>
      </c>
      <c r="B57" s="218" t="e">
        <f t="shared" si="17"/>
        <v>#DIV/0!</v>
      </c>
      <c r="C57" s="171">
        <f t="shared" si="16"/>
        <v>0</v>
      </c>
      <c r="D57" s="945">
        <v>0.25</v>
      </c>
      <c r="E57" s="217">
        <f>'数据-汇总表'!E12</f>
        <v>0</v>
      </c>
      <c r="F57" s="639" t="e">
        <f t="shared" si="15"/>
        <v>#DIV/0!</v>
      </c>
      <c r="G57" s="892" t="s">
        <v>1893</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1894</v>
      </c>
      <c r="B58" s="218" t="e">
        <f t="shared" si="17"/>
        <v>#DIV/0!</v>
      </c>
      <c r="C58" s="171">
        <f t="shared" si="16"/>
        <v>0</v>
      </c>
      <c r="D58" s="945">
        <v>0.25</v>
      </c>
      <c r="E58" s="217">
        <f>'数据-汇总表'!E13</f>
        <v>0</v>
      </c>
      <c r="F58" s="639" t="e">
        <f t="shared" si="15"/>
        <v>#DIV/0!</v>
      </c>
      <c r="G58" s="892" t="s">
        <v>1895</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1896</v>
      </c>
      <c r="B59" s="218" t="e">
        <f t="shared" si="17"/>
        <v>#DIV/0!</v>
      </c>
      <c r="C59" s="171">
        <f t="shared" si="16"/>
        <v>0.15</v>
      </c>
      <c r="D59" s="945">
        <v>0.25</v>
      </c>
      <c r="E59" s="217">
        <f>'数据-汇总表'!E14</f>
        <v>0</v>
      </c>
      <c r="F59" s="639" t="e">
        <f t="shared" si="15"/>
        <v>#DIV/0!</v>
      </c>
      <c r="G59" s="1986" t="s">
        <v>1887</v>
      </c>
      <c r="H59" s="887" t="str">
        <f>项目基本情况!B37</f>
        <v>六级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1897</v>
      </c>
      <c r="B60" s="218" t="e">
        <f t="shared" si="17"/>
        <v>#DIV/0!</v>
      </c>
      <c r="C60" s="171">
        <f t="shared" si="16"/>
        <v>0</v>
      </c>
      <c r="D60" s="945">
        <v>0.25</v>
      </c>
      <c r="E60" s="217">
        <f>'数据-汇总表'!E15</f>
        <v>0</v>
      </c>
      <c r="F60" s="639" t="e">
        <f t="shared" si="15"/>
        <v>#DIV/0!</v>
      </c>
      <c r="G60" s="1987" t="s">
        <v>1891</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1898</v>
      </c>
      <c r="B61" s="644" t="s">
        <v>22</v>
      </c>
      <c r="C61" s="644" t="s">
        <v>23</v>
      </c>
      <c r="D61" s="644" t="s">
        <v>392</v>
      </c>
      <c r="E61" s="644">
        <f>IF(B41="楼面地价",SUM(E51:E60),'数据-汇总表'!D3)</f>
        <v>2957.47</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4"/>
      <c r="Q63" s="2724"/>
      <c r="R63" s="2724"/>
      <c r="S63" s="2724"/>
      <c r="T63" s="2724"/>
      <c r="U63" s="2724"/>
      <c r="V63" s="2724"/>
      <c r="W63" s="2724"/>
      <c r="X63" s="2724"/>
      <c r="Y63" s="2724"/>
      <c r="Z63" s="2724"/>
      <c r="AA63" s="2724"/>
      <c r="AB63" s="2724"/>
      <c r="AC63" s="2724"/>
      <c r="AD63" s="2724"/>
      <c r="AE63" s="2724"/>
    </row>
    <row r="64" spans="1:31" ht="21.75" thickBot="1">
      <c r="A64" s="694" t="s">
        <v>1794</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1899</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1918</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1712</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1677</v>
      </c>
      <c r="B68" s="459"/>
      <c r="C68" s="471" t="s">
        <v>1772</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1715</v>
      </c>
      <c r="B70" s="477" t="s">
        <v>1681</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1684</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1685</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1686</v>
      </c>
      <c r="B83" s="477" t="s">
        <v>1825</v>
      </c>
      <c r="C83" s="522" t="s">
        <v>1717</v>
      </c>
      <c r="D83" s="522" t="s">
        <v>1718</v>
      </c>
      <c r="E83" s="522" t="s">
        <v>1719</v>
      </c>
      <c r="F83" s="522" t="s">
        <v>1720</v>
      </c>
      <c r="G83" s="522" t="s">
        <v>1721</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1722</v>
      </c>
      <c r="C85" s="527" t="s">
        <v>1717</v>
      </c>
      <c r="D85" s="527" t="s">
        <v>1718</v>
      </c>
      <c r="E85" s="527" t="s">
        <v>1719</v>
      </c>
      <c r="F85" s="527" t="s">
        <v>1720</v>
      </c>
      <c r="G85" s="527" t="s">
        <v>1721</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1901</v>
      </c>
      <c r="C87" s="522" t="s">
        <v>1717</v>
      </c>
      <c r="D87" s="522" t="s">
        <v>1718</v>
      </c>
      <c r="E87" s="522" t="s">
        <v>1719</v>
      </c>
      <c r="F87" s="522" t="s">
        <v>1720</v>
      </c>
      <c r="G87" s="522" t="s">
        <v>1721</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1902</v>
      </c>
      <c r="C89" s="522" t="s">
        <v>1717</v>
      </c>
      <c r="D89" s="522" t="s">
        <v>1718</v>
      </c>
      <c r="E89" s="522" t="s">
        <v>1719</v>
      </c>
      <c r="F89" s="522" t="s">
        <v>1720</v>
      </c>
      <c r="G89" s="522" t="s">
        <v>1721</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1774</v>
      </c>
      <c r="C91" s="522" t="s">
        <v>1717</v>
      </c>
      <c r="D91" s="522" t="s">
        <v>1718</v>
      </c>
      <c r="E91" s="522" t="s">
        <v>1719</v>
      </c>
      <c r="F91" s="522" t="s">
        <v>1720</v>
      </c>
      <c r="G91" s="522" t="s">
        <v>1721</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1919</v>
      </c>
      <c r="C93" s="608" t="s">
        <v>1795</v>
      </c>
      <c r="D93" s="608" t="s">
        <v>1796</v>
      </c>
      <c r="E93" s="608" t="s">
        <v>1797</v>
      </c>
      <c r="F93" s="608" t="s">
        <v>1798</v>
      </c>
      <c r="G93" s="608" t="s">
        <v>1799</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1903</v>
      </c>
      <c r="D95" s="488" t="s">
        <v>1904</v>
      </c>
      <c r="E95" s="488" t="s">
        <v>1905</v>
      </c>
      <c r="F95" s="488" t="s">
        <v>1906</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1811</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1868</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1690</v>
      </c>
      <c r="B107" s="477" t="s">
        <v>1907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1908</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1910</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1911</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2077</v>
      </c>
      <c r="C1" s="3784" t="s">
        <v>2078</v>
      </c>
      <c r="D1" s="3785"/>
      <c r="E1" s="3785"/>
      <c r="F1" s="3785"/>
      <c r="G1" s="3785"/>
      <c r="H1" s="3785"/>
      <c r="I1" s="3785"/>
      <c r="J1" s="3785"/>
      <c r="K1" s="3785"/>
      <c r="L1" s="3785"/>
      <c r="M1" s="3785"/>
      <c r="N1" s="3785"/>
      <c r="O1" s="3785"/>
      <c r="P1" s="3785"/>
      <c r="Q1" s="3785"/>
      <c r="R1" s="3785"/>
      <c r="S1" s="3786"/>
      <c r="T1" s="983" t="s">
        <v>2079</v>
      </c>
    </row>
    <row r="2" spans="1:45" s="655" customFormat="1">
      <c r="A2" s="984"/>
      <c r="B2" s="651" t="s">
        <v>2080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2081</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2082</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2083</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2087</v>
      </c>
      <c r="B17" s="2148" t="s">
        <v>2088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2089</v>
      </c>
      <c r="E19" s="1339"/>
      <c r="F19" s="1339"/>
      <c r="G19" s="1339"/>
      <c r="H19" s="1059"/>
      <c r="I19" s="159"/>
      <c r="J19" s="159"/>
      <c r="K19" s="159"/>
      <c r="L19" s="159"/>
      <c r="M19" s="159"/>
      <c r="N19" s="159"/>
      <c r="O19" s="159"/>
      <c r="P19" s="159"/>
      <c r="Q19" s="159"/>
      <c r="R19" s="718"/>
      <c r="S19" s="129"/>
    </row>
    <row r="20" spans="1:45" ht="16.5" thickBot="1">
      <c r="A20" s="662" t="s">
        <v>2090</v>
      </c>
      <c r="B20" s="294" t="e">
        <f ca="1">IF(D20="——",S22,S22-F20)</f>
        <v>#REF!</v>
      </c>
      <c r="C20" s="159"/>
      <c r="D20" s="2150"/>
      <c r="E20" s="1340"/>
      <c r="F20" s="983" t="e">
        <f ca="1">SUMIF(INDIRECT("'"&amp;H20&amp;"'"&amp;"!A:A"),"承租人权益价值",INDIRECT("'"&amp;H20&amp;"'"&amp;"!c:c"))</f>
        <v>#REF!</v>
      </c>
      <c r="G20" s="983" t="s">
        <v>2091</v>
      </c>
      <c r="H20" s="2151"/>
      <c r="I20" s="159"/>
      <c r="J20" s="159"/>
      <c r="K20" s="159"/>
      <c r="L20" s="159"/>
      <c r="M20" s="159"/>
      <c r="N20" s="159"/>
      <c r="O20" s="159"/>
      <c r="P20" s="159"/>
      <c r="Q20" s="159"/>
      <c r="R20" s="718"/>
      <c r="S20" s="129"/>
    </row>
    <row r="21" spans="1:45" ht="15.75">
      <c r="A21" s="662" t="s">
        <v>2092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2093</v>
      </c>
      <c r="B22" s="21">
        <f>SUM(B24:B10000)</f>
        <v>0</v>
      </c>
      <c r="C22" s="3781" t="s">
        <v>27</v>
      </c>
      <c r="D22" s="3782"/>
      <c r="E22" s="3782"/>
      <c r="F22" s="3782"/>
      <c r="G22" s="3782"/>
      <c r="H22" s="3782"/>
      <c r="I22" s="3782"/>
      <c r="J22" s="3782"/>
      <c r="K22" s="3782"/>
      <c r="L22" s="3782"/>
      <c r="M22" s="3782"/>
      <c r="N22" s="3782"/>
      <c r="O22" s="3782"/>
      <c r="P22" s="3782"/>
      <c r="Q22" s="3783"/>
      <c r="R22" s="663"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664" t="s">
        <v>2097</v>
      </c>
      <c r="S23" s="8" t="s">
        <v>2098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2099</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2075</v>
      </c>
      <c r="B1" s="2146"/>
      <c r="C1" s="2146"/>
      <c r="D1" s="2146"/>
      <c r="E1" s="2146"/>
      <c r="F1" s="2792"/>
      <c r="G1" s="2792"/>
      <c r="H1" s="2792"/>
      <c r="I1" s="2792"/>
      <c r="J1" s="2792"/>
      <c r="K1" s="2792"/>
      <c r="L1" s="2792"/>
      <c r="M1" s="2792"/>
      <c r="N1" s="2792"/>
      <c r="O1" s="2792"/>
      <c r="P1" s="2792"/>
    </row>
    <row r="2" spans="1:16" ht="15.75">
      <c r="A2" s="2144" t="s">
        <v>2067</v>
      </c>
      <c r="B2" s="2601">
        <f ca="1">SUMIF(B6:B13,"&lt;&gt;#ref!",B6:B13)</f>
        <v>5734</v>
      </c>
      <c r="C2" s="2144" t="s">
        <v>2068</v>
      </c>
      <c r="D2" s="2144" t="s">
        <v>2069</v>
      </c>
      <c r="E2" s="2611">
        <f ca="1">SUMIF(E6:E13,"&lt;&gt;#ref!",E6:E13)</f>
        <v>0</v>
      </c>
      <c r="F2" s="2792"/>
      <c r="G2" s="2792"/>
      <c r="H2" s="2792"/>
      <c r="I2" s="2792"/>
      <c r="J2" s="2792"/>
      <c r="K2" s="2792"/>
      <c r="L2" s="2792"/>
      <c r="M2" s="2792"/>
      <c r="N2" s="2792"/>
      <c r="O2" s="2792"/>
      <c r="P2" s="2792"/>
    </row>
    <row r="3" spans="1:16" ht="15.75">
      <c r="A3" s="2144" t="s">
        <v>2070</v>
      </c>
      <c r="B3" s="2601" t="e">
        <f ca="1">ROUND(B2*10000/E2,0)</f>
        <v>#DIV/0!</v>
      </c>
      <c r="C3" s="2144" t="s">
        <v>2076</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2071</v>
      </c>
      <c r="B5" s="2609" t="s">
        <v>2072</v>
      </c>
      <c r="C5" s="2145"/>
      <c r="D5" s="2792"/>
      <c r="E5" s="2610" t="s">
        <v>2073</v>
      </c>
      <c r="F5" s="2792"/>
      <c r="G5" s="2792"/>
      <c r="H5" s="2792"/>
      <c r="I5" s="2792"/>
      <c r="J5" s="2792"/>
      <c r="K5" s="2792"/>
      <c r="L5" s="2792"/>
      <c r="M5" s="2792"/>
      <c r="N5" s="2792"/>
      <c r="O5" s="2792"/>
      <c r="P5" s="2792"/>
    </row>
    <row r="6" spans="1:16" ht="15.75">
      <c r="A6" s="2608" t="s">
        <v>2074</v>
      </c>
      <c r="B6" s="2601">
        <f ca="1">SUMIF(INDIRECT("'"&amp;A6&amp;"'"&amp;"!A:A"),"总价",INDIRECT("'"&amp;A6&amp;"'"&amp;"!B:B"))</f>
        <v>5734</v>
      </c>
      <c r="C6" s="2144" t="s">
        <v>2068</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2068</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2068</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2068</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2068</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2068</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2068</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2068</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3" zoomScale="90" zoomScaleNormal="90" workbookViewId="0">
      <selection activeCell="F25" sqref="C20:F25"/>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794" t="s">
        <v>2605</v>
      </c>
      <c r="B20" s="3787" t="s">
        <v>2626</v>
      </c>
      <c r="C20" s="3102" t="s">
        <v>2437</v>
      </c>
      <c r="D20" s="3103"/>
      <c r="E20" s="3104">
        <v>1</v>
      </c>
      <c r="F20" s="3105" t="s">
        <v>2438</v>
      </c>
      <c r="G20" s="3105"/>
    </row>
    <row r="21" spans="1:13" ht="19.5" customHeight="1">
      <c r="A21" s="3795"/>
      <c r="B21" s="3788"/>
      <c r="C21" s="3106" t="s">
        <v>2439</v>
      </c>
      <c r="D21" s="3107"/>
      <c r="E21" s="3108">
        <v>1</v>
      </c>
      <c r="F21" s="3105" t="s">
        <v>2440</v>
      </c>
      <c r="G21" s="3105"/>
    </row>
    <row r="22" spans="1:13" ht="19.5" customHeight="1">
      <c r="A22" s="3795"/>
      <c r="B22" s="3788"/>
      <c r="C22" s="3106" t="s">
        <v>2441</v>
      </c>
      <c r="D22" s="3107"/>
      <c r="E22" s="3108">
        <v>0.9</v>
      </c>
      <c r="F22" s="3105" t="s">
        <v>2442</v>
      </c>
      <c r="G22" s="3105"/>
    </row>
    <row r="23" spans="1:13" ht="19.5" customHeight="1">
      <c r="A23" s="3795"/>
      <c r="B23" s="3788"/>
      <c r="C23" s="3106" t="s">
        <v>2443</v>
      </c>
      <c r="D23" s="3107"/>
      <c r="E23" s="3108">
        <v>0.9</v>
      </c>
      <c r="F23" s="3105" t="s">
        <v>2444</v>
      </c>
      <c r="G23" s="3105"/>
    </row>
    <row r="24" spans="1:13" ht="19.5" customHeight="1">
      <c r="A24" s="3795"/>
      <c r="B24" s="3788"/>
      <c r="C24" s="3106" t="s">
        <v>2445</v>
      </c>
      <c r="D24" s="3107"/>
      <c r="E24" s="3108">
        <v>0.8</v>
      </c>
      <c r="F24" s="3105" t="s">
        <v>2446</v>
      </c>
      <c r="G24" s="3105"/>
    </row>
    <row r="25" spans="1:13" ht="19.5" customHeight="1" thickBot="1">
      <c r="A25" s="3796"/>
      <c r="B25" s="3789"/>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790" t="s">
        <v>2629</v>
      </c>
      <c r="B27" s="3787" t="s">
        <v>2610</v>
      </c>
      <c r="C27" s="3102" t="s">
        <v>2450</v>
      </c>
      <c r="D27" s="3103"/>
      <c r="E27" s="3104">
        <v>1</v>
      </c>
      <c r="F27" s="3105" t="s">
        <v>2451</v>
      </c>
      <c r="G27" s="3105"/>
    </row>
    <row r="28" spans="1:13" ht="19.5" customHeight="1">
      <c r="A28" s="3791"/>
      <c r="B28" s="3788"/>
      <c r="C28" s="3106" t="s">
        <v>2452</v>
      </c>
      <c r="D28" s="3107"/>
      <c r="E28" s="3108">
        <v>1</v>
      </c>
      <c r="F28" s="3105" t="s">
        <v>2453</v>
      </c>
      <c r="G28" s="3105"/>
    </row>
    <row r="29" spans="1:13" ht="19.5" customHeight="1">
      <c r="A29" s="3791"/>
      <c r="B29" s="3788"/>
      <c r="C29" s="3106" t="s">
        <v>2454</v>
      </c>
      <c r="D29" s="3107"/>
      <c r="E29" s="3108">
        <v>0.8</v>
      </c>
      <c r="F29" s="3105" t="s">
        <v>2455</v>
      </c>
      <c r="G29" s="3105"/>
    </row>
    <row r="30" spans="1:13" ht="19.5" customHeight="1">
      <c r="A30" s="3791"/>
      <c r="B30" s="3788"/>
      <c r="C30" s="3106" t="s">
        <v>2456</v>
      </c>
      <c r="D30" s="3107"/>
      <c r="E30" s="3108">
        <v>0.8</v>
      </c>
      <c r="F30" s="3105" t="s">
        <v>2457</v>
      </c>
      <c r="G30" s="3105"/>
    </row>
    <row r="31" spans="1:13" ht="19.5" customHeight="1">
      <c r="A31" s="3791"/>
      <c r="B31" s="3788"/>
      <c r="C31" s="3106" t="s">
        <v>2458</v>
      </c>
      <c r="D31" s="3107"/>
      <c r="E31" s="3108">
        <v>0.8</v>
      </c>
      <c r="F31" s="3105" t="s">
        <v>2459</v>
      </c>
      <c r="G31" s="3105"/>
    </row>
    <row r="32" spans="1:13" ht="19.5" customHeight="1">
      <c r="A32" s="3791"/>
      <c r="B32" s="3788"/>
      <c r="C32" s="3106" t="s">
        <v>2460</v>
      </c>
      <c r="D32" s="3107"/>
      <c r="E32" s="3108">
        <v>0.7</v>
      </c>
      <c r="F32" s="3105" t="s">
        <v>2461</v>
      </c>
      <c r="G32" s="3105"/>
    </row>
    <row r="33" spans="1:7" ht="19.5" customHeight="1">
      <c r="A33" s="3791"/>
      <c r="B33" s="3788"/>
      <c r="C33" s="3106" t="s">
        <v>2462</v>
      </c>
      <c r="D33" s="3107"/>
      <c r="E33" s="3108">
        <v>0.8</v>
      </c>
      <c r="F33" s="3105" t="s">
        <v>2463</v>
      </c>
      <c r="G33" s="3105"/>
    </row>
    <row r="34" spans="1:7" ht="19.5" customHeight="1">
      <c r="A34" s="3791"/>
      <c r="B34" s="3788"/>
      <c r="C34" s="3106" t="s">
        <v>2464</v>
      </c>
      <c r="D34" s="3107"/>
      <c r="E34" s="3108">
        <v>0.6</v>
      </c>
      <c r="F34" s="3105" t="s">
        <v>2465</v>
      </c>
      <c r="G34" s="3105"/>
    </row>
    <row r="35" spans="1:7" ht="19.5" customHeight="1">
      <c r="A35" s="3791"/>
      <c r="B35" s="3788"/>
      <c r="C35" s="3106" t="s">
        <v>2466</v>
      </c>
      <c r="D35" s="3107"/>
      <c r="E35" s="3108">
        <v>0.2</v>
      </c>
      <c r="F35" s="3105" t="s">
        <v>2467</v>
      </c>
      <c r="G35" s="3105"/>
    </row>
    <row r="36" spans="1:7" ht="19.5" customHeight="1">
      <c r="A36" s="3791"/>
      <c r="B36" s="3788"/>
      <c r="C36" s="3106" t="s">
        <v>2468</v>
      </c>
      <c r="D36" s="3107"/>
      <c r="E36" s="3108">
        <v>0.2</v>
      </c>
      <c r="F36" s="3105" t="s">
        <v>2469</v>
      </c>
      <c r="G36" s="3105"/>
    </row>
    <row r="37" spans="1:7" ht="19.5" customHeight="1">
      <c r="A37" s="3791"/>
      <c r="B37" s="3793" t="s">
        <v>2630</v>
      </c>
      <c r="C37" s="3106" t="s">
        <v>2470</v>
      </c>
      <c r="D37" s="3107"/>
      <c r="E37" s="3108">
        <v>0.6</v>
      </c>
      <c r="F37" s="3105" t="s">
        <v>2471</v>
      </c>
      <c r="G37" s="3105"/>
    </row>
    <row r="38" spans="1:7" ht="19.5" customHeight="1">
      <c r="A38" s="3791"/>
      <c r="B38" s="3788"/>
      <c r="C38" s="3106" t="s">
        <v>2472</v>
      </c>
      <c r="D38" s="3107"/>
      <c r="E38" s="3108">
        <v>0.6</v>
      </c>
      <c r="F38" s="3105" t="s">
        <v>2473</v>
      </c>
      <c r="G38" s="3105"/>
    </row>
    <row r="39" spans="1:7" ht="19.5" customHeight="1" thickBot="1">
      <c r="A39" s="3792"/>
      <c r="B39" s="3789"/>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794" t="s">
        <v>2608</v>
      </c>
      <c r="B41" s="3787" t="s">
        <v>2632</v>
      </c>
      <c r="C41" s="3102" t="s">
        <v>2477</v>
      </c>
      <c r="D41" s="3103"/>
      <c r="E41" s="3104">
        <v>1</v>
      </c>
      <c r="F41" s="3105" t="s">
        <v>2478</v>
      </c>
      <c r="G41" s="3105"/>
    </row>
    <row r="42" spans="1:7" ht="19.5" customHeight="1">
      <c r="A42" s="3795"/>
      <c r="B42" s="3788"/>
      <c r="C42" s="3106" t="s">
        <v>2479</v>
      </c>
      <c r="D42" s="3107"/>
      <c r="E42" s="3108">
        <v>1</v>
      </c>
      <c r="F42" s="3105" t="s">
        <v>2480</v>
      </c>
      <c r="G42" s="3105"/>
    </row>
    <row r="43" spans="1:7" ht="19.5" customHeight="1">
      <c r="A43" s="3795"/>
      <c r="B43" s="3797"/>
      <c r="C43" s="3106" t="s">
        <v>2481</v>
      </c>
      <c r="D43" s="3107"/>
      <c r="E43" s="3108">
        <v>1.5</v>
      </c>
      <c r="F43" s="3105" t="s">
        <v>2482</v>
      </c>
      <c r="G43" s="3105"/>
    </row>
    <row r="44" spans="1:7" ht="19.5" customHeight="1">
      <c r="A44" s="3795"/>
      <c r="B44" s="3117" t="s">
        <v>2633</v>
      </c>
      <c r="C44" s="3106" t="s">
        <v>2634</v>
      </c>
      <c r="D44" s="3107"/>
      <c r="E44" s="3108">
        <v>2</v>
      </c>
      <c r="F44" s="3105" t="s">
        <v>2483</v>
      </c>
      <c r="G44" s="3105"/>
    </row>
    <row r="45" spans="1:7" ht="19.5" customHeight="1">
      <c r="A45" s="3795"/>
      <c r="B45" s="3793" t="s">
        <v>2635</v>
      </c>
      <c r="C45" s="3106" t="s">
        <v>2484</v>
      </c>
      <c r="D45" s="3107"/>
      <c r="E45" s="3108">
        <v>1</v>
      </c>
      <c r="F45" s="3105" t="s">
        <v>2485</v>
      </c>
      <c r="G45" s="3105"/>
    </row>
    <row r="46" spans="1:7" ht="19.5" customHeight="1">
      <c r="A46" s="3795"/>
      <c r="B46" s="3788"/>
      <c r="C46" s="3106" t="s">
        <v>2486</v>
      </c>
      <c r="D46" s="3107"/>
      <c r="E46" s="3108">
        <v>1</v>
      </c>
      <c r="F46" s="3105" t="s">
        <v>2487</v>
      </c>
      <c r="G46" s="3105"/>
    </row>
    <row r="47" spans="1:7" ht="19.5" customHeight="1">
      <c r="A47" s="3795"/>
      <c r="B47" s="3788"/>
      <c r="C47" s="3106" t="s">
        <v>2488</v>
      </c>
      <c r="D47" s="3107"/>
      <c r="E47" s="3108">
        <v>1</v>
      </c>
      <c r="F47" s="3105" t="s">
        <v>2489</v>
      </c>
      <c r="G47" s="3105"/>
    </row>
    <row r="48" spans="1:7" ht="19.5" customHeight="1">
      <c r="A48" s="3795"/>
      <c r="B48" s="3788"/>
      <c r="C48" s="3106" t="s">
        <v>2490</v>
      </c>
      <c r="D48" s="3107"/>
      <c r="E48" s="3108">
        <v>1</v>
      </c>
      <c r="F48" s="3105" t="s">
        <v>2491</v>
      </c>
      <c r="G48" s="3105"/>
    </row>
    <row r="49" spans="1:7" ht="19.5" customHeight="1">
      <c r="A49" s="3795"/>
      <c r="B49" s="3788"/>
      <c r="C49" s="3106" t="s">
        <v>2492</v>
      </c>
      <c r="D49" s="3107"/>
      <c r="E49" s="3108">
        <v>1</v>
      </c>
      <c r="F49" s="3105" t="s">
        <v>2493</v>
      </c>
      <c r="G49" s="3105"/>
    </row>
    <row r="50" spans="1:7" ht="19.5" customHeight="1">
      <c r="A50" s="3795"/>
      <c r="B50" s="3788"/>
      <c r="C50" s="3106" t="s">
        <v>2494</v>
      </c>
      <c r="D50" s="3107"/>
      <c r="E50" s="3108">
        <v>1</v>
      </c>
      <c r="F50" s="3105" t="s">
        <v>2495</v>
      </c>
      <c r="G50" s="3105"/>
    </row>
    <row r="51" spans="1:7" ht="19.5" customHeight="1" thickBot="1">
      <c r="A51" s="3796"/>
      <c r="B51" s="3789"/>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793" t="s">
        <v>2649</v>
      </c>
      <c r="C73" s="3091" t="s">
        <v>2650</v>
      </c>
      <c r="D73" s="3091" t="s">
        <v>2651</v>
      </c>
      <c r="E73" s="3117">
        <v>0.2</v>
      </c>
      <c r="F73" s="3117">
        <v>25</v>
      </c>
    </row>
    <row r="74" spans="1:7" ht="24">
      <c r="A74" s="3117">
        <v>2</v>
      </c>
      <c r="B74" s="3788"/>
      <c r="C74" s="3091" t="s">
        <v>2652</v>
      </c>
      <c r="D74" s="3091" t="s">
        <v>2653</v>
      </c>
      <c r="E74" s="3117">
        <v>0.2</v>
      </c>
      <c r="F74" s="3117">
        <v>25</v>
      </c>
    </row>
    <row r="75" spans="1:7" ht="24">
      <c r="A75" s="3117">
        <v>3</v>
      </c>
      <c r="B75" s="3788"/>
      <c r="C75" s="3091" t="s">
        <v>2654</v>
      </c>
      <c r="D75" s="3091" t="s">
        <v>2655</v>
      </c>
      <c r="E75" s="3117">
        <v>0.2</v>
      </c>
      <c r="F75" s="3117">
        <v>25</v>
      </c>
    </row>
    <row r="76" spans="1:7" ht="13.5">
      <c r="A76" s="3117">
        <v>4</v>
      </c>
      <c r="B76" s="3788"/>
      <c r="C76" s="3091" t="s">
        <v>2656</v>
      </c>
      <c r="D76" s="3091" t="s">
        <v>2657</v>
      </c>
      <c r="E76" s="3117">
        <v>0.15</v>
      </c>
      <c r="F76" s="3117">
        <v>20</v>
      </c>
    </row>
    <row r="77" spans="1:7" ht="24">
      <c r="A77" s="3117">
        <v>5</v>
      </c>
      <c r="B77" s="3788"/>
      <c r="C77" s="3091" t="s">
        <v>2658</v>
      </c>
      <c r="D77" s="3091" t="s">
        <v>2659</v>
      </c>
      <c r="E77" s="3117">
        <v>0.15</v>
      </c>
      <c r="F77" s="3117">
        <v>20</v>
      </c>
    </row>
    <row r="78" spans="1:7" ht="24">
      <c r="A78" s="3117">
        <v>6</v>
      </c>
      <c r="B78" s="3788"/>
      <c r="C78" s="3091" t="s">
        <v>2660</v>
      </c>
      <c r="D78" s="3091" t="s">
        <v>2661</v>
      </c>
      <c r="E78" s="3117">
        <v>0.15</v>
      </c>
      <c r="F78" s="3117">
        <v>20</v>
      </c>
    </row>
    <row r="79" spans="1:7" ht="24">
      <c r="A79" s="3117">
        <v>7</v>
      </c>
      <c r="B79" s="3788"/>
      <c r="C79" s="3091" t="s">
        <v>2662</v>
      </c>
      <c r="D79" s="3091" t="s">
        <v>2663</v>
      </c>
      <c r="E79" s="3117">
        <v>0.15</v>
      </c>
      <c r="F79" s="3117">
        <v>20</v>
      </c>
    </row>
    <row r="80" spans="1:7" ht="24">
      <c r="A80" s="3117">
        <v>8</v>
      </c>
      <c r="B80" s="3788"/>
      <c r="C80" s="3091" t="s">
        <v>2664</v>
      </c>
      <c r="D80" s="3091" t="s">
        <v>2665</v>
      </c>
      <c r="E80" s="3117">
        <v>0.1</v>
      </c>
      <c r="F80" s="3117">
        <v>15</v>
      </c>
    </row>
    <row r="81" spans="1:6" ht="24">
      <c r="A81" s="3117">
        <v>9</v>
      </c>
      <c r="B81" s="3788"/>
      <c r="C81" s="3091" t="s">
        <v>2666</v>
      </c>
      <c r="D81" s="3091" t="s">
        <v>2667</v>
      </c>
      <c r="E81" s="3117">
        <v>0.1</v>
      </c>
      <c r="F81" s="3117">
        <v>15</v>
      </c>
    </row>
    <row r="82" spans="1:6" ht="24">
      <c r="A82" s="3117">
        <v>10</v>
      </c>
      <c r="B82" s="3788"/>
      <c r="C82" s="3091" t="s">
        <v>2668</v>
      </c>
      <c r="D82" s="3091" t="s">
        <v>2669</v>
      </c>
      <c r="E82" s="3117">
        <v>0.1</v>
      </c>
      <c r="F82" s="3117">
        <v>15</v>
      </c>
    </row>
    <row r="83" spans="1:6" ht="24">
      <c r="A83" s="3117">
        <v>11</v>
      </c>
      <c r="B83" s="3788"/>
      <c r="C83" s="3091" t="s">
        <v>2670</v>
      </c>
      <c r="D83" s="3091" t="s">
        <v>2671</v>
      </c>
      <c r="E83" s="3117">
        <v>0.1</v>
      </c>
      <c r="F83" s="3117">
        <v>15</v>
      </c>
    </row>
    <row r="84" spans="1:6" ht="24">
      <c r="A84" s="3117">
        <v>12</v>
      </c>
      <c r="B84" s="3788"/>
      <c r="C84" s="3091" t="s">
        <v>2672</v>
      </c>
      <c r="D84" s="3091" t="s">
        <v>2673</v>
      </c>
      <c r="E84" s="3117">
        <v>0.1</v>
      </c>
      <c r="F84" s="3117">
        <v>15</v>
      </c>
    </row>
    <row r="85" spans="1:6" ht="13.5">
      <c r="A85" s="3117">
        <v>13</v>
      </c>
      <c r="B85" s="3788"/>
      <c r="C85" s="3091" t="s">
        <v>2674</v>
      </c>
      <c r="D85" s="3091" t="s">
        <v>2675</v>
      </c>
      <c r="E85" s="3117">
        <v>0.1</v>
      </c>
      <c r="F85" s="3117">
        <v>15</v>
      </c>
    </row>
    <row r="86" spans="1:6" ht="13.5">
      <c r="A86" s="3117">
        <v>14</v>
      </c>
      <c r="B86" s="3788"/>
      <c r="C86" s="3091" t="s">
        <v>2676</v>
      </c>
      <c r="D86" s="3091" t="s">
        <v>2677</v>
      </c>
      <c r="E86" s="3117">
        <v>0.1</v>
      </c>
      <c r="F86" s="3117">
        <v>15</v>
      </c>
    </row>
    <row r="87" spans="1:6" ht="13.5">
      <c r="A87" s="3117">
        <v>15</v>
      </c>
      <c r="B87" s="3788"/>
      <c r="C87" s="3091" t="s">
        <v>2678</v>
      </c>
      <c r="D87" s="3091" t="s">
        <v>2679</v>
      </c>
      <c r="E87" s="3117">
        <v>0.1</v>
      </c>
      <c r="F87" s="3117">
        <v>15</v>
      </c>
    </row>
    <row r="88" spans="1:6" ht="24">
      <c r="A88" s="3117">
        <v>16</v>
      </c>
      <c r="B88" s="3788"/>
      <c r="C88" s="3091" t="s">
        <v>2680</v>
      </c>
      <c r="D88" s="3091" t="s">
        <v>2681</v>
      </c>
      <c r="E88" s="3117">
        <v>0.1</v>
      </c>
      <c r="F88" s="3117">
        <v>15</v>
      </c>
    </row>
    <row r="89" spans="1:6" ht="24">
      <c r="A89" s="3117">
        <v>17</v>
      </c>
      <c r="B89" s="3797"/>
      <c r="C89" s="3091" t="s">
        <v>2682</v>
      </c>
      <c r="D89" s="3091" t="s">
        <v>2683</v>
      </c>
      <c r="E89" s="3117">
        <v>0.1</v>
      </c>
      <c r="F89" s="3117">
        <v>15</v>
      </c>
    </row>
    <row r="90" spans="1:6" ht="13.5">
      <c r="A90" s="3117">
        <v>18</v>
      </c>
      <c r="B90" s="3793" t="s">
        <v>2684</v>
      </c>
      <c r="C90" s="3091" t="s">
        <v>2685</v>
      </c>
      <c r="D90" s="3091" t="s">
        <v>2686</v>
      </c>
      <c r="E90" s="3117">
        <v>0.2</v>
      </c>
      <c r="F90" s="3117">
        <v>25</v>
      </c>
    </row>
    <row r="91" spans="1:6" ht="24">
      <c r="A91" s="3117">
        <v>19</v>
      </c>
      <c r="B91" s="3788"/>
      <c r="C91" s="3091" t="s">
        <v>2687</v>
      </c>
      <c r="D91" s="3091" t="s">
        <v>2688</v>
      </c>
      <c r="E91" s="3117">
        <v>0.2</v>
      </c>
      <c r="F91" s="3117">
        <v>25</v>
      </c>
    </row>
    <row r="92" spans="1:6" ht="13.5">
      <c r="A92" s="3117">
        <v>20</v>
      </c>
      <c r="B92" s="3788"/>
      <c r="C92" s="3091" t="s">
        <v>2689</v>
      </c>
      <c r="D92" s="3091" t="s">
        <v>2690</v>
      </c>
      <c r="E92" s="3117">
        <v>0.15</v>
      </c>
      <c r="F92" s="3117">
        <v>20</v>
      </c>
    </row>
    <row r="93" spans="1:6" ht="13.5">
      <c r="A93" s="3117">
        <v>21</v>
      </c>
      <c r="B93" s="3788"/>
      <c r="C93" s="3091" t="s">
        <v>2691</v>
      </c>
      <c r="D93" s="3091" t="s">
        <v>2692</v>
      </c>
      <c r="E93" s="3117">
        <v>0.15</v>
      </c>
      <c r="F93" s="3117">
        <v>20</v>
      </c>
    </row>
    <row r="94" spans="1:6" ht="13.5">
      <c r="A94" s="3117">
        <v>22</v>
      </c>
      <c r="B94" s="3788"/>
      <c r="C94" s="3091" t="s">
        <v>2693</v>
      </c>
      <c r="D94" s="3091" t="s">
        <v>2694</v>
      </c>
      <c r="E94" s="3117">
        <v>0.15</v>
      </c>
      <c r="F94" s="3117">
        <v>20</v>
      </c>
    </row>
    <row r="95" spans="1:6" ht="36">
      <c r="A95" s="3117">
        <v>23</v>
      </c>
      <c r="B95" s="3788"/>
      <c r="C95" s="3091" t="s">
        <v>2695</v>
      </c>
      <c r="D95" s="3091" t="s">
        <v>2696</v>
      </c>
      <c r="E95" s="3117">
        <v>0.15</v>
      </c>
      <c r="F95" s="3117">
        <v>20</v>
      </c>
    </row>
    <row r="96" spans="1:6" ht="13.5">
      <c r="A96" s="3117">
        <v>24</v>
      </c>
      <c r="B96" s="3788"/>
      <c r="C96" s="3091" t="s">
        <v>2697</v>
      </c>
      <c r="D96" s="3091" t="s">
        <v>2698</v>
      </c>
      <c r="E96" s="3117">
        <v>0.1</v>
      </c>
      <c r="F96" s="3117">
        <v>15</v>
      </c>
    </row>
    <row r="97" spans="1:6" ht="13.5">
      <c r="A97" s="3117">
        <v>25</v>
      </c>
      <c r="B97" s="3788"/>
      <c r="C97" s="3091" t="s">
        <v>2699</v>
      </c>
      <c r="D97" s="3091" t="s">
        <v>2700</v>
      </c>
      <c r="E97" s="3117">
        <v>0.1</v>
      </c>
      <c r="F97" s="3117">
        <v>15</v>
      </c>
    </row>
    <row r="98" spans="1:6" ht="24">
      <c r="A98" s="3117">
        <v>26</v>
      </c>
      <c r="B98" s="3788"/>
      <c r="C98" s="3091" t="s">
        <v>2701</v>
      </c>
      <c r="D98" s="3091" t="s">
        <v>2702</v>
      </c>
      <c r="E98" s="3117">
        <v>0.1</v>
      </c>
      <c r="F98" s="3117">
        <v>15</v>
      </c>
    </row>
    <row r="99" spans="1:6" ht="24">
      <c r="A99" s="3117">
        <v>27</v>
      </c>
      <c r="B99" s="3788"/>
      <c r="C99" s="3091" t="s">
        <v>2703</v>
      </c>
      <c r="D99" s="3091" t="s">
        <v>2704</v>
      </c>
      <c r="E99" s="3117">
        <v>0.1</v>
      </c>
      <c r="F99" s="3117">
        <v>15</v>
      </c>
    </row>
    <row r="100" spans="1:6" ht="13.5">
      <c r="A100" s="3117">
        <v>28</v>
      </c>
      <c r="B100" s="3788"/>
      <c r="C100" s="3091" t="s">
        <v>2705</v>
      </c>
      <c r="D100" s="3091" t="s">
        <v>2706</v>
      </c>
      <c r="E100" s="3117">
        <v>0.1</v>
      </c>
      <c r="F100" s="3117">
        <v>15</v>
      </c>
    </row>
    <row r="101" spans="1:6" ht="13.5">
      <c r="A101" s="3117">
        <v>29</v>
      </c>
      <c r="B101" s="3788"/>
      <c r="C101" s="3091" t="s">
        <v>2707</v>
      </c>
      <c r="D101" s="3091" t="s">
        <v>2708</v>
      </c>
      <c r="E101" s="3117">
        <v>0.1</v>
      </c>
      <c r="F101" s="3117">
        <v>15</v>
      </c>
    </row>
    <row r="102" spans="1:6" ht="13.5">
      <c r="A102" s="3117">
        <v>30</v>
      </c>
      <c r="B102" s="3788"/>
      <c r="C102" s="3091" t="s">
        <v>2709</v>
      </c>
      <c r="D102" s="3091" t="s">
        <v>2710</v>
      </c>
      <c r="E102" s="3117">
        <v>0.1</v>
      </c>
      <c r="F102" s="3117">
        <v>15</v>
      </c>
    </row>
    <row r="103" spans="1:6" ht="24">
      <c r="A103" s="3117">
        <v>31</v>
      </c>
      <c r="B103" s="3788"/>
      <c r="C103" s="3091" t="s">
        <v>2711</v>
      </c>
      <c r="D103" s="3091" t="s">
        <v>2712</v>
      </c>
      <c r="E103" s="3117">
        <v>0.1</v>
      </c>
      <c r="F103" s="3117">
        <v>15</v>
      </c>
    </row>
    <row r="104" spans="1:6" ht="24">
      <c r="A104" s="3117">
        <v>32</v>
      </c>
      <c r="B104" s="3788"/>
      <c r="C104" s="3091" t="s">
        <v>2713</v>
      </c>
      <c r="D104" s="3091" t="s">
        <v>2714</v>
      </c>
      <c r="E104" s="3117">
        <v>0.1</v>
      </c>
      <c r="F104" s="3117">
        <v>15</v>
      </c>
    </row>
    <row r="105" spans="1:6" ht="24">
      <c r="A105" s="3117">
        <v>33</v>
      </c>
      <c r="B105" s="3788"/>
      <c r="C105" s="3091" t="s">
        <v>2715</v>
      </c>
      <c r="D105" s="3091" t="s">
        <v>2716</v>
      </c>
      <c r="E105" s="3117">
        <v>0.1</v>
      </c>
      <c r="F105" s="3117">
        <v>15</v>
      </c>
    </row>
    <row r="106" spans="1:6" ht="24">
      <c r="A106" s="3117">
        <v>34</v>
      </c>
      <c r="B106" s="3797"/>
      <c r="C106" s="3091" t="s">
        <v>2717</v>
      </c>
      <c r="D106" s="3091" t="s">
        <v>2718</v>
      </c>
      <c r="E106" s="3117">
        <v>0.1</v>
      </c>
      <c r="F106" s="3117">
        <v>15</v>
      </c>
    </row>
    <row r="107" spans="1:6" ht="24">
      <c r="A107" s="3117">
        <v>35</v>
      </c>
      <c r="B107" s="3793" t="s">
        <v>2719</v>
      </c>
      <c r="C107" s="3117" t="s">
        <v>2720</v>
      </c>
      <c r="D107" s="3091" t="s">
        <v>2721</v>
      </c>
      <c r="E107" s="3117">
        <v>0.15</v>
      </c>
      <c r="F107" s="3117">
        <v>20</v>
      </c>
    </row>
    <row r="108" spans="1:6" ht="13.5">
      <c r="A108" s="3117">
        <v>36</v>
      </c>
      <c r="B108" s="3788"/>
      <c r="C108" s="3117" t="s">
        <v>2722</v>
      </c>
      <c r="D108" s="3091" t="s">
        <v>2723</v>
      </c>
      <c r="E108" s="3117">
        <v>0.15</v>
      </c>
      <c r="F108" s="3117">
        <v>20</v>
      </c>
    </row>
    <row r="109" spans="1:6" ht="13.5">
      <c r="A109" s="3117">
        <v>37</v>
      </c>
      <c r="B109" s="3788"/>
      <c r="C109" s="3117" t="s">
        <v>2724</v>
      </c>
      <c r="D109" s="3091" t="s">
        <v>2725</v>
      </c>
      <c r="E109" s="3117">
        <v>0.15</v>
      </c>
      <c r="F109" s="3117">
        <v>20</v>
      </c>
    </row>
    <row r="110" spans="1:6" ht="13.5">
      <c r="A110" s="3117">
        <v>38</v>
      </c>
      <c r="B110" s="3788"/>
      <c r="C110" s="3117" t="s">
        <v>2726</v>
      </c>
      <c r="D110" s="3091" t="s">
        <v>2727</v>
      </c>
      <c r="E110" s="3117">
        <v>0.1</v>
      </c>
      <c r="F110" s="3117">
        <v>15</v>
      </c>
    </row>
    <row r="111" spans="1:6" ht="24">
      <c r="A111" s="3117">
        <v>39</v>
      </c>
      <c r="B111" s="3788"/>
      <c r="C111" s="3117" t="s">
        <v>2728</v>
      </c>
      <c r="D111" s="3091" t="s">
        <v>2729</v>
      </c>
      <c r="E111" s="3117">
        <v>0.1</v>
      </c>
      <c r="F111" s="3117">
        <v>15</v>
      </c>
    </row>
    <row r="112" spans="1:6" ht="24">
      <c r="A112" s="3117">
        <v>40</v>
      </c>
      <c r="B112" s="3797"/>
      <c r="C112" s="3117" t="s">
        <v>2730</v>
      </c>
      <c r="D112" s="3091" t="s">
        <v>2731</v>
      </c>
      <c r="E112" s="3117">
        <v>0.1</v>
      </c>
      <c r="F112" s="3117">
        <v>15</v>
      </c>
    </row>
    <row r="113" spans="1:6" ht="13.5">
      <c r="A113" s="3117">
        <v>41</v>
      </c>
      <c r="B113" s="3798" t="s">
        <v>2732</v>
      </c>
      <c r="C113" s="3117" t="s">
        <v>2733</v>
      </c>
      <c r="D113" s="3091" t="s">
        <v>2734</v>
      </c>
      <c r="E113" s="3117">
        <v>0.1</v>
      </c>
      <c r="F113" s="3117">
        <v>15</v>
      </c>
    </row>
    <row r="114" spans="1:6" ht="13.5">
      <c r="A114" s="3117">
        <v>42</v>
      </c>
      <c r="B114" s="3798"/>
      <c r="C114" s="3117" t="s">
        <v>2735</v>
      </c>
      <c r="D114" s="3091" t="s">
        <v>2736</v>
      </c>
      <c r="E114" s="3117">
        <v>0.1</v>
      </c>
      <c r="F114" s="3117">
        <v>15</v>
      </c>
    </row>
    <row r="115" spans="1:6" ht="24">
      <c r="A115" s="3117">
        <v>43</v>
      </c>
      <c r="B115" s="3798"/>
      <c r="C115" s="3117" t="s">
        <v>2737</v>
      </c>
      <c r="D115" s="3091" t="s">
        <v>2738</v>
      </c>
      <c r="E115" s="3117">
        <v>0.1</v>
      </c>
      <c r="F115" s="3117">
        <v>15</v>
      </c>
    </row>
    <row r="116" spans="1:6" ht="13.5">
      <c r="A116" s="3117">
        <v>44</v>
      </c>
      <c r="B116" s="3793" t="s">
        <v>2739</v>
      </c>
      <c r="C116" s="3117" t="s">
        <v>2740</v>
      </c>
      <c r="D116" s="3091" t="s">
        <v>2741</v>
      </c>
      <c r="E116" s="3117">
        <v>0.1</v>
      </c>
      <c r="F116" s="3117">
        <v>15</v>
      </c>
    </row>
    <row r="117" spans="1:6" ht="24">
      <c r="A117" s="3117">
        <v>45</v>
      </c>
      <c r="B117" s="3797"/>
      <c r="C117" s="3091" t="s">
        <v>2742</v>
      </c>
      <c r="D117" s="3091" t="s">
        <v>2743</v>
      </c>
      <c r="E117" s="3117">
        <v>0.1</v>
      </c>
      <c r="F117" s="3117">
        <v>15</v>
      </c>
    </row>
    <row r="118" spans="1:6" ht="24">
      <c r="A118" s="3117">
        <v>46</v>
      </c>
      <c r="B118" s="3793" t="s">
        <v>2744</v>
      </c>
      <c r="C118" s="3117" t="s">
        <v>2745</v>
      </c>
      <c r="D118" s="3091" t="s">
        <v>2746</v>
      </c>
      <c r="E118" s="3117">
        <v>0.1</v>
      </c>
      <c r="F118" s="3117">
        <v>15</v>
      </c>
    </row>
    <row r="119" spans="1:6" ht="24">
      <c r="A119" s="3117">
        <v>47</v>
      </c>
      <c r="B119" s="3797"/>
      <c r="C119" s="3117" t="s">
        <v>2747</v>
      </c>
      <c r="D119" s="3091" t="s">
        <v>2748</v>
      </c>
      <c r="E119" s="3117">
        <v>0.1</v>
      </c>
      <c r="F119" s="3117">
        <v>15</v>
      </c>
    </row>
    <row r="120" spans="1:6" ht="13.5">
      <c r="A120" s="3117">
        <v>48</v>
      </c>
      <c r="B120" s="3793" t="s">
        <v>2749</v>
      </c>
      <c r="C120" s="3117" t="s">
        <v>2750</v>
      </c>
      <c r="D120" s="3091" t="s">
        <v>2751</v>
      </c>
      <c r="E120" s="3117">
        <v>0.1</v>
      </c>
      <c r="F120" s="3117">
        <v>15</v>
      </c>
    </row>
    <row r="121" spans="1:6" ht="13.5">
      <c r="A121" s="3117">
        <v>49</v>
      </c>
      <c r="B121" s="3797"/>
      <c r="C121" s="3117" t="s">
        <v>2752</v>
      </c>
      <c r="D121" s="3091" t="s">
        <v>2753</v>
      </c>
      <c r="E121" s="3117">
        <v>0.1</v>
      </c>
      <c r="F121" s="3117">
        <v>15</v>
      </c>
    </row>
    <row r="122" spans="1:6" ht="24">
      <c r="A122" s="3117">
        <v>50</v>
      </c>
      <c r="B122" s="3798" t="s">
        <v>2754</v>
      </c>
      <c r="C122" s="3117" t="s">
        <v>2755</v>
      </c>
      <c r="D122" s="3091" t="s">
        <v>2756</v>
      </c>
      <c r="E122" s="3117">
        <v>0.1</v>
      </c>
      <c r="F122" s="3117">
        <v>15</v>
      </c>
    </row>
    <row r="123" spans="1:6" ht="24">
      <c r="A123" s="3117">
        <v>51</v>
      </c>
      <c r="B123" s="3798"/>
      <c r="C123" s="3117" t="s">
        <v>2757</v>
      </c>
      <c r="D123" s="3091" t="s">
        <v>2758</v>
      </c>
      <c r="E123" s="3117">
        <v>0.1</v>
      </c>
      <c r="F123" s="3117">
        <v>15</v>
      </c>
    </row>
    <row r="124" spans="1:6" ht="24">
      <c r="A124" s="3117">
        <v>52</v>
      </c>
      <c r="B124" s="3798" t="s">
        <v>2759</v>
      </c>
      <c r="C124" s="3117" t="s">
        <v>2760</v>
      </c>
      <c r="D124" s="3091" t="s">
        <v>2761</v>
      </c>
      <c r="E124" s="3117">
        <v>0.1</v>
      </c>
      <c r="F124" s="3117">
        <v>15</v>
      </c>
    </row>
    <row r="125" spans="1:6" ht="24">
      <c r="A125" s="3117">
        <v>53</v>
      </c>
      <c r="B125" s="3798"/>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798" t="s">
        <v>2767</v>
      </c>
      <c r="C127" s="3117" t="s">
        <v>2768</v>
      </c>
      <c r="D127" s="3091" t="s">
        <v>2769</v>
      </c>
      <c r="E127" s="3117">
        <v>0.1</v>
      </c>
      <c r="F127" s="3117">
        <v>15</v>
      </c>
    </row>
    <row r="128" spans="1:6" ht="13.5">
      <c r="A128" s="3117">
        <v>56</v>
      </c>
      <c r="B128" s="3798"/>
      <c r="C128" s="3117" t="s">
        <v>2770</v>
      </c>
      <c r="D128" s="3091" t="s">
        <v>2771</v>
      </c>
      <c r="E128" s="3117">
        <v>0.1</v>
      </c>
      <c r="F128" s="3117">
        <v>15</v>
      </c>
    </row>
    <row r="129" spans="1:6" ht="24">
      <c r="A129" s="3117">
        <v>57</v>
      </c>
      <c r="B129" s="3798"/>
      <c r="C129" s="3117" t="s">
        <v>2772</v>
      </c>
      <c r="D129" s="3091" t="s">
        <v>2773</v>
      </c>
      <c r="E129" s="3117">
        <v>0.1</v>
      </c>
      <c r="F129" s="3117">
        <v>15</v>
      </c>
    </row>
    <row r="130" spans="1:6" ht="24">
      <c r="A130" s="3117">
        <v>58</v>
      </c>
      <c r="B130" s="3798" t="s">
        <v>2774</v>
      </c>
      <c r="C130" s="3117" t="s">
        <v>2775</v>
      </c>
      <c r="D130" s="3091" t="s">
        <v>2776</v>
      </c>
      <c r="E130" s="3117">
        <v>0.1</v>
      </c>
      <c r="F130" s="3117">
        <v>15</v>
      </c>
    </row>
    <row r="131" spans="1:6" ht="13.5">
      <c r="A131" s="3117">
        <v>59</v>
      </c>
      <c r="B131" s="3798"/>
      <c r="C131" s="3117" t="s">
        <v>2777</v>
      </c>
      <c r="D131" s="3091" t="s">
        <v>2778</v>
      </c>
      <c r="E131" s="3117">
        <v>0.1</v>
      </c>
      <c r="F131" s="3117">
        <v>15</v>
      </c>
    </row>
    <row r="132" spans="1:6" ht="13.5">
      <c r="A132" s="3117">
        <v>60</v>
      </c>
      <c r="B132" s="3793" t="s">
        <v>2779</v>
      </c>
      <c r="C132" s="3117" t="s">
        <v>2780</v>
      </c>
      <c r="D132" s="3091" t="s">
        <v>2781</v>
      </c>
      <c r="E132" s="3117">
        <v>0.1</v>
      </c>
      <c r="F132" s="3117">
        <v>15</v>
      </c>
    </row>
    <row r="133" spans="1:6" ht="13.5">
      <c r="A133" s="3117">
        <v>61</v>
      </c>
      <c r="B133" s="3797"/>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798" t="s">
        <v>2787</v>
      </c>
      <c r="C135" s="3117" t="s">
        <v>2788</v>
      </c>
      <c r="D135" s="3091" t="s">
        <v>2789</v>
      </c>
      <c r="E135" s="3117">
        <v>0.1</v>
      </c>
      <c r="F135" s="3117">
        <v>15</v>
      </c>
    </row>
    <row r="136" spans="1:6" ht="13.5">
      <c r="A136" s="3117">
        <v>64</v>
      </c>
      <c r="B136" s="3798"/>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2"/>
      <c r="B4" s="3482" t="s">
        <v>917</v>
      </c>
      <c r="C4" s="3482"/>
      <c r="D4" s="3482"/>
      <c r="E4" s="1492"/>
    </row>
    <row r="5" spans="1:5" ht="16.5" thickTop="1">
      <c r="A5" s="1490"/>
      <c r="B5" s="3480" t="s">
        <v>909</v>
      </c>
      <c r="C5" s="1493" t="s">
        <v>910</v>
      </c>
      <c r="D5" s="850">
        <f ca="1">结果表!H101</f>
        <v>11092</v>
      </c>
      <c r="E5" s="1490"/>
    </row>
    <row r="6" spans="1:5" ht="15.75">
      <c r="A6" s="1490"/>
      <c r="B6" s="3480"/>
      <c r="C6" s="1493" t="s">
        <v>911</v>
      </c>
      <c r="D6" s="850" t="str">
        <f ca="1">NUMBERSTRING(INT(D5*10000),2)&amp;"元整"</f>
        <v>壹亿壹仟零玖拾贰万元整</v>
      </c>
      <c r="E6" s="1490"/>
    </row>
    <row r="7" spans="1:5" ht="15.75">
      <c r="A7" s="1490"/>
      <c r="B7" s="3485"/>
      <c r="C7" s="1494" t="s">
        <v>912</v>
      </c>
      <c r="D7" s="851">
        <f ca="1">结果表!H102</f>
        <v>23576</v>
      </c>
      <c r="E7" s="1490"/>
    </row>
    <row r="8" spans="1:5" ht="15.75">
      <c r="A8" s="1490"/>
      <c r="B8" s="3486" t="str">
        <f>结果表!E103</f>
        <v>2.估价师知悉的法定优先受偿款</v>
      </c>
      <c r="C8" s="1495" t="s">
        <v>913</v>
      </c>
      <c r="D8" s="851">
        <f>结果表!H103</f>
        <v>0</v>
      </c>
      <c r="E8" s="1490"/>
    </row>
    <row r="9" spans="1:5" ht="15.75">
      <c r="A9" s="1490"/>
      <c r="B9" s="348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9" t="str">
        <f>结果表!E107</f>
        <v>3.房地产抵押价值</v>
      </c>
      <c r="C13" s="1498" t="s">
        <v>910</v>
      </c>
      <c r="D13" s="853">
        <f ca="1">结果表!H107</f>
        <v>11092</v>
      </c>
      <c r="E13" s="1490"/>
    </row>
    <row r="14" spans="1:5" ht="15.75">
      <c r="A14" s="1490"/>
      <c r="B14" s="3480"/>
      <c r="C14" s="1493" t="s">
        <v>911</v>
      </c>
      <c r="D14" s="850" t="str">
        <f ca="1">NUMBERSTRING(INT(D13*10000),2)&amp;"元整"</f>
        <v>壹亿壹仟零玖拾贰万元整</v>
      </c>
      <c r="E14" s="1490"/>
    </row>
    <row r="15" spans="1:5" ht="15">
      <c r="A15" s="1490"/>
      <c r="B15" s="3485"/>
      <c r="C15" s="1494" t="s">
        <v>921</v>
      </c>
      <c r="D15" s="859">
        <f ca="1">结果表!H108</f>
        <v>23576</v>
      </c>
      <c r="E15" s="1490"/>
    </row>
    <row r="16" spans="1:5" ht="15">
      <c r="A16" s="1490"/>
      <c r="B16" s="3486" t="str">
        <f>结果表!E109</f>
        <v>——</v>
      </c>
      <c r="C16" s="1498" t="s">
        <v>922</v>
      </c>
      <c r="D16" s="1499" t="str">
        <f>结果表!H109</f>
        <v>——</v>
      </c>
      <c r="E16" s="1490"/>
    </row>
    <row r="17" spans="1:5" ht="15.75">
      <c r="A17" s="1490"/>
      <c r="B17" s="3487"/>
      <c r="C17" s="1493" t="s">
        <v>923</v>
      </c>
      <c r="D17" s="850" t="e">
        <f>NUMBERSTRING(INT(D16*10000),2)&amp;"元整"</f>
        <v>#VALUE!</v>
      </c>
      <c r="E17" s="1490"/>
    </row>
    <row r="18" spans="1:5" ht="15">
      <c r="A18" s="1490"/>
      <c r="B18" s="3488"/>
      <c r="C18" s="1494" t="s">
        <v>912</v>
      </c>
      <c r="D18" s="859" t="str">
        <f>结果表!H110</f>
        <v>——</v>
      </c>
      <c r="E18" s="1490"/>
    </row>
    <row r="19" spans="1:5" ht="15.75">
      <c r="A19" s="1490"/>
      <c r="B19" s="3479" t="str">
        <f>结果表!E111</f>
        <v>——</v>
      </c>
      <c r="C19" s="1498" t="s">
        <v>910</v>
      </c>
      <c r="D19" s="851" t="str">
        <f>结果表!H111</f>
        <v>——</v>
      </c>
      <c r="E19" s="1490"/>
    </row>
    <row r="20" spans="1:5" ht="15.75">
      <c r="A20" s="1490"/>
      <c r="B20" s="3480"/>
      <c r="C20" s="1493" t="s">
        <v>923</v>
      </c>
      <c r="D20" s="850" t="e">
        <f>NUMBERSTRING(INT(D19*10000),2)&amp;"元整"</f>
        <v>#VALUE!</v>
      </c>
      <c r="E20" s="1490"/>
    </row>
    <row r="21" spans="1:5" ht="15.75" thickBot="1">
      <c r="A21" s="1490"/>
      <c r="B21" s="348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1.1214999999999999</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1.0668</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32076</v>
      </c>
      <c r="C2" s="2" t="s">
        <v>106</v>
      </c>
      <c r="D2" s="199"/>
      <c r="E2" s="199"/>
      <c r="F2" s="199"/>
      <c r="G2" s="199"/>
    </row>
    <row r="3" spans="1:7" s="200" customFormat="1" ht="18" customHeight="1" thickBot="1">
      <c r="A3" s="203" t="s">
        <v>58</v>
      </c>
      <c r="B3" s="204">
        <f ca="1">ROUND(B2*10000/'数据-汇总表'!E3,0)</f>
        <v>68176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94</v>
      </c>
      <c r="D10" s="845">
        <f>'数据-汇总表'!E6</f>
        <v>4704.8599999999997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94</v>
      </c>
      <c r="D19" s="849">
        <f>'数据-汇总表'!E3</f>
        <v>4704.8599999999997</v>
      </c>
      <c r="E19" s="211">
        <f>'数据-取费表'!B31</f>
        <v>200</v>
      </c>
      <c r="F19" s="231"/>
      <c r="G19" s="1" t="s">
        <v>436</v>
      </c>
    </row>
    <row r="20" spans="1:7" s="214" customFormat="1" ht="13.5" customHeight="1">
      <c r="A20" s="777" t="s">
        <v>419</v>
      </c>
      <c r="B20" s="210" t="s">
        <v>77</v>
      </c>
      <c r="C20" s="232">
        <f>ROUND((C5+C19)*F20,0)</f>
        <v>621</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1431</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4265</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4265</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29704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2117</v>
      </c>
      <c r="D34" s="217"/>
      <c r="E34" s="220"/>
      <c r="F34" s="257">
        <f>IF('数据-取费表'!B24=0,1,'数据-取费表'!N16)</f>
        <v>1</v>
      </c>
      <c r="G34" s="219" t="s">
        <v>89</v>
      </c>
    </row>
    <row r="35" spans="1:7" ht="13.5" customHeight="1">
      <c r="A35" s="780" t="s">
        <v>351</v>
      </c>
      <c r="B35" s="215" t="s">
        <v>33</v>
      </c>
      <c r="C35" s="220">
        <f>ROUND(C34*F35,0)</f>
        <v>106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94</v>
      </c>
      <c r="D37" s="217">
        <f>'数据-汇总表'!E3</f>
        <v>4704.8599999999997</v>
      </c>
      <c r="E37" s="249">
        <f>'数据-取费表'!B35</f>
        <v>200</v>
      </c>
      <c r="F37" s="259"/>
      <c r="G37" s="261" t="s">
        <v>92</v>
      </c>
    </row>
    <row r="38" spans="1:7" ht="13.5" customHeight="1">
      <c r="A38" s="780" t="s">
        <v>354</v>
      </c>
      <c r="B38" s="215" t="s">
        <v>36</v>
      </c>
      <c r="C38" s="220">
        <f>ROUND(C34*F38,0)</f>
        <v>42</v>
      </c>
      <c r="D38" s="220"/>
      <c r="E38" s="220"/>
      <c r="F38" s="259">
        <f>'数据-取费表'!B36</f>
        <v>0.02</v>
      </c>
      <c r="G38" s="219" t="s">
        <v>90</v>
      </c>
    </row>
    <row r="39" spans="1:7" s="214" customFormat="1" ht="13.5" customHeight="1">
      <c r="A39" s="777" t="s">
        <v>338</v>
      </c>
      <c r="B39" s="210" t="s">
        <v>77</v>
      </c>
      <c r="C39" s="232">
        <f>ROUND(C33*F20,0)</f>
        <v>71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81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79</v>
      </c>
      <c r="D42" s="238"/>
      <c r="E42" s="238"/>
      <c r="F42" s="239"/>
      <c r="G42" s="3661" t="s">
        <v>94</v>
      </c>
    </row>
    <row r="43" spans="1:7" ht="13.5" customHeight="1">
      <c r="A43" s="780" t="s">
        <v>347</v>
      </c>
      <c r="B43" s="215" t="s">
        <v>426</v>
      </c>
      <c r="C43" s="238">
        <f ca="1">ROUND(IF('数据-取费表'!B22&lt;=1,C39*F22*'数据-取费表'!B21/2,C39*(POWER((1+F22),'数据-取费表'!B21/2)-1)),0)</f>
        <v>2</v>
      </c>
      <c r="D43" s="238"/>
      <c r="E43" s="238"/>
      <c r="F43" s="239"/>
      <c r="G43" s="3662"/>
    </row>
    <row r="44" spans="1:7" ht="13.5" customHeight="1">
      <c r="A44" s="780" t="s">
        <v>348</v>
      </c>
      <c r="B44" s="215" t="s">
        <v>428</v>
      </c>
      <c r="C44" s="238">
        <f ca="1">ROUND(IF('数据-取费表'!B22&lt;=1,C40*F22*'数据-取费表'!B21/2,C40*(POWER((1+F22),'数据-取费表'!B21/2)-1)),4)</f>
        <v>1E-3</v>
      </c>
      <c r="D44" s="238"/>
      <c r="E44" s="238"/>
      <c r="F44" s="239"/>
      <c r="G44" s="3663"/>
    </row>
    <row r="45" spans="1:7" s="214" customFormat="1" ht="13.5" customHeight="1">
      <c r="A45" s="777" t="s">
        <v>341</v>
      </c>
      <c r="B45" s="244" t="s">
        <v>85</v>
      </c>
      <c r="C45" s="245">
        <f>C46</f>
        <v>486</v>
      </c>
      <c r="D45" s="235">
        <f>C47</f>
        <v>6.0000000000000001E-3</v>
      </c>
      <c r="E45" s="236" t="s">
        <v>102</v>
      </c>
      <c r="F45" s="246"/>
      <c r="G45" s="247" t="s">
        <v>434</v>
      </c>
    </row>
    <row r="46" spans="1:7" s="214" customFormat="1" ht="13.5" customHeight="1">
      <c r="A46" s="780" t="s">
        <v>349</v>
      </c>
      <c r="B46" s="248" t="s">
        <v>427</v>
      </c>
      <c r="C46" s="249">
        <f>ROUND((C33+C39)*F27,0)</f>
        <v>486</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3295</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2372</v>
      </c>
      <c r="D51" s="232"/>
      <c r="E51" s="232"/>
      <c r="F51" s="264"/>
      <c r="G51" s="234" t="s">
        <v>37</v>
      </c>
    </row>
    <row r="52" spans="1:7" s="208" customFormat="1" ht="16.5" thickBot="1">
      <c r="A52" s="265" t="s">
        <v>38</v>
      </c>
      <c r="B52" s="266"/>
      <c r="C52" s="267">
        <f ca="1">C31+C51</f>
        <v>32076</v>
      </c>
      <c r="D52" s="266"/>
      <c r="E52" s="266"/>
      <c r="F52" s="266"/>
      <c r="G52" s="268"/>
    </row>
    <row r="55" spans="1:7" ht="15">
      <c r="B55" s="270" t="s">
        <v>39</v>
      </c>
      <c r="C55" s="271"/>
    </row>
    <row r="56" spans="1:7">
      <c r="B56" s="273" t="s">
        <v>40</v>
      </c>
      <c r="C56" s="274">
        <f ca="1">ROUND(C51/C52,3)</f>
        <v>7.3999999999999996E-2</v>
      </c>
    </row>
    <row r="57" spans="1:7">
      <c r="B57" s="273" t="s">
        <v>41</v>
      </c>
      <c r="C57" s="275">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1" t="s">
        <v>2837</v>
      </c>
      <c r="B1" s="3801"/>
      <c r="C1" s="3801"/>
      <c r="D1" s="3801"/>
      <c r="E1" s="3801"/>
      <c r="F1" s="3801"/>
      <c r="G1" s="3802"/>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799"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00"/>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3" t="s">
        <v>3179</v>
      </c>
      <c r="B1" s="3803"/>
    </row>
    <row r="2" spans="1:7" ht="14.25" thickBot="1">
      <c r="A2" s="3254"/>
      <c r="B2" s="3254"/>
    </row>
    <row r="3" spans="1:7" ht="14.25" thickBot="1">
      <c r="A3" s="3254"/>
      <c r="B3" s="3254"/>
      <c r="C3" s="3255" t="s">
        <v>2809</v>
      </c>
      <c r="D3" s="3255" t="s">
        <v>2865</v>
      </c>
      <c r="E3" s="3255" t="s">
        <v>2811</v>
      </c>
      <c r="F3" s="3255" t="s">
        <v>2866</v>
      </c>
      <c r="G3" s="3255" t="s">
        <v>2629</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4.25">
      <c r="A1" s="3804" t="s">
        <v>3230</v>
      </c>
      <c r="B1" s="3804"/>
      <c r="C1" s="3804"/>
      <c r="D1" s="3804"/>
      <c r="E1" s="3804"/>
      <c r="F1" s="3805"/>
    </row>
    <row r="2" spans="1:6" ht="14.25">
      <c r="A2" s="3290" t="s">
        <v>3231</v>
      </c>
      <c r="B2" s="3291"/>
      <c r="C2" s="3291"/>
      <c r="D2" s="3291"/>
      <c r="E2" s="3291"/>
      <c r="F2" s="3291"/>
    </row>
    <row r="3" spans="1:6" ht="14.25">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8" sqref="E8:E11"/>
    </sheetView>
  </sheetViews>
  <sheetFormatPr defaultRowHeight="13.5"/>
  <cols>
    <col min="1" max="1" width="13.875" customWidth="1"/>
    <col min="11" max="17" width="0" hidden="1" customWidth="1"/>
    <col min="25" max="30" width="0" hidden="1" customWidth="1"/>
  </cols>
  <sheetData>
    <row r="1" spans="1:30">
      <c r="A1" s="3220">
        <f>基准地价修正!G23</f>
        <v>45496</v>
      </c>
      <c r="B1" s="3209" t="s">
        <v>3367</v>
      </c>
      <c r="C1" s="3210"/>
      <c r="D1" s="3210"/>
      <c r="E1" s="3210"/>
      <c r="F1" s="3210"/>
      <c r="G1" s="3210"/>
      <c r="H1" s="3210"/>
      <c r="I1" s="3210"/>
      <c r="J1" s="3164"/>
      <c r="K1" s="3210" t="s">
        <v>454</v>
      </c>
      <c r="L1" s="3210"/>
      <c r="M1" s="3210"/>
      <c r="N1" s="3210"/>
      <c r="O1" s="3210"/>
      <c r="P1" s="3210"/>
      <c r="Q1" s="3164"/>
      <c r="R1" s="3806" t="s">
        <v>456</v>
      </c>
      <c r="S1" s="3807"/>
      <c r="T1" s="3807"/>
      <c r="U1" s="3807"/>
      <c r="V1" s="3807"/>
      <c r="W1" s="3807"/>
      <c r="X1" s="3164"/>
      <c r="Y1" s="3806" t="s">
        <v>457</v>
      </c>
      <c r="Z1" s="3807"/>
      <c r="AA1" s="3807"/>
      <c r="AB1" s="3807"/>
      <c r="AC1" s="3807"/>
      <c r="AD1" s="3807"/>
    </row>
    <row r="2" spans="1:30"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2.75">
      <c r="A3" s="3148" t="s">
        <v>2817</v>
      </c>
      <c r="B3" s="3149"/>
      <c r="C3" s="3150"/>
      <c r="D3" s="3150">
        <f>ROUND(AVERAGEIF(D4:D19,"&lt;&gt;0"),2)</f>
        <v>0.68</v>
      </c>
      <c r="E3" s="3150">
        <f t="shared" ref="E3:H3" si="0">ROUND(AVERAGEIF(E4:E19,"&lt;&gt;0"),2)</f>
        <v>0.4</v>
      </c>
      <c r="F3" s="3150">
        <f t="shared" si="0"/>
        <v>0.17</v>
      </c>
      <c r="G3" s="3150">
        <f t="shared" si="0"/>
        <v>0.74</v>
      </c>
      <c r="H3" s="3150">
        <f t="shared" si="0"/>
        <v>0.62</v>
      </c>
      <c r="I3" s="3150">
        <f>F3</f>
        <v>0.17</v>
      </c>
      <c r="J3" s="3151"/>
      <c r="K3" s="3152">
        <f>ROUND(AVERAGEIF(K4:K19,"&lt;&gt;0"),4)</f>
        <v>6.7999999999999996E-3</v>
      </c>
      <c r="L3" s="3153">
        <f t="shared" ref="L3:O3" si="1">ROUND(AVERAGEIF(L4:L19,"&lt;&gt;0"),4)</f>
        <v>4.0000000000000001E-3</v>
      </c>
      <c r="M3" s="3153">
        <f t="shared" si="1"/>
        <v>1.6999999999999999E-3</v>
      </c>
      <c r="N3" s="3153">
        <f t="shared" si="1"/>
        <v>7.4000000000000003E-3</v>
      </c>
      <c r="O3" s="3153">
        <f t="shared" si="1"/>
        <v>6.1999999999999998E-3</v>
      </c>
      <c r="P3" s="3153">
        <f>M3</f>
        <v>1.6999999999999999E-3</v>
      </c>
      <c r="Q3" s="3151"/>
      <c r="R3" s="3154">
        <f>ROUND(SUMPRODUCT(PRODUCT(1+K4:K19)),4)</f>
        <v>1.0916999999999999</v>
      </c>
      <c r="S3" s="3155">
        <f t="shared" ref="S3:V3" si="2">ROUND(SUMPRODUCT(PRODUCT(1+L4:L19)),4)</f>
        <v>1.0537000000000001</v>
      </c>
      <c r="T3" s="3155">
        <f t="shared" si="2"/>
        <v>1.0224</v>
      </c>
      <c r="U3" s="3155">
        <f t="shared" si="2"/>
        <v>1.1008</v>
      </c>
      <c r="V3" s="3155">
        <f t="shared" si="2"/>
        <v>1.0843</v>
      </c>
      <c r="W3" s="3154">
        <f>T3</f>
        <v>1.0224</v>
      </c>
      <c r="X3" s="3151"/>
      <c r="Y3" s="3156">
        <f>ROUND(AVERAGEIF(Y6:Y19,"&lt;&gt;0"),4)</f>
        <v>8.6999999999999994E-3</v>
      </c>
      <c r="Z3" s="3157">
        <f t="shared" ref="Z3:AC3" si="3">ROUND(AVERAGEIF(Z6:Z19,"&lt;&gt;0"),4)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1.0811999999999999</v>
      </c>
      <c r="S5" s="3182">
        <f>ROUND(IF(项目基本情况!$B$8="出让",SUMPRODUCT(PRODUCT(1+L5:$L$19)),SUMPRODUCT(PRODUCT(1+L5:$L$18))),4)</f>
        <v>1.052</v>
      </c>
      <c r="T5" s="3182">
        <f>ROUND(IF(项目基本情况!$B$8="出让",SUMPRODUCT(PRODUCT(1+M5:$M$19)),SUMPRODUCT(PRODUCT(1+M5:$M$18))),4)</f>
        <v>1.0249999999999999</v>
      </c>
      <c r="U5" s="3182">
        <f>ROUND(IF(项目基本情况!$B$8="出让",SUMPRODUCT(PRODUCT(1+N5:$N$19)),SUMPRODUCT(PRODUCT(1+N5:$N$18))),4)</f>
        <v>1.0888</v>
      </c>
      <c r="V5" s="3182">
        <f>ROUND(IF(项目基本情况!$B$8="出让",SUMPRODUCT(PRODUCT(1+O5:$O$19)),SUMPRODUCT(PRODUCT(1+O5:$O$18))),4)</f>
        <v>1.0804</v>
      </c>
      <c r="W5" s="3182">
        <f>T5</f>
        <v>1.0249999999999999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84" customFormat="1" ht="12.75">
      <c r="A6" s="2204" t="s">
        <v>3370</v>
      </c>
      <c r="B6" s="3176">
        <v>2024</v>
      </c>
      <c r="C6" s="3177">
        <v>2</v>
      </c>
      <c r="D6" s="3178">
        <v>0</v>
      </c>
      <c r="E6" s="3178">
        <v>0</v>
      </c>
      <c r="F6" s="3178">
        <v>0</v>
      </c>
      <c r="G6" s="3178">
        <v>0</v>
      </c>
      <c r="H6" s="3178">
        <v>0</v>
      </c>
      <c r="I6" s="3179">
        <f t="shared" ref="I6:I19" si="15">F6</f>
        <v>0</v>
      </c>
      <c r="J6" s="3180"/>
      <c r="K6" s="3181">
        <f t="shared" ref="K6:O19" si="16">D6/100</f>
        <v>0</v>
      </c>
      <c r="L6" s="3171">
        <f t="shared" si="16"/>
        <v>0</v>
      </c>
      <c r="M6" s="3171">
        <f t="shared" si="16"/>
        <v>0</v>
      </c>
      <c r="N6" s="3171">
        <f t="shared" si="16"/>
        <v>0</v>
      </c>
      <c r="O6" s="3171">
        <f t="shared" si="16"/>
        <v>0</v>
      </c>
      <c r="P6" s="3171">
        <f>M6</f>
        <v>0</v>
      </c>
      <c r="Q6" s="3180"/>
      <c r="R6" s="3182">
        <f>ROUND(IF(项目基本情况!$B$8="出让",SUMPRODUCT(PRODUCT(1+K6:$K$19)),SUMPRODUCT(PRODUCT(1+K6:$K$18))),4)</f>
        <v>1.0811999999999999</v>
      </c>
      <c r="S6" s="3182">
        <f>ROUND(IF(项目基本情况!$B$8="出让",SUMPRODUCT(PRODUCT(1+L6:$L$19)),SUMPRODUCT(PRODUCT(1+L6:$L$18))),4)</f>
        <v>1.052</v>
      </c>
      <c r="T6" s="3182">
        <f>ROUND(IF(项目基本情况!$B$8="出让",SUMPRODUCT(PRODUCT(1+M6:$M$19)),SUMPRODUCT(PRODUCT(1+M6:$M$18))),4)</f>
        <v>1.0249999999999999</v>
      </c>
      <c r="U6" s="3182">
        <f>ROUND(IF(项目基本情况!$B$8="出让",SUMPRODUCT(PRODUCT(1+N6:$N$19)),SUMPRODUCT(PRODUCT(1+N6:$N$18))),4)</f>
        <v>1.0888</v>
      </c>
      <c r="V6" s="3182">
        <f>ROUND(IF(项目基本情况!$B$8="出让",SUMPRODUCT(PRODUCT(1+O6:$O$19)),SUMPRODUCT(PRODUCT(1+O6:$O$18))),4)</f>
        <v>1.0804</v>
      </c>
      <c r="W6" s="3182">
        <f>T6</f>
        <v>1.0249999999999999</v>
      </c>
      <c r="X6" s="3180"/>
      <c r="Y6" s="3183">
        <f>IF(D6=0,0,ROUND(AVERAGE(D6:D19)/100,4))</f>
        <v>0</v>
      </c>
      <c r="Z6" s="3183">
        <f t="shared" ref="Z6:AC6" si="17">IF(E6=0,0,ROUND(AVERAGE(E6:E19)/100,4))</f>
        <v>0</v>
      </c>
      <c r="AA6" s="3183">
        <f t="shared" si="17"/>
        <v>0</v>
      </c>
      <c r="AB6" s="3183">
        <f t="shared" si="17"/>
        <v>0</v>
      </c>
      <c r="AC6" s="3183">
        <f t="shared" si="17"/>
        <v>0</v>
      </c>
      <c r="AD6" s="3183">
        <f t="shared" ref="AD6:AD18" si="18">AA6</f>
        <v>0</v>
      </c>
    </row>
    <row r="7" spans="1:30" s="3194" customFormat="1" ht="12.75">
      <c r="A7" s="3185" t="s">
        <v>3372</v>
      </c>
      <c r="B7" s="3186">
        <v>2024</v>
      </c>
      <c r="C7" s="3187">
        <v>1</v>
      </c>
      <c r="D7" s="3188">
        <v>0.08</v>
      </c>
      <c r="E7" s="3188">
        <v>0.46</v>
      </c>
      <c r="F7" s="3188">
        <v>-0.16</v>
      </c>
      <c r="G7" s="3188">
        <v>0.26</v>
      </c>
      <c r="H7" s="3189">
        <v>0.59</v>
      </c>
      <c r="I7" s="3190">
        <v>0</v>
      </c>
      <c r="J7" s="3191"/>
      <c r="K7" s="3192">
        <f t="shared" ref="K7" si="19">D7/100</f>
        <v>8.0000000000000004E-4</v>
      </c>
      <c r="L7" s="3193">
        <f t="shared" ref="L7" si="20">E7/100</f>
        <v>4.5999999999999999E-3</v>
      </c>
      <c r="M7" s="3193">
        <f t="shared" ref="M7" si="21">F7/100</f>
        <v>-1.6000000000000001E-3</v>
      </c>
      <c r="N7" s="3193">
        <f t="shared" ref="N7" si="22">G7/100</f>
        <v>2.5999999999999999E-3</v>
      </c>
      <c r="O7" s="3193">
        <f t="shared" ref="O7" si="23">H7/100</f>
        <v>5.8999999999999999E-3</v>
      </c>
      <c r="P7" s="3193">
        <f t="shared" ref="P7" si="24">M7</f>
        <v>-1.6000000000000001E-3</v>
      </c>
      <c r="Q7" s="3191"/>
      <c r="R7" s="3191">
        <f>ROUND(IF(项目基本情况!$B$8="出让",SUMPRODUCT(PRODUCT(1+K7:$K$19)),SUMPRODUCT(PRODUCT(1+K7:$K$18))),4)</f>
        <v>1.0811999999999999</v>
      </c>
      <c r="S7" s="3191">
        <f>ROUND(IF(项目基本情况!$B$8="出让",SUMPRODUCT(PRODUCT(1+L7:$L$19)),SUMPRODUCT(PRODUCT(1+L7:$L$18))),4)</f>
        <v>1.052</v>
      </c>
      <c r="T7" s="3191">
        <f>ROUND(IF(项目基本情况!$B$8="出让",SUMPRODUCT(PRODUCT(1+M7:$M$19)),SUMPRODUCT(PRODUCT(1+M7:$M$18))),4)</f>
        <v>1.0249999999999999</v>
      </c>
      <c r="U7" s="3191">
        <f>ROUND(IF(项目基本情况!$B$8="出让",SUMPRODUCT(PRODUCT(1+N7:$N$19)),SUMPRODUCT(PRODUCT(1+N7:$N$18))),4)</f>
        <v>1.0888</v>
      </c>
      <c r="V7" s="3191">
        <f>ROUND(IF(项目基本情况!$B$8="出让",SUMPRODUCT(PRODUCT(1+O7:$O$19)),SUMPRODUCT(PRODUCT(1+O7:$O$18))),4)</f>
        <v>1.0804</v>
      </c>
      <c r="W7" s="3191">
        <f t="shared" ref="W7" si="25">T7</f>
        <v>1.0249999999999999</v>
      </c>
      <c r="X7" s="3191"/>
      <c r="Y7" s="3193"/>
      <c r="Z7" s="3193"/>
      <c r="AA7" s="3193"/>
      <c r="AB7" s="3193"/>
      <c r="AC7" s="3193"/>
      <c r="AD7" s="3193"/>
    </row>
    <row r="8" spans="1:30" s="3184" customFormat="1" ht="12.75">
      <c r="A8" s="3175" t="s">
        <v>3373</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3371</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3366</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3365</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3364</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3360</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3351</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2818</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2819</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2820</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2821</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2822</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3362</v>
      </c>
    </row>
    <row r="22" spans="1:30" s="3008" customFormat="1">
      <c r="I22" s="3207" t="s">
        <v>2823</v>
      </c>
    </row>
    <row r="23" spans="1:30" s="3008" customFormat="1"/>
    <row r="24" spans="1:30" s="3208" customFormat="1" ht="12.75">
      <c r="B24" s="3209" t="s">
        <v>3368</v>
      </c>
      <c r="C24" s="3210"/>
      <c r="D24" s="3210"/>
      <c r="E24" s="3210"/>
      <c r="F24" s="3210"/>
      <c r="G24" s="3210"/>
      <c r="H24" s="3210"/>
      <c r="I24" s="3210"/>
      <c r="J24" s="3164"/>
      <c r="K24" s="3210" t="s">
        <v>2824</v>
      </c>
      <c r="L24" s="3210"/>
      <c r="M24" s="3210"/>
      <c r="N24" s="3210"/>
      <c r="O24" s="3210"/>
      <c r="P24" s="3210"/>
      <c r="Q24" s="3164"/>
      <c r="R24" s="3806" t="s">
        <v>2825</v>
      </c>
      <c r="S24" s="3807"/>
      <c r="T24" s="3807"/>
      <c r="U24" s="3807"/>
      <c r="V24" s="3807"/>
      <c r="W24" s="3807"/>
      <c r="X24" s="3164"/>
      <c r="Y24" s="3806" t="s">
        <v>2826</v>
      </c>
      <c r="Z24" s="3807"/>
      <c r="AA24" s="3807"/>
      <c r="AB24" s="3807"/>
      <c r="AC24" s="3807"/>
      <c r="AD24" s="3807"/>
    </row>
    <row r="25" spans="1:30" s="3142" customFormat="1" ht="14.25" thickBot="1">
      <c r="B25" s="3143"/>
      <c r="C25" s="3144"/>
      <c r="D25" s="3145" t="s">
        <v>2827</v>
      </c>
      <c r="E25" s="3146" t="s">
        <v>2828</v>
      </c>
      <c r="F25" s="3146" t="s">
        <v>2829</v>
      </c>
      <c r="G25" s="3146" t="s">
        <v>2830</v>
      </c>
      <c r="H25" s="3146"/>
      <c r="I25" s="3146" t="s">
        <v>2831</v>
      </c>
      <c r="J25" s="3147"/>
      <c r="K25" s="3145" t="s">
        <v>2827</v>
      </c>
      <c r="L25" s="3146" t="s">
        <v>2828</v>
      </c>
      <c r="M25" s="3146" t="s">
        <v>2829</v>
      </c>
      <c r="N25" s="3146" t="s">
        <v>2830</v>
      </c>
      <c r="O25" s="3146"/>
      <c r="P25" s="3146" t="s">
        <v>2831</v>
      </c>
      <c r="Q25" s="3147"/>
      <c r="R25" s="3145" t="s">
        <v>2827</v>
      </c>
      <c r="S25" s="3146" t="s">
        <v>2828</v>
      </c>
      <c r="T25" s="3146" t="s">
        <v>2829</v>
      </c>
      <c r="U25" s="3146" t="s">
        <v>2830</v>
      </c>
      <c r="V25" s="3146"/>
      <c r="W25" s="3146" t="s">
        <v>2831</v>
      </c>
      <c r="X25" s="3147"/>
      <c r="Y25" s="3145" t="s">
        <v>2827</v>
      </c>
      <c r="Z25" s="3146" t="s">
        <v>2828</v>
      </c>
      <c r="AA25" s="3146" t="s">
        <v>2829</v>
      </c>
      <c r="AB25" s="3146" t="s">
        <v>2830</v>
      </c>
      <c r="AC25" s="3146"/>
      <c r="AD25" s="3146" t="s">
        <v>2831</v>
      </c>
    </row>
    <row r="26" spans="1:30" s="3160" customFormat="1" ht="12.75">
      <c r="A26" s="3148" t="s">
        <v>2832</v>
      </c>
      <c r="B26" s="3149"/>
      <c r="C26" s="3150"/>
      <c r="D26" s="3150"/>
      <c r="E26" s="3150">
        <f t="shared" ref="E26:G26" si="43">ROUND(AVERAGEIF(E27:E42,"&lt;&gt;0"),2)</f>
        <v>0.38</v>
      </c>
      <c r="F26" s="3150">
        <f t="shared" si="43"/>
        <v>0.28999999999999998</v>
      </c>
      <c r="G26" s="3150">
        <f t="shared" si="43"/>
        <v>0.56999999999999995</v>
      </c>
      <c r="H26" s="3150"/>
      <c r="I26" s="3150">
        <f>F26</f>
        <v>0.28999999999999998</v>
      </c>
      <c r="J26" s="3151"/>
      <c r="K26" s="3152"/>
      <c r="L26" s="3153">
        <f t="shared" ref="L26:N26" si="44">ROUND(AVERAGEIF(L27:L42,"&lt;&gt;0"),4)</f>
        <v>3.8E-3</v>
      </c>
      <c r="M26" s="3153">
        <f t="shared" si="44"/>
        <v>2.8999999999999998E-3</v>
      </c>
      <c r="N26" s="3153">
        <f t="shared" si="44"/>
        <v>5.7000000000000002E-3</v>
      </c>
      <c r="O26" s="3153"/>
      <c r="P26" s="3153">
        <f>M26</f>
        <v>2.8999999999999998E-3</v>
      </c>
      <c r="Q26" s="3151"/>
      <c r="R26" s="3154"/>
      <c r="S26" s="3155">
        <f>ROUND(SUMPRODUCT(PRODUCT(1+L27:L42)),4)</f>
        <v>1.0502</v>
      </c>
      <c r="T26" s="3155">
        <f t="shared" ref="T26:U26" si="45">ROUND(SUMPRODUCT(PRODUCT(1+M27:M42)),4)</f>
        <v>1.0387999999999999</v>
      </c>
      <c r="U26" s="3155">
        <f t="shared" si="45"/>
        <v>1.0763</v>
      </c>
      <c r="V26" s="3155"/>
      <c r="W26" s="3154">
        <f>T26</f>
        <v>1.0387999999999999</v>
      </c>
      <c r="X26" s="3151"/>
      <c r="Y26" s="3156"/>
      <c r="Z26" s="3157">
        <f t="shared" ref="Z26:AB26" si="46">ROUND(AVERAGEIF(Z27:Z42,"&lt;&gt;0"),4)</f>
        <v>4.3E-3</v>
      </c>
      <c r="AA26" s="3158">
        <f t="shared" si="46"/>
        <v>3.5999999999999999E-3</v>
      </c>
      <c r="AB26" s="3156">
        <f t="shared" si="46"/>
        <v>8.8999999999999999E-3</v>
      </c>
      <c r="AC26" s="3159"/>
      <c r="AD26" s="3156">
        <f>AA26</f>
        <v>3.5999999999999999E-3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4" t="s">
        <v>3375</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1.0465</v>
      </c>
      <c r="T28" s="3182">
        <f>ROUND(IF(项目基本情况!$B$8="出让",SUMPRODUCT(PRODUCT(1+M28:M$42)),SUMPRODUCT(PRODUCT(1+M28:M$41))),4)</f>
        <v>1.0338000000000001</v>
      </c>
      <c r="U28" s="3182">
        <f>ROUND(IF(项目基本情况!$B$8="出让",SUMPRODUCT(PRODUCT(1+N28:N$42)),SUMPRODUCT(PRODUCT(1+N28:N$41))),4)</f>
        <v>1.0659000000000001</v>
      </c>
      <c r="V28" s="3182"/>
      <c r="W28" s="3182">
        <f>T28</f>
        <v>1.0338000000000001</v>
      </c>
      <c r="X28" s="3180"/>
      <c r="Y28" s="3183"/>
      <c r="Z28" s="3211">
        <f t="shared" ref="Z28:AB29" si="51">IF(E28=0,0,ROUND(AVERAGE(E28:E41)/100,4))</f>
        <v>0</v>
      </c>
      <c r="AA28" s="3211">
        <f t="shared" si="51"/>
        <v>0</v>
      </c>
      <c r="AB28" s="3211">
        <f t="shared" si="51"/>
        <v>0</v>
      </c>
      <c r="AC28" s="3212"/>
      <c r="AD28" s="3183">
        <f>IF(I28=0,0,ROUND(AVERAGE(I28:I41)/100,4))</f>
        <v>0</v>
      </c>
    </row>
    <row r="29" spans="1:30" s="3184" customFormat="1" ht="12.75">
      <c r="A29" s="2204" t="s">
        <v>3370</v>
      </c>
      <c r="B29" s="3176">
        <v>2024</v>
      </c>
      <c r="C29" s="3177">
        <v>2</v>
      </c>
      <c r="D29" s="3178"/>
      <c r="E29" s="3178">
        <v>0</v>
      </c>
      <c r="F29" s="3178">
        <v>0</v>
      </c>
      <c r="G29" s="3178">
        <v>0</v>
      </c>
      <c r="H29" s="3178"/>
      <c r="I29" s="3179">
        <f t="shared" ref="I29:I42" si="52">F29</f>
        <v>0</v>
      </c>
      <c r="J29" s="3180"/>
      <c r="K29" s="3181"/>
      <c r="L29" s="3171">
        <f t="shared" ref="L29:N42" si="53">E29/100</f>
        <v>0</v>
      </c>
      <c r="M29" s="3171">
        <f t="shared" si="53"/>
        <v>0</v>
      </c>
      <c r="N29" s="3171">
        <f t="shared" si="53"/>
        <v>0</v>
      </c>
      <c r="O29" s="3171"/>
      <c r="P29" s="3171">
        <f>M29</f>
        <v>0</v>
      </c>
      <c r="Q29" s="3180"/>
      <c r="R29" s="3182"/>
      <c r="S29" s="3182">
        <f>ROUND(IF(项目基本情况!$B$8="出让",SUMPRODUCT(PRODUCT(1+L29:L$42)),SUMPRODUCT(PRODUCT(1+L29:L$41))),4)</f>
        <v>1.0465</v>
      </c>
      <c r="T29" s="3182">
        <f>ROUND(IF(项目基本情况!$B$8="出让",SUMPRODUCT(PRODUCT(1+M29:M$42)),SUMPRODUCT(PRODUCT(1+M29:M$41))),4)</f>
        <v>1.0338000000000001</v>
      </c>
      <c r="U29" s="3182">
        <f>ROUND(IF(项目基本情况!$B$8="出让",SUMPRODUCT(PRODUCT(1+N29:N$42)),SUMPRODUCT(PRODUCT(1+N29:N$41))),4)</f>
        <v>1.0659000000000001</v>
      </c>
      <c r="V29" s="3182"/>
      <c r="W29" s="3182">
        <f>T29</f>
        <v>1.0338000000000001</v>
      </c>
      <c r="X29" s="3180"/>
      <c r="Y29" s="3183"/>
      <c r="Z29" s="3211">
        <f t="shared" si="51"/>
        <v>0</v>
      </c>
      <c r="AA29" s="3211">
        <f t="shared" si="51"/>
        <v>0</v>
      </c>
      <c r="AB29" s="3211">
        <f t="shared" si="51"/>
        <v>0</v>
      </c>
      <c r="AC29" s="3212"/>
      <c r="AD29" s="3183">
        <f>IF(I29=0,0,ROUND(AVERAGE(I29:I42)/100,4))</f>
        <v>0</v>
      </c>
    </row>
    <row r="30" spans="1:30" s="3194" customFormat="1" ht="12.75">
      <c r="A30" s="3185" t="s">
        <v>3372</v>
      </c>
      <c r="B30" s="3186">
        <v>2024</v>
      </c>
      <c r="C30" s="3187">
        <v>1</v>
      </c>
      <c r="D30" s="3188"/>
      <c r="E30" s="3188">
        <v>0.25</v>
      </c>
      <c r="F30" s="3188">
        <v>0.4</v>
      </c>
      <c r="G30" s="3188">
        <v>-0.63</v>
      </c>
      <c r="H30" s="3189"/>
      <c r="I30" s="3190">
        <f t="shared" ref="I30:I31" si="54">F30</f>
        <v>0.4</v>
      </c>
      <c r="J30" s="3191"/>
      <c r="K30" s="3192"/>
      <c r="L30" s="3193">
        <f t="shared" ref="L30" si="55">E30/100</f>
        <v>2.5000000000000001E-3</v>
      </c>
      <c r="M30" s="3193">
        <f t="shared" ref="M30" si="56">F30/100</f>
        <v>4.0000000000000001E-3</v>
      </c>
      <c r="N30" s="3193">
        <f t="shared" ref="N30" si="57">G30/100</f>
        <v>-6.3E-3</v>
      </c>
      <c r="O30" s="3193"/>
      <c r="P30" s="3193">
        <f t="shared" ref="P30" si="58">M30</f>
        <v>4.0000000000000001E-3</v>
      </c>
      <c r="Q30" s="3191"/>
      <c r="R30" s="3191"/>
      <c r="S30" s="3191">
        <f>ROUND(IF(项目基本情况!$B$8="出让",SUMPRODUCT(PRODUCT(1+L30:L$42)),SUMPRODUCT(PRODUCT(1+L30:L$41))),4)</f>
        <v>1.0465</v>
      </c>
      <c r="T30" s="3191">
        <f>ROUND(IF(项目基本情况!$B$8="出让",SUMPRODUCT(PRODUCT(1+M30:M$42)),SUMPRODUCT(PRODUCT(1+M30:M$41))),4)</f>
        <v>1.0338000000000001</v>
      </c>
      <c r="U30" s="3191">
        <f>ROUND(IF(项目基本情况!$B$8="出让",SUMPRODUCT(PRODUCT(1+N30:N$42)),SUMPRODUCT(PRODUCT(1+N30:N$41))),4)</f>
        <v>1.0659000000000001</v>
      </c>
      <c r="V30" s="3191"/>
      <c r="W30" s="3191">
        <f t="shared" ref="W30" si="59">T30</f>
        <v>1.0338000000000001</v>
      </c>
      <c r="X30" s="3191"/>
      <c r="Y30" s="3193"/>
      <c r="Z30" s="3214"/>
      <c r="AA30" s="3215"/>
      <c r="AB30" s="3193"/>
      <c r="AC30" s="3216"/>
      <c r="AD30" s="3193"/>
    </row>
    <row r="31" spans="1:30" s="3184" customFormat="1" ht="12.75">
      <c r="A31" s="3175" t="s">
        <v>3374</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3371</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3369</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3365</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3364</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3361</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3351</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2833</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2834</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2835</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2836</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2822</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3363</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2108</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2109</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2306</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2305</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2124</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2122</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2121</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2120</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2118</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2117</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2119</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2115</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2114</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2107</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2105</v>
      </c>
      <c r="B25" s="2219">
        <v>439</v>
      </c>
      <c r="C25" s="2219">
        <v>327</v>
      </c>
      <c r="D25" s="2219">
        <f>C25</f>
        <v>327</v>
      </c>
      <c r="E25" s="2219">
        <v>627</v>
      </c>
      <c r="F25" s="2220">
        <v>283</v>
      </c>
      <c r="G25" s="381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2106</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3" sqref="H13"/>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45496</v>
      </c>
      <c r="D1" s="1301" t="s">
        <v>603</v>
      </c>
      <c r="E1" s="1296">
        <f>'数据-取费表'!B22</f>
        <v>2</v>
      </c>
      <c r="F1" s="1301" t="s">
        <v>604</v>
      </c>
      <c r="G1" s="1297">
        <f ca="1">INDIRECT("d"&amp;$K$1)/100</f>
        <v>3.3500000000000002E-2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3.35</v>
      </c>
      <c r="E13" s="2821">
        <f>D13</f>
        <v>3.35</v>
      </c>
      <c r="F13" s="2821">
        <f>D13</f>
        <v>3.35</v>
      </c>
      <c r="G13" s="2821">
        <f>D13</f>
        <v>3.35</v>
      </c>
      <c r="H13" s="2821">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2307</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 sqref="A20"/>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0" workbookViewId="0">
      <selection activeCell="A193" sqref="A19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划拨国有建设用地使用权价值</v>
      </c>
      <c r="E2" s="3490"/>
      <c r="F2" s="3490" t="str">
        <f>结果表!F116</f>
        <v>建筑物价值</v>
      </c>
      <c r="G2" s="3490"/>
      <c r="H2" s="3490" t="str">
        <f>IF(项目基本情况!B9="房地产市场价值","房地产市场价值","房地产价值")</f>
        <v>房地产价值</v>
      </c>
      <c r="I2" s="3490"/>
    </row>
    <row r="3" spans="1:9" ht="15">
      <c r="A3" s="3491"/>
      <c r="B3" s="3491"/>
      <c r="C3" s="3491"/>
      <c r="D3" s="854" t="s">
        <v>925</v>
      </c>
      <c r="E3" s="854" t="s">
        <v>931</v>
      </c>
      <c r="F3" s="854" t="s">
        <v>925</v>
      </c>
      <c r="G3" s="854" t="s">
        <v>926</v>
      </c>
      <c r="H3" s="854" t="s">
        <v>925</v>
      </c>
      <c r="I3" s="854" t="s">
        <v>926</v>
      </c>
    </row>
    <row r="4" spans="1:9" ht="30">
      <c r="A4" s="1504" t="str">
        <f>项目基本情况!S2</f>
        <v>北京市朝阳区建国路管庄6号其他商服用房房地产</v>
      </c>
      <c r="B4" s="854">
        <f>项目基本情况!C17</f>
        <v>4704.8599999999997</v>
      </c>
      <c r="C4" s="854">
        <f>项目基本情况!C18</f>
        <v>2957.47</v>
      </c>
      <c r="D4" s="854">
        <f ca="1">结果表!D118</f>
        <v>9394</v>
      </c>
      <c r="E4" s="854">
        <f ca="1">结果表!E118</f>
        <v>19967</v>
      </c>
      <c r="F4" s="854">
        <f ca="1">结果表!F118</f>
        <v>1698</v>
      </c>
      <c r="G4" s="854">
        <f ca="1">结果表!G118</f>
        <v>3609</v>
      </c>
      <c r="H4" s="854">
        <f ca="1">结果表!H118</f>
        <v>11092</v>
      </c>
      <c r="I4" s="854">
        <f ca="1">结果表!I118</f>
        <v>23576</v>
      </c>
    </row>
    <row r="5" spans="1:9" ht="30" customHeight="1">
      <c r="A5" s="3491" t="s">
        <v>927</v>
      </c>
      <c r="B5" s="3491"/>
      <c r="C5" s="3491"/>
      <c r="D5" s="3491" t="str">
        <f ca="1">结果表!D119</f>
        <v>玖仟叁佰玖拾肆万元整</v>
      </c>
      <c r="E5" s="3491"/>
      <c r="F5" s="3491" t="str">
        <f ca="1">结果表!F119</f>
        <v>壹仟陆佰玖拾捌万元整</v>
      </c>
      <c r="G5" s="3491"/>
      <c r="H5" s="3491" t="str">
        <f ca="1">结果表!H119</f>
        <v>壹亿壹仟零玖拾贰万元整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11092</v>
      </c>
      <c r="E8" s="3492"/>
      <c r="F8" s="3492"/>
      <c r="G8" s="3492"/>
      <c r="H8" s="3492"/>
      <c r="I8" s="3492"/>
    </row>
    <row r="9" spans="1:9" ht="15">
      <c r="A9" s="3491" t="s">
        <v>927</v>
      </c>
      <c r="B9" s="3491"/>
      <c r="C9" s="3491"/>
      <c r="D9" s="3491" t="str">
        <f ca="1">结果表!D123</f>
        <v>壹亿壹仟零玖拾贰万元整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O70"/>
  <sheetViews>
    <sheetView topLeftCell="A46" workbookViewId="0">
      <selection activeCell="N46" sqref="N46"/>
    </sheetView>
  </sheetViews>
  <sheetFormatPr defaultRowHeight="13.5"/>
  <sheetData>
    <row r="4" spans="13:13">
      <c r="M4" s="3449" t="s">
        <v>3457</v>
      </c>
    </row>
    <row r="28" spans="14:14">
      <c r="N28">
        <f>5.6*365/24000</f>
        <v>8.5166666666666654E-2</v>
      </c>
    </row>
    <row r="44" spans="14:14">
      <c r="N44" s="3449" t="s">
        <v>3456</v>
      </c>
    </row>
    <row r="46" spans="14:14">
      <c r="N46">
        <f>6.65*365/40000</f>
        <v>6.0681249999999999E-2</v>
      </c>
    </row>
    <row r="70" spans="14:15">
      <c r="N70">
        <f>5.4*365</f>
        <v>1971.0000000000002</v>
      </c>
      <c r="O70">
        <f>N70/45000</f>
        <v>4.3800000000000006E-2</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A55" sqref="A5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8" t="s">
        <v>949</v>
      </c>
      <c r="B1" s="3498"/>
      <c r="C1" s="3498"/>
      <c r="D1" s="3498"/>
    </row>
    <row r="2" spans="1:4" ht="18">
      <c r="A2" s="3499" t="s">
        <v>933</v>
      </c>
      <c r="B2" s="3499"/>
      <c r="C2" s="3499"/>
      <c r="D2" s="3499"/>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99" t="s">
        <v>939</v>
      </c>
      <c r="B6" s="3499"/>
      <c r="C6" s="3499"/>
      <c r="D6" s="349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2" t="s">
        <v>956</v>
      </c>
      <c r="B15" s="3507" t="s">
        <v>109</v>
      </c>
      <c r="C15" s="3508"/>
    </row>
    <row r="16" spans="1:7" ht="13.5">
      <c r="A16" s="3513"/>
      <c r="B16" s="3507" t="s">
        <v>42</v>
      </c>
      <c r="C16" s="3508"/>
    </row>
    <row r="17" spans="1:3" ht="13.5">
      <c r="A17" s="3513"/>
      <c r="B17" s="3510" t="s">
        <v>957</v>
      </c>
      <c r="C17" s="1531" t="s">
        <v>956</v>
      </c>
    </row>
    <row r="18" spans="1:3" ht="13.5">
      <c r="A18" s="3513"/>
      <c r="B18" s="3510"/>
      <c r="C18" s="1531" t="s">
        <v>958</v>
      </c>
    </row>
    <row r="19" spans="1:3" ht="13.5">
      <c r="A19" s="3513"/>
      <c r="B19" s="3510"/>
      <c r="C19" s="1531" t="s">
        <v>959</v>
      </c>
    </row>
    <row r="20" spans="1:3" ht="13.5">
      <c r="A20" s="3514"/>
      <c r="B20" s="3509" t="s">
        <v>960</v>
      </c>
      <c r="C20" s="3508"/>
    </row>
    <row r="21" spans="1:3" ht="13.5">
      <c r="A21" s="1532" t="s">
        <v>961</v>
      </c>
      <c r="B21" s="1533"/>
      <c r="C21" s="1534"/>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1" t="s">
        <v>967</v>
      </c>
    </row>
    <row r="26" spans="1:3" ht="13.5">
      <c r="A26" s="3511"/>
      <c r="B26" s="3510"/>
      <c r="C26" s="1531" t="s">
        <v>968</v>
      </c>
    </row>
    <row r="27" spans="1:3" ht="13.5">
      <c r="A27" s="3511"/>
      <c r="B27" s="3510"/>
      <c r="C27" s="1531" t="s">
        <v>969</v>
      </c>
    </row>
    <row r="28" spans="1:3" ht="13.5">
      <c r="A28" s="3511"/>
      <c r="B28" s="3510"/>
      <c r="C28" s="1531" t="s">
        <v>970</v>
      </c>
    </row>
    <row r="29" spans="1:3" ht="13.5">
      <c r="A29" s="3511"/>
      <c r="B29" s="3510"/>
      <c r="C29" s="1531" t="s">
        <v>971</v>
      </c>
    </row>
    <row r="30" spans="1:3" ht="13.5">
      <c r="A30" s="3511"/>
      <c r="B30" s="3510"/>
      <c r="C30" s="1531" t="s">
        <v>972</v>
      </c>
    </row>
    <row r="31" spans="1:3" ht="13.5">
      <c r="A31" s="3511"/>
      <c r="B31" s="3510"/>
      <c r="C31" s="1531" t="s">
        <v>973</v>
      </c>
    </row>
    <row r="32" spans="1:3" ht="13.5">
      <c r="A32" s="3511"/>
      <c r="B32" s="3510"/>
      <c r="C32" s="1531" t="s">
        <v>974</v>
      </c>
    </row>
    <row r="33" spans="1:3" ht="13.5">
      <c r="A33" s="3511"/>
      <c r="B33" s="351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2133</v>
      </c>
      <c r="B2" s="2338">
        <f ca="1">TODAY()</f>
        <v>45510</v>
      </c>
      <c r="C2" s="2339" t="s">
        <v>2134</v>
      </c>
      <c r="D2" s="2339"/>
      <c r="E2" s="2339"/>
      <c r="F2" s="2335"/>
      <c r="G2" s="2335"/>
      <c r="H2" s="2335"/>
    </row>
    <row r="3" spans="1:8" ht="24" customHeight="1">
      <c r="A3" s="2340" t="s">
        <v>2135</v>
      </c>
      <c r="B3" s="2341" t="s">
        <v>2136</v>
      </c>
      <c r="C3" s="2341" t="s">
        <v>2137</v>
      </c>
      <c r="D3" s="2342" t="s">
        <v>2138</v>
      </c>
      <c r="E3" s="2343" t="s">
        <v>2139</v>
      </c>
      <c r="F3" s="1303" t="s">
        <v>2140</v>
      </c>
      <c r="G3" s="2341" t="s">
        <v>2137</v>
      </c>
      <c r="H3" s="2342" t="s">
        <v>2141</v>
      </c>
    </row>
    <row r="4" spans="1:8" ht="24" customHeight="1">
      <c r="A4" s="1303" t="s">
        <v>2142</v>
      </c>
      <c r="B4" s="1303">
        <f ca="1">IF(C4&lt;B2,"已过期",1119970066)</f>
        <v>1119970066</v>
      </c>
      <c r="C4" s="2344">
        <v>45937</v>
      </c>
      <c r="D4" s="2345" t="str">
        <f ca="1">A4&amp;"（注册号："&amp;B4&amp;"）"</f>
        <v>梁津（注册号：1119970066）</v>
      </c>
      <c r="E4" s="2346" t="s">
        <v>2142</v>
      </c>
      <c r="F4" s="1303">
        <f ca="1">IF(G4&lt;B2,"已过期",96010014)</f>
        <v>96010014</v>
      </c>
      <c r="G4" s="2347">
        <v>47118</v>
      </c>
      <c r="H4" s="2348" t="str">
        <f ca="1">E4&amp;"（注册号："&amp;F4&amp;"）"</f>
        <v>梁津（注册号：96010014）</v>
      </c>
    </row>
    <row r="5" spans="1:8" ht="24" customHeight="1">
      <c r="A5" s="1303" t="s">
        <v>2143</v>
      </c>
      <c r="B5" s="1303">
        <f ca="1">IF(C5&lt;B2,"已过期",1119970111)</f>
        <v>1119970111</v>
      </c>
      <c r="C5" s="2344">
        <v>45937</v>
      </c>
      <c r="D5" s="2345" t="str">
        <f t="shared" ref="D5:D15" ca="1" si="0">A5&amp;"（注册号："&amp;B5&amp;"）"</f>
        <v>叶凌（注册号：1119970111）</v>
      </c>
      <c r="E5" s="2346" t="s">
        <v>2143</v>
      </c>
      <c r="F5" s="1303">
        <f ca="1">IF(G5&lt;B2,"已过期",94010078)</f>
        <v>94010078</v>
      </c>
      <c r="G5" s="2347">
        <v>46387</v>
      </c>
      <c r="H5" s="2348" t="str">
        <f t="shared" ref="H5:H16" ca="1" si="1">E5&amp;"（注册号："&amp;F5&amp;"）"</f>
        <v>叶凌（注册号：94010078）</v>
      </c>
    </row>
    <row r="6" spans="1:8" ht="24" customHeight="1">
      <c r="A6" s="1303" t="s">
        <v>2144</v>
      </c>
      <c r="B6" s="1303" t="str">
        <f ca="1">IF(C6&lt;B2,"已过期",1120050019)</f>
        <v>已过期</v>
      </c>
      <c r="C6" s="2344">
        <v>45410</v>
      </c>
      <c r="D6" s="2345" t="str">
        <f t="shared" ca="1" si="0"/>
        <v>王鹏（注册号：已过期）</v>
      </c>
      <c r="E6" s="2346" t="s">
        <v>2144</v>
      </c>
      <c r="F6" s="1303">
        <f ca="1">IF(G6&lt;B2,"已过期",2002110030)</f>
        <v>2002110030</v>
      </c>
      <c r="G6" s="2347">
        <v>46387</v>
      </c>
      <c r="H6" s="2348" t="str">
        <f t="shared" ca="1" si="1"/>
        <v>王鹏（注册号：2002110030）</v>
      </c>
    </row>
    <row r="7" spans="1:8" ht="24" customHeight="1">
      <c r="A7" s="1303" t="s">
        <v>2145</v>
      </c>
      <c r="B7" s="1303">
        <f ca="1">IF(C7&lt;B2,"已过期",1120000080)</f>
        <v>1120000080</v>
      </c>
      <c r="C7" s="2344">
        <v>45937</v>
      </c>
      <c r="D7" s="2345" t="str">
        <f t="shared" ca="1" si="0"/>
        <v>欧红伟（注册号：1120000080）</v>
      </c>
      <c r="E7" s="2346" t="s">
        <v>2145</v>
      </c>
      <c r="F7" s="1303">
        <f ca="1">IF(G7&lt;B2,"已过期",2000110082)</f>
        <v>2000110082</v>
      </c>
      <c r="G7" s="2347">
        <v>46387</v>
      </c>
      <c r="H7" s="2348" t="str">
        <f t="shared" ca="1" si="1"/>
        <v>欧红伟（注册号：2000110082）</v>
      </c>
    </row>
    <row r="8" spans="1:8" ht="24" customHeight="1">
      <c r="A8" s="1303" t="s">
        <v>2146</v>
      </c>
      <c r="B8" s="1303">
        <f ca="1">IF(C8&lt;B2,"已过期",1419970001)</f>
        <v>1419970001</v>
      </c>
      <c r="C8" s="2344">
        <v>45937</v>
      </c>
      <c r="D8" s="2345" t="str">
        <f t="shared" ca="1" si="0"/>
        <v>吴薇（注册号：1419970001）</v>
      </c>
      <c r="E8" s="2346" t="s">
        <v>2146</v>
      </c>
      <c r="F8" s="1303">
        <f ca="1">IF(G8&lt;B2,"已过期",2002110125)</f>
        <v>2002110125</v>
      </c>
      <c r="G8" s="2347">
        <v>47118</v>
      </c>
      <c r="H8" s="2348" t="str">
        <f t="shared" ca="1" si="1"/>
        <v>吴薇（注册号：2002110125）</v>
      </c>
    </row>
    <row r="9" spans="1:8" ht="24" customHeight="1">
      <c r="A9" s="1303" t="s">
        <v>2147</v>
      </c>
      <c r="B9" s="1303">
        <f ca="1">IF(C9&lt;B2,"已过期",1120060040)</f>
        <v>1120060040</v>
      </c>
      <c r="C9" s="2349">
        <v>45592</v>
      </c>
      <c r="D9" s="2345" t="str">
        <f t="shared" ca="1" si="0"/>
        <v>陈颖（注册号：1120060040）</v>
      </c>
      <c r="E9" s="2346" t="s">
        <v>2147</v>
      </c>
      <c r="F9" s="1303">
        <f ca="1">IF(G9&lt;B2,"已过期",2004110096)</f>
        <v>2004110096</v>
      </c>
      <c r="G9" s="2347">
        <v>47118</v>
      </c>
      <c r="H9" s="2348" t="str">
        <f t="shared" ca="1" si="1"/>
        <v>陈颖（注册号：2004110096）</v>
      </c>
    </row>
    <row r="10" spans="1:8" ht="24" customHeight="1">
      <c r="A10" s="1303" t="s">
        <v>2148</v>
      </c>
      <c r="B10" s="1303">
        <f ca="1">IF(C10&lt;B2,"已过期",1120100036)</f>
        <v>1120100036</v>
      </c>
      <c r="C10" s="2349">
        <v>45752</v>
      </c>
      <c r="D10" s="2345" t="str">
        <f t="shared" ca="1" si="0"/>
        <v>崔锴（注册号：1120100036）</v>
      </c>
      <c r="E10" s="2346" t="s">
        <v>2148</v>
      </c>
      <c r="F10" s="1303">
        <f ca="1">IF(G10&lt;B2,"已过期",2010110070)</f>
        <v>2010110070</v>
      </c>
      <c r="G10" s="2347">
        <v>47907</v>
      </c>
      <c r="H10" s="2348" t="str">
        <f t="shared" ca="1" si="1"/>
        <v>崔锴（注册号：2010110070）</v>
      </c>
    </row>
    <row r="11" spans="1:8" ht="24" customHeight="1">
      <c r="A11" s="1303" t="s">
        <v>2149</v>
      </c>
      <c r="B11" s="1303">
        <f ca="1">IF(C11&lt;B2,"已过期",1120070131)</f>
        <v>1120070131</v>
      </c>
      <c r="C11" s="2344">
        <v>45937</v>
      </c>
      <c r="D11" s="2345" t="str">
        <f t="shared" ca="1" si="0"/>
        <v>郑燚（注册号：1120070131）</v>
      </c>
      <c r="E11" s="2346" t="s">
        <v>2149</v>
      </c>
      <c r="F11" s="1303">
        <f ca="1">IF(G11&lt;B2,"已过期",2014110011)</f>
        <v>2014110011</v>
      </c>
      <c r="G11" s="2347">
        <v>49302</v>
      </c>
      <c r="H11" s="2348" t="str">
        <f t="shared" ca="1" si="1"/>
        <v>郑燚（注册号：2014110011）</v>
      </c>
    </row>
    <row r="12" spans="1:8" ht="24" customHeight="1">
      <c r="A12" s="1303" t="s">
        <v>2150</v>
      </c>
      <c r="B12" s="1303">
        <f ca="1">IF(C12&lt;B2,"已过期",1120040230)</f>
        <v>1120040230</v>
      </c>
      <c r="C12" s="2349">
        <v>45937</v>
      </c>
      <c r="D12" s="2345" t="str">
        <f t="shared" ca="1" si="0"/>
        <v>苏海（注册号：1120040230）</v>
      </c>
      <c r="E12" s="2346" t="s">
        <v>2150</v>
      </c>
      <c r="F12" s="1303">
        <f ca="1">IF(G12&lt;B2,"已过期",98030020)</f>
        <v>98030020</v>
      </c>
      <c r="G12" s="2347">
        <v>47118</v>
      </c>
      <c r="H12" s="2348" t="str">
        <f t="shared" ca="1" si="1"/>
        <v>苏海（注册号：98030020）</v>
      </c>
    </row>
    <row r="13" spans="1:8" ht="24" customHeight="1">
      <c r="A13" s="1303" t="s">
        <v>2151</v>
      </c>
      <c r="B13" s="1303" t="str">
        <f ca="1">IF(C13&lt;B2,"已过期",1120020033)</f>
        <v>已过期</v>
      </c>
      <c r="C13" s="2344">
        <v>45375</v>
      </c>
      <c r="D13" s="2345" t="str">
        <f t="shared" ca="1" si="0"/>
        <v>刘敬东（注册号：已过期）</v>
      </c>
      <c r="E13" s="2346" t="s">
        <v>2151</v>
      </c>
      <c r="F13" s="1303">
        <f ca="1">IF(G13&lt;B2,"已过期",2000110137)</f>
        <v>2000110137</v>
      </c>
      <c r="G13" s="2347">
        <v>46387</v>
      </c>
      <c r="H13" s="2348" t="str">
        <f t="shared" ca="1" si="1"/>
        <v>刘敬东（注册号：2000110137）</v>
      </c>
    </row>
    <row r="14" spans="1:8" ht="24" customHeight="1">
      <c r="A14" s="1303" t="s">
        <v>2152</v>
      </c>
      <c r="B14" s="1303" t="str">
        <f ca="1">IF(C14&lt;B2,"已过期",1119980106)</f>
        <v>已过期</v>
      </c>
      <c r="C14" s="2349">
        <v>44969</v>
      </c>
      <c r="D14" s="2345" t="str">
        <f t="shared" ca="1" si="0"/>
        <v>刘俊财（注册号：已过期）</v>
      </c>
      <c r="E14" s="2346" t="s">
        <v>2152</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2153</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5" t="s">
        <v>2154</v>
      </c>
      <c r="B17" s="3515"/>
      <c r="C17" s="3515"/>
      <c r="D17" s="3515"/>
      <c r="E17" s="3515"/>
      <c r="F17" s="3515"/>
      <c r="G17" s="3515"/>
      <c r="H17" s="3515"/>
    </row>
    <row r="18" spans="1:8" ht="24" customHeight="1">
      <c r="A18" s="3516" t="s">
        <v>2155</v>
      </c>
      <c r="B18" s="3516"/>
      <c r="C18" s="3516"/>
      <c r="D18" s="2342"/>
      <c r="E18" s="3517" t="s">
        <v>2156</v>
      </c>
      <c r="F18" s="3516"/>
      <c r="G18" s="3516"/>
    </row>
    <row r="19" spans="1:8" s="2353" customFormat="1" ht="24" customHeight="1">
      <c r="A19" s="2352" t="s">
        <v>2157</v>
      </c>
      <c r="B19" s="2341" t="s">
        <v>2158</v>
      </c>
      <c r="C19" s="2341" t="s">
        <v>2137</v>
      </c>
      <c r="D19" s="2342"/>
      <c r="E19" s="2346" t="s">
        <v>2157</v>
      </c>
      <c r="F19" s="2341" t="s">
        <v>2158</v>
      </c>
      <c r="G19" s="2341" t="s">
        <v>2137</v>
      </c>
    </row>
    <row r="20" spans="1:8" s="2353" customFormat="1" ht="24" customHeight="1">
      <c r="A20" s="2354" t="s">
        <v>2159</v>
      </c>
      <c r="B20" s="2354" t="s">
        <v>2160</v>
      </c>
      <c r="C20" s="2347">
        <v>45898</v>
      </c>
      <c r="D20" s="2355"/>
      <c r="E20" s="2356" t="s">
        <v>2161</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办公</vt:lpstr>
      <vt:lpstr>商业</vt:lpstr>
      <vt:lpstr>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2024-08-06T09:19:54Z</dcterms:modified>
</cp:coreProperties>
</file>